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externalLink+xml" PartName="/xl/externalLinks/externalLink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etadata+xml" PartName="/xl/metadata.xml"/>
  <Override ContentType="application/vnd.openxmlformats-officedocument.spreadsheetml.comments+xml" PartName="/xl/comments1.xml"/>
  <Override ContentType="application/vnd.ms-excel.threadedcomments+xml" PartName="/xl/threadedComments/threadedComment1.xml"/>
  <Override ContentType="application/vnd.openxmlformats-officedocument.spreadsheetml.comments+xml" PartName="/xl/comments2.xml"/>
  <Override ContentType="application/vnd.ms-excel.threadedcomments+xml" PartName="/xl/threadedComments/threadedComment2.xml"/>
  <Override ContentType="application/vnd.openxmlformats-officedocument.spreadsheetml.comments+xml" PartName="/xl/comments3.xml"/>
  <Override ContentType="application/vnd.ms-excel.threadedcomments+xml" PartName="/xl/threadedComments/threadedComment3.xml"/>
  <Override ContentType="application/vnd.openxmlformats-officedocument.drawing+xml" PartName="/xl/drawings/drawing1.xml"/>
  <Override ContentType="application/vnd.openxmlformats-officedocument.drawingml.chart+xml" PartName="/xl/charts/chart1.xml"/>
  <Override ContentType="application/vnd.ms-office.chartstyle+xml" PartName="/xl/charts/style1.xml"/>
  <Override ContentType="application/vnd.ms-office.chartcolorstyle+xml" PartName="/xl/charts/colors1.xml"/>
  <Override ContentType="application/vnd.openxmlformats-officedocument.themeOverride+xml" PartName="/xl/theme/themeOverride1.xml"/>
  <Override ContentType="application/vnd.openxmlformats-officedocument.drawing+xml" PartName="/xl/drawings/drawing2.xml"/>
  <Override ContentType="application/vnd.openxmlformats-officedocument.drawingml.chart+xml" PartName="/xl/charts/chart2.xml"/>
  <Override ContentType="application/vnd.ms-office.chartstyle+xml" PartName="/xl/charts/style2.xml"/>
  <Override ContentType="application/vnd.ms-office.chartcolorstyle+xml" PartName="/xl/charts/colors2.xml"/>
  <Override ContentType="application/vnd.openxmlformats-officedocument.themeOverride+xml" PartName="/xl/theme/themeOverride2.xml"/>
  <Override ContentType="application/vnd.openxmlformats-officedocument.drawingml.chart+xml" PartName="/xl/charts/chart3.xml"/>
  <Override ContentType="application/vnd.ms-office.chartstyle+xml" PartName="/xl/charts/style3.xml"/>
  <Override ContentType="application/vnd.ms-office.chartcolorstyle+xml" PartName="/xl/charts/colors3.xml"/>
  <Override ContentType="application/vnd.openxmlformats-officedocument.themeOverride+xml" PartName="/xl/theme/themeOverride3.xml"/>
  <Override ContentType="application/vnd.openxmlformats-officedocument.drawing+xml" PartName="/xl/drawings/drawing3.xml"/>
  <Override ContentType="application/vnd.openxmlformats-officedocument.drawingml.chart+xml" PartName="/xl/charts/chart4.xml"/>
  <Override ContentType="application/vnd.ms-office.chartstyle+xml" PartName="/xl/charts/style4.xml"/>
  <Override ContentType="application/vnd.ms-office.chartcolorstyle+xml" PartName="/xl/charts/colors4.xml"/>
  <Override ContentType="application/vnd.openxmlformats-officedocument.drawingml.chart+xml" PartName="/xl/charts/chart5.xml"/>
  <Override ContentType="application/vnd.ms-office.chartstyle+xml" PartName="/xl/charts/style5.xml"/>
  <Override ContentType="application/vnd.ms-office.chartcolorstyle+xml" PartName="/xl/charts/colors5.xml"/>
  <Override ContentType="application/vnd.openxmlformats-officedocument.drawingml.chart+xml" PartName="/xl/charts/chart6.xml"/>
  <Override ContentType="application/vnd.ms-office.chartstyle+xml" PartName="/xl/charts/style6.xml"/>
  <Override ContentType="application/vnd.ms-office.chartcolorstyle+xml" PartName="/xl/charts/colors6.xml"/>
  <Override ContentType="application/vnd.openxmlformats-officedocument.drawingml.chart+xml" PartName="/xl/charts/chart7.xml"/>
  <Override ContentType="application/vnd.ms-office.chartstyle+xml" PartName="/xl/charts/style7.xml"/>
  <Override ContentType="application/vnd.ms-office.chartcolorstyle+xml" PartName="/xl/charts/colors7.xml"/>
  <Override ContentType="application/vnd.openxmlformats-officedocument.drawing+xml" PartName="/xl/drawings/drawing4.xml"/>
  <Override ContentType="application/vnd.openxmlformats-officedocument.drawingml.chart+xml" PartName="/xl/charts/chart8.xml"/>
  <Override ContentType="application/vnd.ms-office.chartstyle+xml" PartName="/xl/charts/style8.xml"/>
  <Override ContentType="application/vnd.ms-office.chartcolorstyle+xml" PartName="/xl/charts/colors8.xml"/>
  <Override ContentType="application/vnd.openxmlformats-officedocument.drawingml.chart+xml" PartName="/xl/charts/chart9.xml"/>
  <Override ContentType="application/vnd.ms-office.chartstyle+xml" PartName="/xl/charts/style9.xml"/>
  <Override ContentType="application/vnd.ms-office.chartcolorstyle+xml" PartName="/xl/charts/colors9.xml"/>
  <Override ContentType="application/vnd.openxmlformats-officedocument.drawingml.chart+xml" PartName="/xl/charts/chart10.xml"/>
  <Override ContentType="application/vnd.ms-office.chartstyle+xml" PartName="/xl/charts/style10.xml"/>
  <Override ContentType="application/vnd.ms-office.chartcolorstyle+xml" PartName="/xl/charts/colors10.xml"/>
  <Override ContentType="application/vnd.openxmlformats-officedocument.drawing+xml" PartName="/xl/drawings/drawing5.xml"/>
  <Override ContentType="application/vnd.openxmlformats-officedocument.drawingml.chart+xml" PartName="/xl/charts/chart11.xml"/>
  <Override ContentType="application/vnd.openxmlformats-officedocument.drawingml.chart+xml" PartName="/xl/charts/chart12.xml"/>
  <Override ContentType="application/vnd.openxmlformats-officedocument.drawingml.chart+xml" PartName="/xl/charts/chart13.xml"/>
  <Override ContentType="application/vnd.openxmlformats-officedocument.drawing+xml" PartName="/xl/drawings/drawing6.xml"/>
  <Override ContentType="application/vnd.openxmlformats-officedocument.drawingml.chart+xml" PartName="/xl/charts/chart14.xml"/>
  <Override ContentType="application/vnd.ms-office.chartstyle+xml" PartName="/xl/charts/style11.xml"/>
  <Override ContentType="application/vnd.ms-office.chartcolorstyle+xml" PartName="/xl/charts/colors11.xml"/>
  <Override ContentType="application/vnd.openxmlformats-officedocument.themeOverride+xml" PartName="/xl/theme/themeOverride4.xml"/>
  <Override ContentType="application/vnd.openxmlformats-officedocument.drawingml.chart+xml" PartName="/xl/charts/chart15.xml"/>
  <Override ContentType="application/vnd.ms-office.chartstyle+xml" PartName="/xl/charts/style12.xml"/>
  <Override ContentType="application/vnd.ms-office.chartcolorstyle+xml" PartName="/xl/charts/colors12.xml"/>
  <Override ContentType="application/vnd.openxmlformats-officedocument.themeOverride+xml" PartName="/xl/theme/themeOverride5.xml"/>
  <Override ContentType="application/vnd.openxmlformats-officedocument.drawing+xml" PartName="/xl/drawings/drawing7.xml"/>
  <Override ContentType="application/vnd.openxmlformats-officedocument.drawingml.chart+xml" PartName="/xl/charts/chart16.xml"/>
  <Override ContentType="application/vnd.ms-office.chartstyle+xml" PartName="/xl/charts/style13.xml"/>
  <Override ContentType="application/vnd.ms-office.chartcolorstyle+xml" PartName="/xl/charts/colors13.xml"/>
  <Override ContentType="application/vnd.openxmlformats-officedocument.drawingml.chart+xml" PartName="/xl/charts/chart17.xml"/>
  <Override ContentType="application/vnd.ms-office.chartstyle+xml" PartName="/xl/charts/style14.xml"/>
  <Override ContentType="application/vnd.ms-office.chartcolorstyle+xml" PartName="/xl/charts/colors14.xml"/>
  <Override ContentType="application/vnd.openxmlformats-officedocument.drawingml.chart+xml" PartName="/xl/charts/chart18.xml"/>
  <Override ContentType="application/vnd.ms-office.chartstyle+xml" PartName="/xl/charts/style15.xml"/>
  <Override ContentType="application/vnd.ms-office.chartcolorstyle+xml" PartName="/xl/charts/colors15.xml"/>
  <Override ContentType="application/vnd.openxmlformats-officedocument.drawing+xml" PartName="/xl/drawings/drawing8.xml"/>
  <Override ContentType="application/vnd.openxmlformats-officedocument.drawingml.chart+xml" PartName="/xl/charts/chart19.xml"/>
  <Override ContentType="application/vnd.ms-office.chartstyle+xml" PartName="/xl/charts/style16.xml"/>
  <Override ContentType="application/vnd.ms-office.chartcolorstyle+xml" PartName="/xl/charts/colors16.xml"/>
  <Override ContentType="application/vnd.openxmlformats-officedocument.drawingml.chart+xml" PartName="/xl/charts/chart20.xml"/>
  <Override ContentType="application/vnd.ms-office.chartstyle+xml" PartName="/xl/charts/style17.xml"/>
  <Override ContentType="application/vnd.ms-office.chartcolorstyle+xml" PartName="/xl/charts/colors17.xml"/>
  <Override ContentType="application/vnd.openxmlformats-officedocument.drawingml.chart+xml" PartName="/xl/charts/chart21.xml"/>
  <Override ContentType="application/vnd.ms-office.chartstyle+xml" PartName="/xl/charts/style18.xml"/>
  <Override ContentType="application/vnd.ms-office.chartcolorstyle+xml" PartName="/xl/charts/colors18.xml"/>
  <Override ContentType="application/vnd.openxmlformats-officedocument.drawing+xml" PartName="/xl/drawings/drawing9.xml"/>
  <Override ContentType="application/vnd.openxmlformats-officedocument.drawingml.chart+xml" PartName="/xl/charts/chart22.xml"/>
  <Override ContentType="application/vnd.openxmlformats-officedocument.drawingml.chart+xml" PartName="/xl/charts/chart23.xml"/>
  <Override ContentType="application/vnd.openxmlformats-officedocument.drawingml.chart+xml" PartName="/xl/charts/chart24.xml"/>
  <Override ContentType="application/vnd.openxmlformats-officedocument.drawing+xml" PartName="/xl/drawings/drawing10.xml"/>
  <Override ContentType="application/vnd.openxmlformats-officedocument.drawingml.chart+xml" PartName="/xl/charts/chart25.xml"/>
  <Override ContentType="application/vnd.ms-office.chartstyle+xml" PartName="/xl/charts/style19.xml"/>
  <Override ContentType="application/vnd.ms-office.chartcolorstyle+xml" PartName="/xl/charts/colors19.xml"/>
  <Override ContentType="application/vnd.openxmlformats-officedocument.drawingml.chart+xml" PartName="/xl/charts/chart26.xml"/>
  <Override ContentType="application/vnd.ms-office.chartstyle+xml" PartName="/xl/charts/style20.xml"/>
  <Override ContentType="application/vnd.ms-office.chartcolorstyle+xml" PartName="/xl/charts/colors20.xml"/>
  <Override ContentType="application/vnd.openxmlformats-officedocument.drawingml.chart+xml" PartName="/xl/charts/chart27.xml"/>
  <Override ContentType="application/vnd.ms-office.chartstyle+xml" PartName="/xl/charts/style21.xml"/>
  <Override ContentType="application/vnd.ms-office.chartcolorstyle+xml" PartName="/xl/charts/colors21.xml"/>
  <Override ContentType="application/vnd.openxmlformats-officedocument.drawing+xml" PartName="/xl/drawings/drawing11.xml"/>
  <Override ContentType="application/vnd.openxmlformats-officedocument.drawingml.chart+xml" PartName="/xl/charts/chart28.xml"/>
  <Override ContentType="application/vnd.openxmlformats-officedocument.drawingml.chart+xml" PartName="/xl/charts/chart29.xml"/>
  <Override ContentType="application/vnd.openxmlformats-officedocument.drawingml.chart+xml" PartName="/xl/charts/chart30.xml"/>
  <Override ContentType="application/vnd.ms-excel.person+xml" PartName="/xl/persons/person.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my.sharepoint.com/personal/dvalderramagonza_worldbank_org/Documents/SenSim Tool/JTR/Energy_reform/results/"/>
    </mc:Choice>
  </mc:AlternateContent>
  <xr:revisionPtr revIDLastSave="2169" documentId="8_{71E1148F-934A-C640-99D8-960267A94029}" xr6:coauthVersionLast="47" xr6:coauthVersionMax="47" xr10:uidLastSave="{A180BC8B-C6EC-4903-8CF4-54AF8720EFA9}"/>
  <bookViews>
    <workbookView xWindow="-135" yWindow="-135" windowWidth="29070" windowHeight="16020" firstSheet="8" activeTab="13"/>
  </bookViews>
  <sheets>
    <sheet name="Electricity -BaU Reform" sheetId="13" r:id="rId1"/>
    <sheet name="Carburants - BaU Reform" sheetId="22" r:id="rId2"/>
    <sheet name="Fuels_pmts_info" sheetId="26" r:id="rId3"/>
    <sheet name="elec_pmts_info" sheetId="28" r:id="rId4"/>
    <sheet name="labels" sheetId="7" r:id="rId5"/>
    <sheet name="single_policy" sheetId="23" r:id="rId6"/>
    <sheet name="policies" sheetId="24" r:id="rId7"/>
    <sheet name="Branches_Dist" sheetId="9" state="hidden" r:id="rId8"/>
    <sheet name="Elec_Coverage" sheetId="8" r:id="rId9"/>
    <sheet name="Elec_RI" sheetId="15" r:id="rId10"/>
    <sheet name="Elec_RI_Con" sheetId="14" state="hidden" r:id="rId11"/>
    <sheet name="Elec_AI" sheetId="4" r:id="rId12"/>
    <sheet name="Fuels_Coverage" sheetId="16" r:id="rId13"/>
    <sheet name="Fuels_RI" sheetId="17" r:id="rId14"/>
    <sheet name="Fuels_RI_Con" sheetId="18" r:id="rId15"/>
    <sheet name="Fuels_AI" sheetId="19" r:id="rId16"/>
    <sheet name="Total_RI" sheetId="29" r:id="rId17"/>
    <sheet name="Total_AI" sheetId="30" r:id="rId18"/>
    <sheet name="Marginal Contributions" sheetId="20" r:id="rId19"/>
    <sheet name="stats" sheetId="2" r:id="rId20"/>
  </sheets>
  <externalReferences>
    <externalReference r:id="rId21"/>
  </externalReferences>
  <definedNames>
    <definedName name="_xlnm._FilterDatabase" localSheetId="19" hidden="true">stats!$A$1:$H$834</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tc={577D623A-89EA-4F15-98C9-04B516F9E851}</author>
    <author>tc={18AF46AE-D1FA-4097-94B4-FF8C4422B76A}</author>
    <author>tc={A7B1648E-052E-4801-A4E0-AAA1E8138B77}</author>
    <author>tc={A48CD1A1-B31C-4AAD-A095-4DCB2741597C}</author>
    <author>tc={CABDAA1B-10D0-4C73-B410-F0B2BD9731F0}</author>
    <author>tc={4F3930C8-1A9E-4FD3-873F-C2110ACBA69D}</author>
    <author>tc={37F6BDE9-F642-4E8E-9B02-4D3B89EA52B0}</author>
    <author>tc={BA25D26C-7DCB-4FB2-B58F-D62CE6B2BDE0}</author>
    <author>tc={32AE551E-EF3D-4A1E-9F69-DF9290FCD4CF}</author>
  </authors>
  <commentList>
    <comment ref="L6" authorId="0">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L13" authorId="1">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14" authorId="2">
      <text>
        <t>[Threaded comment]
Your version of Excel allows you to read this threaded comment; however, any edits to it will get removed if the file is opened in a newer version of Excel. Learn more: https://go.microsoft.com/fwlink/?linkid=870924
Comment:
    Original price in Jun</t>
      </text>
    </comment>
    <comment ref="L20" authorId="3">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21" authorId="4">
      <text>
        <t>[Threaded comment]
Your version of Excel allows you to read this threaded comment; however, any edits to it will get removed if the file is opened in a newer version of Excel. Learn more: https://go.microsoft.com/fwlink/?linkid=870924
Comment:
    Original price in Jun</t>
      </text>
    </comment>
    <comment ref="G39" authorId="5">
      <text>
        <t>[Threaded comment]
Your version of Excel allows you to read this threaded comment; however, any edits to it will get removed if the file is opened in a newer version of Excel. Learn more: https://go.microsoft.com/fwlink/?linkid=870924
Comment:
    Assume as fixed tax. It is proportional to the taxable base. This assumption is minor because as tax rate it represents less than 1 percent of raw price</t>
      </text>
    </comment>
    <comment ref="L41" authorId="6">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L48" authorId="7">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49" authorId="8">
      <text>
        <t>[Threaded comment]
Your version of Excel allows you to read this threaded comment; however, any edits to it will get removed if the file is opened in a newer version of Excel. Learn more: https://go.microsoft.com/fwlink/?linkid=870924
Comment:
    Original price in Jun</t>
      </text>
    </comment>
  </commentList>
</comments>
</file>

<file path=xl/comments2.xml><?xml version="1.0" encoding="utf-8"?>
<comments xmlns="http://schemas.openxmlformats.org/spreadsheetml/2006/main">
  <authors>
    <author>tc={8A3B447C-8F23-4212-9916-B9C4DB68EDED}</author>
    <author>tc={0FCF541A-9B9E-40FB-B715-7148AE16D8F6}</author>
    <author>tc={F7C3CC7F-E3AE-41F8-B144-1358DC6474E3}</author>
    <author>tc={136BBBBF-568F-46B1-8CFB-D70AFE07C268}</author>
  </authors>
  <commentList>
    <comment ref="L5" authorId="0">
      <text>
        <t>[Threaded comment]
Your version of Excel allows you to read this threaded comment; however, any edits to it will get removed if the file is opened in a newer version of Excel. Learn more: https://go.microsoft.com/fwlink/?linkid=870924
Comment:
    Based on 2021 data</t>
      </text>
    </comment>
    <comment ref="AG5" authorId="1">
      <text>
        <t>[Threaded comment]
Your version of Excel allows you to read this threaded comment; however, any edits to it will get removed if the file is opened in a newer version of Excel. Learn more: https://go.microsoft.com/fwlink/?linkid=870924
Comment:
    this data is inconsistent with the tariffs itself. Therefore we use Petra data for 2022 which is stable for 2020 as well</t>
      </text>
    </comment>
    <comment ref="AI5" authorId="2">
      <text>
        <t>[Threaded comment]
Your version of Excel allows you to read this threaded comment; however, any edits to it will get removed if the file is opened in a newer version of Excel. Learn more: https://go.microsoft.com/fwlink/?linkid=870924
Comment:
    Obtain as the average of Petra files</t>
      </text>
    </comment>
    <comment ref="W12" authorId="3">
      <text>
        <t>[Threaded comment]
Your version of Excel allows you to read this threaded comment; however, any edits to it will get removed if the file is opened in a newer version of Excel. Learn more: https://go.microsoft.com/fwlink/?linkid=870924
Comment:
    exlcuded DGP, PGP and High Voltage from the sum of the IMF of special clientele</t>
      </text>
    </comment>
  </commentList>
</comments>
</file>

<file path=xl/comments3.xml><?xml version="1.0" encoding="utf-8"?>
<comments xmlns="http://schemas.openxmlformats.org/spreadsheetml/2006/main">
  <authors>
    <author>tc={1B1575B1-0225-4272-A958-1F0192041F98}</author>
    <author>tc={F36306AB-A15E-4AE3-8C96-3FBCF5221474}</author>
  </authors>
  <commentList>
    <comment ref="C26" authorId="0">
      <text>
        <t>[Threaded comment]
Your version of Excel allows you to read this threaded comment; however, any edits to it will get removed if the file is opened in a newer version of Excel. Learn more: https://go.microsoft.com/fwlink/?linkid=870924
Comment:
    Add 1.13 if data is no uprated. Add 1 if data is uprated</t>
      </text>
    </comment>
    <comment ref="C30" authorId="1">
      <text>
        <t>[Threaded comment]
Your version of Excel allows you to read this threaded comment; however, any edits to it will get removed if the file is opened in a newer version of Excel. Learn more: https://go.microsoft.com/fwlink/?linkid=870924
Comment:
    Using weights from 2022 was 141.5. Weights were
Low  0.286 
 Medium 0.565 
 HIgh 0.150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<sst xmlns="http://schemas.openxmlformats.org/spreadsheetml/2006/main" xmlns:r="http://schemas.openxmlformats.org/officeDocument/2006/relationships" xmlns:xdr="http://schemas.openxmlformats.org/drawingml/2006/spreadsheetDrawing" count="10787" uniqueCount="1198">
  <si>
    <t>Y-axis</t>
  </si>
  <si>
    <t>Key word</t>
  </si>
  <si>
    <t>Key Size</t>
  </si>
  <si>
    <t>Top decile</t>
  </si>
  <si>
    <t>Bottom decile</t>
  </si>
  <si>
    <t>Series</t>
  </si>
  <si>
    <t>Yaxis</t>
  </si>
  <si>
    <t>Percentage of disposable income</t>
  </si>
  <si>
    <t>Tranche1</t>
  </si>
  <si>
    <t>Tranche2</t>
  </si>
  <si>
    <t>Tranche3</t>
  </si>
  <si>
    <t>Medium</t>
  </si>
  <si>
    <t>ApiladasMultipleSerie1</t>
  </si>
  <si>
    <t>Percentage of consumption by VAT incidence</t>
  </si>
  <si>
    <t>Xaxis</t>
  </si>
  <si>
    <t>Legends</t>
  </si>
  <si>
    <t>labels!K2</t>
  </si>
  <si>
    <t>labels!K3</t>
  </si>
  <si>
    <t>labels!K4</t>
  </si>
  <si>
    <t>labels!K5</t>
  </si>
  <si>
    <t>labels!K6</t>
  </si>
  <si>
    <t>labels!K7</t>
  </si>
  <si>
    <t>labels!K8</t>
  </si>
  <si>
    <t>labels!K9</t>
  </si>
  <si>
    <t>labels!K10</t>
  </si>
  <si>
    <t>labels!K11</t>
  </si>
  <si>
    <t>labels!F2</t>
  </si>
  <si>
    <t>labels!A3</t>
  </si>
  <si>
    <t>labels!A4</t>
  </si>
  <si>
    <t>labels!A5</t>
  </si>
  <si>
    <t>vat</t>
  </si>
  <si>
    <t>subsidies</t>
  </si>
  <si>
    <t>subsidy</t>
  </si>
  <si>
    <t>labels!F3</t>
  </si>
  <si>
    <t>XaxisLabel</t>
  </si>
  <si>
    <t>Deciles of per capita disposable income</t>
  </si>
  <si>
    <t>labels!L2</t>
  </si>
  <si>
    <t>Percentage of total subsidy</t>
  </si>
  <si>
    <t>labels!F4</t>
  </si>
  <si>
    <t>labels!F5</t>
  </si>
  <si>
    <t>Marginal Contribution on Poverty</t>
  </si>
  <si>
    <t>Marginal Contribution on Inequality</t>
  </si>
  <si>
    <t>labels!F6</t>
  </si>
  <si>
    <t>DPP</t>
  </si>
  <si>
    <t>DMP</t>
  </si>
  <si>
    <t>DGP</t>
  </si>
  <si>
    <t>Prepaid</t>
  </si>
  <si>
    <t>Cost</t>
  </si>
  <si>
    <t>Postpaid</t>
  </si>
  <si>
    <t>Ta_T1</t>
  </si>
  <si>
    <t>Ta_T2</t>
  </si>
  <si>
    <t>Ta_T3</t>
  </si>
  <si>
    <t>Treshold T1</t>
  </si>
  <si>
    <t>Treshold T2</t>
  </si>
  <si>
    <t>Vat_exe</t>
  </si>
  <si>
    <t>Total vat collected</t>
  </si>
  <si>
    <t>Total subsidies</t>
  </si>
  <si>
    <t>Base</t>
  </si>
  <si>
    <t>Deflactor</t>
  </si>
  <si>
    <t>Percentage of total tax</t>
  </si>
  <si>
    <t>VAT</t>
  </si>
  <si>
    <t>Subsidies</t>
  </si>
  <si>
    <t>Direct</t>
  </si>
  <si>
    <t>Indirect</t>
  </si>
  <si>
    <t>cond_netcash_</t>
  </si>
  <si>
    <t>vat_elec_pc_</t>
  </si>
  <si>
    <t>subsidy_elec_pc_</t>
  </si>
  <si>
    <t>subsidy_elec_direct_pc_</t>
  </si>
  <si>
    <t>subsidy_elec_indirect_pc_</t>
  </si>
  <si>
    <t>netcash_</t>
  </si>
  <si>
    <t>vat_elec_pc_benefits__yd_</t>
  </si>
  <si>
    <t>subsidy_elec_pc_benefits__yd_</t>
  </si>
  <si>
    <t>subsidy_elec_direct_pc_benefits__yd_</t>
  </si>
  <si>
    <t>subsidy_elec_indirect_pc_benefits__yd_</t>
  </si>
  <si>
    <t>subsidies direct</t>
  </si>
  <si>
    <t>subsidies in direct</t>
  </si>
  <si>
    <t xml:space="preserve">Test, it should be one </t>
  </si>
  <si>
    <t>Total tax/subsidy (CFA bn)</t>
  </si>
  <si>
    <t>Total tax/subsidy as % of GDP</t>
  </si>
  <si>
    <t>MC to poverty headcount (percentage points)</t>
  </si>
  <si>
    <t>MC to inequality (Gini points)</t>
  </si>
  <si>
    <t>labels!F11</t>
  </si>
  <si>
    <t>labels!F12</t>
  </si>
  <si>
    <t>labels!F13</t>
  </si>
  <si>
    <t>labels!F14</t>
  </si>
  <si>
    <t>fgt0__yd_0</t>
  </si>
  <si>
    <t>inc_vat_elec_</t>
  </si>
  <si>
    <t>inc_subsidy_elec_</t>
  </si>
  <si>
    <t>gini__yd_0</t>
  </si>
  <si>
    <t>Electricity</t>
  </si>
  <si>
    <t>Fuel</t>
  </si>
  <si>
    <t>vatexempt_tra</t>
  </si>
  <si>
    <t>cost</t>
  </si>
  <si>
    <t>tariffs_pre_t1</t>
  </si>
  <si>
    <t>tariffs_pre_t2</t>
  </si>
  <si>
    <t>tariffs_pre_t3</t>
  </si>
  <si>
    <t>tranche1_pre</t>
  </si>
  <si>
    <t>tranche2_pre</t>
  </si>
  <si>
    <t>tariffs_post_t1</t>
  </si>
  <si>
    <t>tariffs_post_t2</t>
  </si>
  <si>
    <t>tariffs_post_t3</t>
  </si>
  <si>
    <t>tranche1_post</t>
  </si>
  <si>
    <t>tranche2_post</t>
  </si>
  <si>
    <t>dmp_pre_tar_t1</t>
  </si>
  <si>
    <t>dmp_pre_tar_t2</t>
  </si>
  <si>
    <t>dmp_pre_tar_t3</t>
  </si>
  <si>
    <t>dmp_pre_tra_t1</t>
  </si>
  <si>
    <t>dmp_pre_tra_t2</t>
  </si>
  <si>
    <t>dmp_post_tar_t1</t>
  </si>
  <si>
    <t>dmp_post_tar_t2</t>
  </si>
  <si>
    <t>dmp_post_tar_t3</t>
  </si>
  <si>
    <t>dmp_post_tra_t1</t>
  </si>
  <si>
    <t>dmp_post_tra_t2</t>
  </si>
  <si>
    <t>subsidy_firms</t>
  </si>
  <si>
    <t>DGP_tar</t>
  </si>
  <si>
    <t>cost_firms</t>
  </si>
  <si>
    <t>share_elec_io</t>
  </si>
  <si>
    <t>mp_butane</t>
  </si>
  <si>
    <t>mp_pet_lamp</t>
  </si>
  <si>
    <t>mp_gasoil</t>
  </si>
  <si>
    <t>mp_fuel</t>
  </si>
  <si>
    <t>mp_pirogue</t>
  </si>
  <si>
    <t>sp_butane</t>
  </si>
  <si>
    <t>sp_pet_lamp</t>
  </si>
  <si>
    <t>sp_gasoil</t>
  </si>
  <si>
    <t>sp_fuel</t>
  </si>
  <si>
    <t>sp_pirogue</t>
  </si>
  <si>
    <t>margin_detaillant</t>
  </si>
  <si>
    <t>Reform</t>
  </si>
  <si>
    <t>Butane</t>
  </si>
  <si>
    <t>Super carburant</t>
  </si>
  <si>
    <t>Essence Ordinaire</t>
  </si>
  <si>
    <t>Essence pirogue</t>
  </si>
  <si>
    <t>Pétrole</t>
  </si>
  <si>
    <t>Gasoil</t>
  </si>
  <si>
    <t>vat_fuel_pc_</t>
  </si>
  <si>
    <t>subsidy_fuel_pc_</t>
  </si>
  <si>
    <t>subsidy_fuel_direct_pc_</t>
  </si>
  <si>
    <t>subsidy_fuel_indirect_pc_</t>
  </si>
  <si>
    <t>Percentage of population who pays VAT on electricity</t>
  </si>
  <si>
    <t>Percentage of population receiving electricity subsidies</t>
  </si>
  <si>
    <t xml:space="preserve">Deflacted </t>
  </si>
  <si>
    <t>Baseline (CFA 2022)</t>
  </si>
  <si>
    <t>Margin not subject to TVA</t>
  </si>
  <si>
    <t>Other parameters</t>
  </si>
  <si>
    <t>Boat Gasoline (Essence Pirogue)</t>
  </si>
  <si>
    <t>Regular Gasoline (Essence Ordinaire)</t>
  </si>
  <si>
    <t>Premium Gasoline  (Super Carburant)</t>
  </si>
  <si>
    <t>Gasoline*</t>
  </si>
  <si>
    <t>Diesel (Gasoil)</t>
  </si>
  <si>
    <t>Kerosene (Petrole Lamp)</t>
  </si>
  <si>
    <t>LPG (Butane)</t>
  </si>
  <si>
    <t>Subsidy as % of market price</t>
  </si>
  <si>
    <t>Market price</t>
  </si>
  <si>
    <t>Subsidized price</t>
  </si>
  <si>
    <t>Price and cost of fuel products 2022 prices</t>
  </si>
  <si>
    <t>% of electricity IO sector</t>
  </si>
  <si>
    <t>Subsidy rate as percentage or mkt price</t>
  </si>
  <si>
    <t>Average tariff for firms</t>
  </si>
  <si>
    <t>Cost energy for firms</t>
  </si>
  <si>
    <t xml:space="preserve">Production sector </t>
  </si>
  <si>
    <t>Production Cost Energy Households</t>
  </si>
  <si>
    <t>Inflation 2022-2018</t>
  </si>
  <si>
    <t xml:space="preserve">VAT policy </t>
  </si>
  <si>
    <t>Value</t>
  </si>
  <si>
    <t>OtherParameters</t>
  </si>
  <si>
    <t>Households Postpaid High Voltage (DGP)</t>
  </si>
  <si>
    <t>Bracket 3</t>
  </si>
  <si>
    <t>Bracket 2</t>
  </si>
  <si>
    <t>Bracket 1</t>
  </si>
  <si>
    <t xml:space="preserve">Postpaid </t>
  </si>
  <si>
    <t xml:space="preserve">Prepaid </t>
  </si>
  <si>
    <t>Households Medium Voltage (Domestique Moyane Puissance)</t>
  </si>
  <si>
    <t>Households Low Voltage (Domestique Petite Puissance)</t>
  </si>
  <si>
    <t>Tranche upper threshold (Bimonthly kWh)</t>
  </si>
  <si>
    <t>Tariffs kWh</t>
  </si>
  <si>
    <t xml:space="preserve">Electricity Products 2022 prices </t>
  </si>
  <si>
    <t>2019 Price structure (CFAF)</t>
  </si>
  <si>
    <t>International price per ton- 25⁰C</t>
  </si>
  <si>
    <t>Conversion factor</t>
  </si>
  <si>
    <t>Raw price per m3  0⁰C (2)</t>
  </si>
  <si>
    <t>Droits de porte (1)</t>
  </si>
  <si>
    <t>Taxe specifique (1)</t>
  </si>
  <si>
    <t>Marge distributeur (1)</t>
  </si>
  <si>
    <t>DON’T: prequation transport (1)</t>
  </si>
  <si>
    <t>TVA (1)</t>
  </si>
  <si>
    <t>Marge Detaillant (1)</t>
  </si>
  <si>
    <t xml:space="preserve">Prix de vente au conssumateur </t>
  </si>
  <si>
    <t>International prices survey year (2019)</t>
  </si>
  <si>
    <t>Pétrole Lampant</t>
  </si>
  <si>
    <t>Subsidized prices survey year (2019)</t>
  </si>
  <si>
    <t xml:space="preserve">Notes: (1) Cost structure to defined prices obtained from tables for Canal TTC of the the price structure report of April 2019.  The cost structure of Butane corresponds to  9Kg. </t>
  </si>
  <si>
    <t xml:space="preserve">(2)  Market prices include the international prices plus the International and domestic fees reported in the cost structure of 2019. </t>
  </si>
  <si>
    <t>2022 Price structure (CFAF)</t>
  </si>
  <si>
    <t>International prices (est Dec 2022)</t>
  </si>
  <si>
    <t>Subsidized prices baseline</t>
  </si>
  <si>
    <t>Subsidized prices reform</t>
  </si>
  <si>
    <t xml:space="preserve">Notes: (1) Cost structure to defined prices obtained from tables for Canal TTC of the the price structure report of April 2022.  The cost structure of Butane corresponds to  9Kg. </t>
  </si>
  <si>
    <t>(2)  Market prices include the international prices plus the International and domestic fees of June 2022. Subsidized prices for both before and after the reform updated the data from PPI considéré reported by the cost structure of July 2022 using the increases nobserved in super carburant (July 2022 and January 2023) and  gasoil (January of 2023)</t>
  </si>
  <si>
    <t>Note: we take prices of Juin 2022 and increase the PPP considere of fuel such that the conssumer price increase up to 890</t>
  </si>
  <si>
    <t xml:space="preserve">Validation info on average cost </t>
  </si>
  <si>
    <t>https://www.sikafinance.com/marches/senegal-des-le-5-juin-le-prix-du-carburant-super-flambe-de-115-fcfa_34969</t>
  </si>
  <si>
    <t>https://www.sudquotidien.sn/ciblage-des-subventions-sociales-le-gouvernement-evoque-une-situation-internationale-defavorable/</t>
  </si>
  <si>
    <t>Petra</t>
  </si>
  <si>
    <t>Weights</t>
  </si>
  <si>
    <t>Sales MWh 2021</t>
  </si>
  <si>
    <t>Production Cost 2019</t>
  </si>
  <si>
    <t>Production Cost 2022</t>
  </si>
  <si>
    <t>Sales MWh 2021 IMF</t>
  </si>
  <si>
    <t>Sales MWh July 2022</t>
  </si>
  <si>
    <t>Sales CFA ('000s) July 2022</t>
  </si>
  <si>
    <t>N. of subscribers ('000) July 2022</t>
  </si>
  <si>
    <t>Sales CFA Mlln 2021 IMF</t>
  </si>
  <si>
    <t xml:space="preserve">Sales (GWh) 2019 </t>
  </si>
  <si>
    <t>Sales (GWh) 2022</t>
  </si>
  <si>
    <t>Price per Kwh 2019-2022</t>
  </si>
  <si>
    <t>Price per Kwh 2019-2022 using IMF</t>
  </si>
  <si>
    <t>Weights (IMF 2021)</t>
  </si>
  <si>
    <t>Price per Kwh 2019</t>
  </si>
  <si>
    <t>Low Voltage</t>
  </si>
  <si>
    <t>PPP</t>
  </si>
  <si>
    <t>PMP</t>
  </si>
  <si>
    <t>All</t>
  </si>
  <si>
    <t>W_PPP</t>
  </si>
  <si>
    <t>W_PMP</t>
  </si>
  <si>
    <t>PGP</t>
  </si>
  <si>
    <t>Medium Voltage</t>
  </si>
  <si>
    <t>High Voltage</t>
  </si>
  <si>
    <t xml:space="preserve"> Special clientele </t>
  </si>
  <si>
    <t xml:space="preserve"> TCU - TCU </t>
  </si>
  <si>
    <t xml:space="preserve"> TG - TG </t>
  </si>
  <si>
    <t xml:space="preserve"> TLU - TLU </t>
  </si>
  <si>
    <t xml:space="preserve"> .CER </t>
  </si>
  <si>
    <t xml:space="preserve"> Ep </t>
  </si>
  <si>
    <t xml:space="preserve"> P_PGP </t>
  </si>
  <si>
    <t xml:space="preserve"> P_DGP </t>
  </si>
  <si>
    <t>Jan</t>
  </si>
  <si>
    <t>Months with data in 2021</t>
  </si>
  <si>
    <t>Weights from 2021 IMF</t>
  </si>
  <si>
    <t>Weighted average</t>
  </si>
  <si>
    <t>P_PPP</t>
  </si>
  <si>
    <t>P_PMP</t>
  </si>
  <si>
    <t>P_PGP</t>
  </si>
  <si>
    <t>W_DMP</t>
  </si>
  <si>
    <t>MOYENNE TENSION</t>
  </si>
  <si>
    <t>HAUTE TENSION</t>
  </si>
  <si>
    <t>Low tension</t>
  </si>
  <si>
    <t>Medium tension</t>
  </si>
  <si>
    <t>High tension</t>
  </si>
  <si>
    <t>Baseline</t>
  </si>
  <si>
    <t>Reform  (CFA 2022)</t>
  </si>
  <si>
    <t>Cost energy for producer</t>
  </si>
  <si>
    <t>Average tariff for producer</t>
  </si>
  <si>
    <t>Cost of production</t>
  </si>
  <si>
    <t>Premium Gasoline (Super Carburant)</t>
  </si>
  <si>
    <t>yd_pc_gini__yd_0</t>
  </si>
  <si>
    <t>yd_pc_fgt0__yd_0</t>
  </si>
  <si>
    <t>inc_subsidy_elec_direct</t>
  </si>
  <si>
    <t>inc_vat_fuel_</t>
  </si>
  <si>
    <t>inc_subsidy_fuel_</t>
  </si>
  <si>
    <t>vat_fuel_pc_benefits__yd_</t>
  </si>
  <si>
    <t>subsidy_fuel_pc_benefits__yd_</t>
  </si>
  <si>
    <t>subsidy_fuel_direct_pc_benefits__yd_</t>
  </si>
  <si>
    <t>subsidy_fuel_indirect_pc_benefits__yd_</t>
  </si>
  <si>
    <t>Average cost for non domestic subscribers</t>
  </si>
  <si>
    <t xml:space="preserve">Production Cost </t>
  </si>
  <si>
    <t>Average Tariff</t>
  </si>
  <si>
    <t>Note: Low tension only considers tariffs sold to producers</t>
  </si>
  <si>
    <t>Note: Price of gasoline is a weighted average of premium gasoline-PG, and regular gasoline-RG,  (.5 RG + .5*PG).</t>
  </si>
  <si>
    <t xml:space="preserve">Note: VAT is only paid when total consumption falls into tranche 3. The following are the policies that can be simulated  00 = no vat exemptions; 01= vat exemption for tranche 1 consumption; 12 vat exemption for the consumption tranche 1 and 2 </t>
  </si>
  <si>
    <t>Households Low Voltage (Domestique Moyane Puissance)</t>
  </si>
  <si>
    <t>vat_fuel_pc_coverage__yd_</t>
  </si>
  <si>
    <t>subsidy_fuel_direct_pc_coverage__yd_</t>
  </si>
  <si>
    <t>vat_fuel_pc_netcash__yd_</t>
  </si>
  <si>
    <t>subsidy_fuel_pc_netcash__yd_</t>
  </si>
  <si>
    <t>subsidy_fuel_direct_pc_netcash__yd_</t>
  </si>
  <si>
    <t>subsidy_fuel_indirect_pc_netcash__yd_</t>
  </si>
  <si>
    <t xml:space="preserve"> indirect</t>
  </si>
  <si>
    <t>direct</t>
  </si>
  <si>
    <t>Disposable income poverty with the tax/subsidy</t>
  </si>
  <si>
    <t>Disposable income Inequality with the tax/subsidy</t>
  </si>
  <si>
    <t>benefits__yd_0</t>
  </si>
  <si>
    <t>inc_subsidy_elec_direct_</t>
  </si>
  <si>
    <t>inc_subsidy_elec_indirect_</t>
  </si>
  <si>
    <t>inc_subsidy_fuel_direct_</t>
  </si>
  <si>
    <t>inc_subsidy_fuel_indirect_</t>
  </si>
  <si>
    <t>Electricité : 99,7 milliards • Carburant : 158,5 milliards</t>
  </si>
  <si>
    <t>Electricité : + 266 milliards de compensation</t>
  </si>
  <si>
    <t>Carburant : + 484 milliards de compensation</t>
  </si>
  <si>
    <t>Carburant : 158,5 milliards</t>
  </si>
  <si>
    <t>Objectif visé par le réajustement</t>
  </si>
  <si>
    <t>Mwh Sold to firms</t>
  </si>
  <si>
    <t>Total</t>
  </si>
  <si>
    <t xml:space="preserve">VAT </t>
  </si>
  <si>
    <t>Electricity and Fuels</t>
  </si>
  <si>
    <t>Total price</t>
  </si>
  <si>
    <t>inc_all_policies_</t>
  </si>
  <si>
    <t>all_tax_pc_</t>
  </si>
  <si>
    <t>all_subs_pc_</t>
  </si>
  <si>
    <t>all_policies_pc_</t>
  </si>
  <si>
    <t>all_policies_pc_netcash__yd_1</t>
  </si>
  <si>
    <t>inc_all_tax_</t>
  </si>
  <si>
    <t>inc_all_subs_</t>
  </si>
  <si>
    <t>total</t>
  </si>
  <si>
    <t>all_policies_pc_benefits__yd_</t>
  </si>
  <si>
    <t>concat</t>
  </si>
  <si>
    <t>subsidy_fuel_direct_pc_beneficiaries__yd_1</t>
  </si>
  <si>
    <t>subsidy_fuel_direct_pc_benefits__yd_1</t>
  </si>
  <si>
    <t>subsidy_fuel_direct_pc_coverage__yd_1</t>
  </si>
  <si>
    <t>subsidy_fuel_direct_pc_mean__yd_1</t>
  </si>
  <si>
    <t>all_tax_pc_beneficiaries__yd_1</t>
  </si>
  <si>
    <t>all_tax_pc_benefits__yd_1</t>
  </si>
  <si>
    <t>all_tax_pc_coverage__yd_1</t>
  </si>
  <si>
    <t>all_tax_pc_mean__yd_1</t>
  </si>
  <si>
    <t>all_subs_pc_beneficiaries__yd_1</t>
  </si>
  <si>
    <t>all_subs_pc_benefits__yd_1</t>
  </si>
  <si>
    <t>all_subs_pc_coverage__yd_1</t>
  </si>
  <si>
    <t>all_subs_pc_mean__yd_1</t>
  </si>
  <si>
    <t>subsidy_fuel_indirect_pc_beneficiaries__yd_1</t>
  </si>
  <si>
    <t>subsidy_fuel_indirect_pc_benefits__yd_1</t>
  </si>
  <si>
    <t>subsidy_fuel_indirect_pc_coverage__yd_1</t>
  </si>
  <si>
    <t>subsidy_fuel_indirect_pc_mean__yd_1</t>
  </si>
  <si>
    <t>subsidy_fuel_pc_beneficiaries__yd_1</t>
  </si>
  <si>
    <t>subsidy_fuel_pc_benefits__yd_1</t>
  </si>
  <si>
    <t>subsidy_fuel_pc_coverage__yd_1</t>
  </si>
  <si>
    <t>subsidy_fuel_pc_mean__yd_1</t>
  </si>
  <si>
    <t>subsidy_elec_direct_pc_beneficiaries__yd_1</t>
  </si>
  <si>
    <t>subsidy_elec_direct_pc_benefits__yd_1</t>
  </si>
  <si>
    <t>subsidy_elec_direct_pc_coverage__yd_1</t>
  </si>
  <si>
    <t>subsidy_elec_direct_pc_mean__yd_1</t>
  </si>
  <si>
    <t>subsidy_elec_indirect_pc_beneficiaries__yd_1</t>
  </si>
  <si>
    <t>subsidy_elec_indirect_pc_benefits__yd_1</t>
  </si>
  <si>
    <t>subsidy_elec_indirect_pc_coverage__yd_1</t>
  </si>
  <si>
    <t>subsidy_elec_indirect_pc_mean__yd_1</t>
  </si>
  <si>
    <t>subsidy_elec_pc_beneficiaries__yd_1</t>
  </si>
  <si>
    <t>subsidy_elec_pc_benefits__yd_1</t>
  </si>
  <si>
    <t>subsidy_elec_pc_coverage__yd_1</t>
  </si>
  <si>
    <t>subsidy_elec_pc_mean__yd_1</t>
  </si>
  <si>
    <t>vat_elec_pc_beneficiaries__yd_1</t>
  </si>
  <si>
    <t>vat_elec_pc_benefits__yd_1</t>
  </si>
  <si>
    <t>vat_elec_pc_coverage__yd_1</t>
  </si>
  <si>
    <t>vat_elec_pc_mean__yd_1</t>
  </si>
  <si>
    <t>vat_fuel_pc_beneficiaries__yd_1</t>
  </si>
  <si>
    <t>vat_fuel_pc_benefits__yd_1</t>
  </si>
  <si>
    <t>vat_fuel_pc_coverage__yd_1</t>
  </si>
  <si>
    <t>vat_fuel_pc_mean__yd_1</t>
  </si>
  <si>
    <t>all_policies_pc_beneficiaries__yd_1</t>
  </si>
  <si>
    <t>all_policies_pc_benefits__yd_1</t>
  </si>
  <si>
    <t>all_policies_pc_coverage__yd_1</t>
  </si>
  <si>
    <t>all_policies_pc_mean__yd_1</t>
  </si>
  <si>
    <t>subsidy_fuel_direct_pc_beneficiaries__yd_2</t>
  </si>
  <si>
    <t>subsidy_fuel_direct_pc_benefits__yd_2</t>
  </si>
  <si>
    <t>subsidy_fuel_direct_pc_coverage__yd_2</t>
  </si>
  <si>
    <t>subsidy_fuel_direct_pc_mean__yd_2</t>
  </si>
  <si>
    <t>all_tax_pc_beneficiaries__yd_2</t>
  </si>
  <si>
    <t>all_tax_pc_benefits__yd_2</t>
  </si>
  <si>
    <t>all_tax_pc_coverage__yd_2</t>
  </si>
  <si>
    <t>all_tax_pc_mean__yd_2</t>
  </si>
  <si>
    <t>all_subs_pc_beneficiaries__yd_2</t>
  </si>
  <si>
    <t>all_subs_pc_benefits__yd_2</t>
  </si>
  <si>
    <t>all_subs_pc_coverage__yd_2</t>
  </si>
  <si>
    <t>all_subs_pc_mean__yd_2</t>
  </si>
  <si>
    <t>subsidy_fuel_indirect_pc_beneficiaries__yd_2</t>
  </si>
  <si>
    <t>subsidy_fuel_indirect_pc_benefits__yd_2</t>
  </si>
  <si>
    <t>subsidy_fuel_indirect_pc_coverage__yd_2</t>
  </si>
  <si>
    <t>subsidy_fuel_indirect_pc_mean__yd_2</t>
  </si>
  <si>
    <t>subsidy_fuel_pc_beneficiaries__yd_2</t>
  </si>
  <si>
    <t>subsidy_fuel_pc_benefits__yd_2</t>
  </si>
  <si>
    <t>subsidy_fuel_pc_coverage__yd_2</t>
  </si>
  <si>
    <t>subsidy_fuel_pc_mean__yd_2</t>
  </si>
  <si>
    <t>subsidy_elec_direct_pc_beneficiaries__yd_2</t>
  </si>
  <si>
    <t>subsidy_elec_direct_pc_benefits__yd_2</t>
  </si>
  <si>
    <t>subsidy_elec_direct_pc_coverage__yd_2</t>
  </si>
  <si>
    <t>subsidy_elec_direct_pc_mean__yd_2</t>
  </si>
  <si>
    <t>subsidy_elec_indirect_pc_beneficiaries__yd_2</t>
  </si>
  <si>
    <t>subsidy_elec_indirect_pc_benefits__yd_2</t>
  </si>
  <si>
    <t>subsidy_elec_indirect_pc_coverage__yd_2</t>
  </si>
  <si>
    <t>subsidy_elec_indirect_pc_mean__yd_2</t>
  </si>
  <si>
    <t>subsidy_elec_pc_beneficiaries__yd_2</t>
  </si>
  <si>
    <t>subsidy_elec_pc_benefits__yd_2</t>
  </si>
  <si>
    <t>subsidy_elec_pc_coverage__yd_2</t>
  </si>
  <si>
    <t>subsidy_elec_pc_mean__yd_2</t>
  </si>
  <si>
    <t>vat_elec_pc_beneficiaries__yd_2</t>
  </si>
  <si>
    <t>vat_elec_pc_benefits__yd_2</t>
  </si>
  <si>
    <t>vat_elec_pc_coverage__yd_2</t>
  </si>
  <si>
    <t>vat_elec_pc_mean__yd_2</t>
  </si>
  <si>
    <t>vat_fuel_pc_beneficiaries__yd_2</t>
  </si>
  <si>
    <t>vat_fuel_pc_benefits__yd_2</t>
  </si>
  <si>
    <t>vat_fuel_pc_coverage__yd_2</t>
  </si>
  <si>
    <t>vat_fuel_pc_mean__yd_2</t>
  </si>
  <si>
    <t>all_policies_pc_beneficiaries__yd_2</t>
  </si>
  <si>
    <t>all_policies_pc_benefits__yd_2</t>
  </si>
  <si>
    <t>all_policies_pc_coverage__yd_2</t>
  </si>
  <si>
    <t>all_policies_pc_mean__yd_2</t>
  </si>
  <si>
    <t>subsidy_fuel_direct_pc_beneficiaries__yd_3</t>
  </si>
  <si>
    <t>subsidy_fuel_direct_pc_benefits__yd_3</t>
  </si>
  <si>
    <t>subsidy_fuel_direct_pc_coverage__yd_3</t>
  </si>
  <si>
    <t>subsidy_fuel_direct_pc_mean__yd_3</t>
  </si>
  <si>
    <t>all_tax_pc_beneficiaries__yd_3</t>
  </si>
  <si>
    <t>all_tax_pc_benefits__yd_3</t>
  </si>
  <si>
    <t>all_tax_pc_coverage__yd_3</t>
  </si>
  <si>
    <t>all_tax_pc_mean__yd_3</t>
  </si>
  <si>
    <t>all_subs_pc_beneficiaries__yd_3</t>
  </si>
  <si>
    <t>all_subs_pc_benefits__yd_3</t>
  </si>
  <si>
    <t>all_subs_pc_coverage__yd_3</t>
  </si>
  <si>
    <t>all_subs_pc_mean__yd_3</t>
  </si>
  <si>
    <t>subsidy_fuel_indirect_pc_beneficiaries__yd_3</t>
  </si>
  <si>
    <t>subsidy_fuel_indirect_pc_benefits__yd_3</t>
  </si>
  <si>
    <t>subsidy_fuel_indirect_pc_coverage__yd_3</t>
  </si>
  <si>
    <t>subsidy_fuel_indirect_pc_mean__yd_3</t>
  </si>
  <si>
    <t>subsidy_fuel_pc_beneficiaries__yd_3</t>
  </si>
  <si>
    <t>subsidy_fuel_pc_benefits__yd_3</t>
  </si>
  <si>
    <t>subsidy_fuel_pc_coverage__yd_3</t>
  </si>
  <si>
    <t>subsidy_fuel_pc_mean__yd_3</t>
  </si>
  <si>
    <t>subsidy_elec_direct_pc_beneficiaries__yd_3</t>
  </si>
  <si>
    <t>subsidy_elec_direct_pc_benefits__yd_3</t>
  </si>
  <si>
    <t>subsidy_elec_direct_pc_coverage__yd_3</t>
  </si>
  <si>
    <t>subsidy_elec_direct_pc_mean__yd_3</t>
  </si>
  <si>
    <t>subsidy_elec_indirect_pc_beneficiaries__yd_3</t>
  </si>
  <si>
    <t>subsidy_elec_indirect_pc_benefits__yd_3</t>
  </si>
  <si>
    <t>subsidy_elec_indirect_pc_coverage__yd_3</t>
  </si>
  <si>
    <t>subsidy_elec_indirect_pc_mean__yd_3</t>
  </si>
  <si>
    <t>subsidy_elec_pc_beneficiaries__yd_3</t>
  </si>
  <si>
    <t>subsidy_elec_pc_benefits__yd_3</t>
  </si>
  <si>
    <t>subsidy_elec_pc_coverage__yd_3</t>
  </si>
  <si>
    <t>subsidy_elec_pc_mean__yd_3</t>
  </si>
  <si>
    <t>vat_elec_pc_beneficiaries__yd_3</t>
  </si>
  <si>
    <t>vat_elec_pc_benefits__yd_3</t>
  </si>
  <si>
    <t>vat_elec_pc_coverage__yd_3</t>
  </si>
  <si>
    <t>vat_elec_pc_mean__yd_3</t>
  </si>
  <si>
    <t>vat_fuel_pc_beneficiaries__yd_3</t>
  </si>
  <si>
    <t>vat_fuel_pc_benefits__yd_3</t>
  </si>
  <si>
    <t>vat_fuel_pc_coverage__yd_3</t>
  </si>
  <si>
    <t>vat_fuel_pc_mean__yd_3</t>
  </si>
  <si>
    <t>all_policies_pc_beneficiaries__yd_3</t>
  </si>
  <si>
    <t>all_policies_pc_benefits__yd_3</t>
  </si>
  <si>
    <t>all_policies_pc_coverage__yd_3</t>
  </si>
  <si>
    <t>all_policies_pc_mean__yd_3</t>
  </si>
  <si>
    <t>subsidy_fuel_direct_pc_beneficiaries__yd_4</t>
  </si>
  <si>
    <t>subsidy_fuel_direct_pc_benefits__yd_4</t>
  </si>
  <si>
    <t>subsidy_fuel_direct_pc_coverage__yd_4</t>
  </si>
  <si>
    <t>subsidy_fuel_direct_pc_mean__yd_4</t>
  </si>
  <si>
    <t>all_tax_pc_beneficiaries__yd_4</t>
  </si>
  <si>
    <t>all_tax_pc_benefits__yd_4</t>
  </si>
  <si>
    <t>all_tax_pc_coverage__yd_4</t>
  </si>
  <si>
    <t>all_tax_pc_mean__yd_4</t>
  </si>
  <si>
    <t>all_subs_pc_beneficiaries__yd_4</t>
  </si>
  <si>
    <t>all_subs_pc_benefits__yd_4</t>
  </si>
  <si>
    <t>all_subs_pc_coverage__yd_4</t>
  </si>
  <si>
    <t>all_subs_pc_mean__yd_4</t>
  </si>
  <si>
    <t>subsidy_fuel_indirect_pc_beneficiaries__yd_4</t>
  </si>
  <si>
    <t>subsidy_fuel_indirect_pc_benefits__yd_4</t>
  </si>
  <si>
    <t>subsidy_fuel_indirect_pc_coverage__yd_4</t>
  </si>
  <si>
    <t>subsidy_fuel_indirect_pc_mean__yd_4</t>
  </si>
  <si>
    <t>subsidy_fuel_pc_beneficiaries__yd_4</t>
  </si>
  <si>
    <t>subsidy_fuel_pc_benefits__yd_4</t>
  </si>
  <si>
    <t>subsidy_fuel_pc_coverage__yd_4</t>
  </si>
  <si>
    <t>subsidy_fuel_pc_mean__yd_4</t>
  </si>
  <si>
    <t>subsidy_elec_direct_pc_beneficiaries__yd_4</t>
  </si>
  <si>
    <t>subsidy_elec_direct_pc_benefits__yd_4</t>
  </si>
  <si>
    <t>subsidy_elec_direct_pc_coverage__yd_4</t>
  </si>
  <si>
    <t>subsidy_elec_direct_pc_mean__yd_4</t>
  </si>
  <si>
    <t>subsidy_elec_indirect_pc_beneficiaries__yd_4</t>
  </si>
  <si>
    <t>subsidy_elec_indirect_pc_benefits__yd_4</t>
  </si>
  <si>
    <t>subsidy_elec_indirect_pc_coverage__yd_4</t>
  </si>
  <si>
    <t>subsidy_elec_indirect_pc_mean__yd_4</t>
  </si>
  <si>
    <t>subsidy_elec_pc_beneficiaries__yd_4</t>
  </si>
  <si>
    <t>subsidy_elec_pc_benefits__yd_4</t>
  </si>
  <si>
    <t>subsidy_elec_pc_coverage__yd_4</t>
  </si>
  <si>
    <t>subsidy_elec_pc_mean__yd_4</t>
  </si>
  <si>
    <t>vat_elec_pc_beneficiaries__yd_4</t>
  </si>
  <si>
    <t>vat_elec_pc_benefits__yd_4</t>
  </si>
  <si>
    <t>vat_elec_pc_coverage__yd_4</t>
  </si>
  <si>
    <t>vat_elec_pc_mean__yd_4</t>
  </si>
  <si>
    <t>vat_fuel_pc_beneficiaries__yd_4</t>
  </si>
  <si>
    <t>vat_fuel_pc_benefits__yd_4</t>
  </si>
  <si>
    <t>vat_fuel_pc_coverage__yd_4</t>
  </si>
  <si>
    <t>vat_fuel_pc_mean__yd_4</t>
  </si>
  <si>
    <t>all_policies_pc_beneficiaries__yd_4</t>
  </si>
  <si>
    <t>all_policies_pc_benefits__yd_4</t>
  </si>
  <si>
    <t>all_policies_pc_coverage__yd_4</t>
  </si>
  <si>
    <t>all_policies_pc_mean__yd_4</t>
  </si>
  <si>
    <t>subsidy_fuel_direct_pc_beneficiaries__yd_5</t>
  </si>
  <si>
    <t>subsidy_fuel_direct_pc_benefits__yd_5</t>
  </si>
  <si>
    <t>subsidy_fuel_direct_pc_coverage__yd_5</t>
  </si>
  <si>
    <t>subsidy_fuel_direct_pc_mean__yd_5</t>
  </si>
  <si>
    <t>all_tax_pc_beneficiaries__yd_5</t>
  </si>
  <si>
    <t>all_tax_pc_benefits__yd_5</t>
  </si>
  <si>
    <t>all_tax_pc_coverage__yd_5</t>
  </si>
  <si>
    <t>all_tax_pc_mean__yd_5</t>
  </si>
  <si>
    <t>all_subs_pc_beneficiaries__yd_5</t>
  </si>
  <si>
    <t>all_subs_pc_benefits__yd_5</t>
  </si>
  <si>
    <t>all_subs_pc_coverage__yd_5</t>
  </si>
  <si>
    <t>all_subs_pc_mean__yd_5</t>
  </si>
  <si>
    <t>subsidy_fuel_indirect_pc_beneficiaries__yd_5</t>
  </si>
  <si>
    <t>subsidy_fuel_indirect_pc_benefits__yd_5</t>
  </si>
  <si>
    <t>subsidy_fuel_indirect_pc_coverage__yd_5</t>
  </si>
  <si>
    <t>subsidy_fuel_indirect_pc_mean__yd_5</t>
  </si>
  <si>
    <t>subsidy_fuel_pc_beneficiaries__yd_5</t>
  </si>
  <si>
    <t>subsidy_fuel_pc_benefits__yd_5</t>
  </si>
  <si>
    <t>subsidy_fuel_pc_coverage__yd_5</t>
  </si>
  <si>
    <t>subsidy_fuel_pc_mean__yd_5</t>
  </si>
  <si>
    <t>subsidy_elec_direct_pc_beneficiaries__yd_5</t>
  </si>
  <si>
    <t>subsidy_elec_direct_pc_benefits__yd_5</t>
  </si>
  <si>
    <t>subsidy_elec_direct_pc_coverage__yd_5</t>
  </si>
  <si>
    <t>subsidy_elec_direct_pc_mean__yd_5</t>
  </si>
  <si>
    <t>subsidy_elec_indirect_pc_beneficiaries__yd_5</t>
  </si>
  <si>
    <t>subsidy_elec_indirect_pc_benefits__yd_5</t>
  </si>
  <si>
    <t>subsidy_elec_indirect_pc_coverage__yd_5</t>
  </si>
  <si>
    <t>subsidy_elec_indirect_pc_mean__yd_5</t>
  </si>
  <si>
    <t>subsidy_elec_pc_beneficiaries__yd_5</t>
  </si>
  <si>
    <t>subsidy_elec_pc_benefits__yd_5</t>
  </si>
  <si>
    <t>subsidy_elec_pc_coverage__yd_5</t>
  </si>
  <si>
    <t>subsidy_elec_pc_mean__yd_5</t>
  </si>
  <si>
    <t>vat_elec_pc_beneficiaries__yd_5</t>
  </si>
  <si>
    <t>vat_elec_pc_benefits__yd_5</t>
  </si>
  <si>
    <t>vat_elec_pc_coverage__yd_5</t>
  </si>
  <si>
    <t>vat_elec_pc_mean__yd_5</t>
  </si>
  <si>
    <t>vat_fuel_pc_beneficiaries__yd_5</t>
  </si>
  <si>
    <t>vat_fuel_pc_benefits__yd_5</t>
  </si>
  <si>
    <t>vat_fuel_pc_coverage__yd_5</t>
  </si>
  <si>
    <t>vat_fuel_pc_mean__yd_5</t>
  </si>
  <si>
    <t>all_policies_pc_beneficiaries__yd_5</t>
  </si>
  <si>
    <t>all_policies_pc_benefits__yd_5</t>
  </si>
  <si>
    <t>all_policies_pc_coverage__yd_5</t>
  </si>
  <si>
    <t>all_policies_pc_mean__yd_5</t>
  </si>
  <si>
    <t>subsidy_fuel_direct_pc_beneficiaries__yd_6</t>
  </si>
  <si>
    <t>subsidy_fuel_direct_pc_benefits__yd_6</t>
  </si>
  <si>
    <t>subsidy_fuel_direct_pc_coverage__yd_6</t>
  </si>
  <si>
    <t>subsidy_fuel_direct_pc_mean__yd_6</t>
  </si>
  <si>
    <t>all_tax_pc_beneficiaries__yd_6</t>
  </si>
  <si>
    <t>all_tax_pc_benefits__yd_6</t>
  </si>
  <si>
    <t>all_tax_pc_coverage__yd_6</t>
  </si>
  <si>
    <t>all_tax_pc_mean__yd_6</t>
  </si>
  <si>
    <t>all_subs_pc_beneficiaries__yd_6</t>
  </si>
  <si>
    <t>all_subs_pc_benefits__yd_6</t>
  </si>
  <si>
    <t>all_subs_pc_coverage__yd_6</t>
  </si>
  <si>
    <t>all_subs_pc_mean__yd_6</t>
  </si>
  <si>
    <t>subsidy_fuel_indirect_pc_beneficiaries__yd_6</t>
  </si>
  <si>
    <t>subsidy_fuel_indirect_pc_benefits__yd_6</t>
  </si>
  <si>
    <t>subsidy_fuel_indirect_pc_coverage__yd_6</t>
  </si>
  <si>
    <t>subsidy_fuel_indirect_pc_mean__yd_6</t>
  </si>
  <si>
    <t>subsidy_fuel_pc_beneficiaries__yd_6</t>
  </si>
  <si>
    <t>subsidy_fuel_pc_benefits__yd_6</t>
  </si>
  <si>
    <t>subsidy_fuel_pc_coverage__yd_6</t>
  </si>
  <si>
    <t>subsidy_fuel_pc_mean__yd_6</t>
  </si>
  <si>
    <t>subsidy_elec_direct_pc_beneficiaries__yd_6</t>
  </si>
  <si>
    <t>subsidy_elec_direct_pc_benefits__yd_6</t>
  </si>
  <si>
    <t>subsidy_elec_direct_pc_coverage__yd_6</t>
  </si>
  <si>
    <t>subsidy_elec_direct_pc_mean__yd_6</t>
  </si>
  <si>
    <t>subsidy_elec_indirect_pc_beneficiaries__yd_6</t>
  </si>
  <si>
    <t>subsidy_elec_indirect_pc_benefits__yd_6</t>
  </si>
  <si>
    <t>subsidy_elec_indirect_pc_coverage__yd_6</t>
  </si>
  <si>
    <t>subsidy_elec_indirect_pc_mean__yd_6</t>
  </si>
  <si>
    <t>subsidy_elec_pc_beneficiaries__yd_6</t>
  </si>
  <si>
    <t>subsidy_elec_pc_benefits__yd_6</t>
  </si>
  <si>
    <t>subsidy_elec_pc_coverage__yd_6</t>
  </si>
  <si>
    <t>subsidy_elec_pc_mean__yd_6</t>
  </si>
  <si>
    <t>vat_elec_pc_beneficiaries__yd_6</t>
  </si>
  <si>
    <t>vat_elec_pc_benefits__yd_6</t>
  </si>
  <si>
    <t>vat_elec_pc_coverage__yd_6</t>
  </si>
  <si>
    <t>vat_elec_pc_mean__yd_6</t>
  </si>
  <si>
    <t>vat_fuel_pc_beneficiaries__yd_6</t>
  </si>
  <si>
    <t>vat_fuel_pc_benefits__yd_6</t>
  </si>
  <si>
    <t>vat_fuel_pc_coverage__yd_6</t>
  </si>
  <si>
    <t>vat_fuel_pc_mean__yd_6</t>
  </si>
  <si>
    <t>all_policies_pc_beneficiaries__yd_6</t>
  </si>
  <si>
    <t>all_policies_pc_benefits__yd_6</t>
  </si>
  <si>
    <t>all_policies_pc_coverage__yd_6</t>
  </si>
  <si>
    <t>all_policies_pc_mean__yd_6</t>
  </si>
  <si>
    <t>subsidy_fuel_direct_pc_beneficiaries__yd_7</t>
  </si>
  <si>
    <t>subsidy_fuel_direct_pc_benefits__yd_7</t>
  </si>
  <si>
    <t>subsidy_fuel_direct_pc_coverage__yd_7</t>
  </si>
  <si>
    <t>subsidy_fuel_direct_pc_mean__yd_7</t>
  </si>
  <si>
    <t>all_tax_pc_beneficiaries__yd_7</t>
  </si>
  <si>
    <t>all_tax_pc_benefits__yd_7</t>
  </si>
  <si>
    <t>all_tax_pc_coverage__yd_7</t>
  </si>
  <si>
    <t>all_tax_pc_mean__yd_7</t>
  </si>
  <si>
    <t>all_subs_pc_beneficiaries__yd_7</t>
  </si>
  <si>
    <t>all_subs_pc_benefits__yd_7</t>
  </si>
  <si>
    <t>all_subs_pc_coverage__yd_7</t>
  </si>
  <si>
    <t>all_subs_pc_mean__yd_7</t>
  </si>
  <si>
    <t>subsidy_fuel_indirect_pc_beneficiaries__yd_7</t>
  </si>
  <si>
    <t>subsidy_fuel_indirect_pc_benefits__yd_7</t>
  </si>
  <si>
    <t>subsidy_fuel_indirect_pc_coverage__yd_7</t>
  </si>
  <si>
    <t>subsidy_fuel_indirect_pc_mean__yd_7</t>
  </si>
  <si>
    <t>subsidy_fuel_pc_beneficiaries__yd_7</t>
  </si>
  <si>
    <t>subsidy_fuel_pc_benefits__yd_7</t>
  </si>
  <si>
    <t>subsidy_fuel_pc_coverage__yd_7</t>
  </si>
  <si>
    <t>subsidy_fuel_pc_mean__yd_7</t>
  </si>
  <si>
    <t>subsidy_elec_direct_pc_beneficiaries__yd_7</t>
  </si>
  <si>
    <t>subsidy_elec_direct_pc_benefits__yd_7</t>
  </si>
  <si>
    <t>subsidy_elec_direct_pc_coverage__yd_7</t>
  </si>
  <si>
    <t>subsidy_elec_direct_pc_mean__yd_7</t>
  </si>
  <si>
    <t>subsidy_elec_indirect_pc_beneficiaries__yd_7</t>
  </si>
  <si>
    <t>subsidy_elec_indirect_pc_benefits__yd_7</t>
  </si>
  <si>
    <t>subsidy_elec_indirect_pc_coverage__yd_7</t>
  </si>
  <si>
    <t>subsidy_elec_indirect_pc_mean__yd_7</t>
  </si>
  <si>
    <t>subsidy_elec_pc_beneficiaries__yd_7</t>
  </si>
  <si>
    <t>subsidy_elec_pc_benefits__yd_7</t>
  </si>
  <si>
    <t>subsidy_elec_pc_coverage__yd_7</t>
  </si>
  <si>
    <t>subsidy_elec_pc_mean__yd_7</t>
  </si>
  <si>
    <t>vat_elec_pc_beneficiaries__yd_7</t>
  </si>
  <si>
    <t>vat_elec_pc_benefits__yd_7</t>
  </si>
  <si>
    <t>vat_elec_pc_coverage__yd_7</t>
  </si>
  <si>
    <t>vat_elec_pc_mean__yd_7</t>
  </si>
  <si>
    <t>vat_fuel_pc_beneficiaries__yd_7</t>
  </si>
  <si>
    <t>vat_fuel_pc_benefits__yd_7</t>
  </si>
  <si>
    <t>vat_fuel_pc_coverage__yd_7</t>
  </si>
  <si>
    <t>vat_fuel_pc_mean__yd_7</t>
  </si>
  <si>
    <t>all_policies_pc_beneficiaries__yd_7</t>
  </si>
  <si>
    <t>all_policies_pc_benefits__yd_7</t>
  </si>
  <si>
    <t>all_policies_pc_coverage__yd_7</t>
  </si>
  <si>
    <t>all_policies_pc_mean__yd_7</t>
  </si>
  <si>
    <t>subsidy_fuel_direct_pc_beneficiaries__yd_8</t>
  </si>
  <si>
    <t>subsidy_fuel_direct_pc_benefits__yd_8</t>
  </si>
  <si>
    <t>subsidy_fuel_direct_pc_coverage__yd_8</t>
  </si>
  <si>
    <t>subsidy_fuel_direct_pc_mean__yd_8</t>
  </si>
  <si>
    <t>all_tax_pc_beneficiaries__yd_8</t>
  </si>
  <si>
    <t>all_tax_pc_benefits__yd_8</t>
  </si>
  <si>
    <t>all_tax_pc_coverage__yd_8</t>
  </si>
  <si>
    <t>all_tax_pc_mean__yd_8</t>
  </si>
  <si>
    <t>all_subs_pc_beneficiaries__yd_8</t>
  </si>
  <si>
    <t>all_subs_pc_benefits__yd_8</t>
  </si>
  <si>
    <t>all_subs_pc_coverage__yd_8</t>
  </si>
  <si>
    <t>all_subs_pc_mean__yd_8</t>
  </si>
  <si>
    <t>subsidy_fuel_indirect_pc_beneficiaries__yd_8</t>
  </si>
  <si>
    <t>subsidy_fuel_indirect_pc_benefits__yd_8</t>
  </si>
  <si>
    <t>subsidy_fuel_indirect_pc_coverage__yd_8</t>
  </si>
  <si>
    <t>subsidy_fuel_indirect_pc_mean__yd_8</t>
  </si>
  <si>
    <t>subsidy_fuel_pc_beneficiaries__yd_8</t>
  </si>
  <si>
    <t>subsidy_fuel_pc_benefits__yd_8</t>
  </si>
  <si>
    <t>subsidy_fuel_pc_coverage__yd_8</t>
  </si>
  <si>
    <t>subsidy_fuel_pc_mean__yd_8</t>
  </si>
  <si>
    <t>subsidy_elec_direct_pc_beneficiaries__yd_8</t>
  </si>
  <si>
    <t>subsidy_elec_direct_pc_benefits__yd_8</t>
  </si>
  <si>
    <t>subsidy_elec_direct_pc_coverage__yd_8</t>
  </si>
  <si>
    <t>subsidy_elec_direct_pc_mean__yd_8</t>
  </si>
  <si>
    <t>subsidy_elec_indirect_pc_beneficiaries__yd_8</t>
  </si>
  <si>
    <t>subsidy_elec_indirect_pc_benefits__yd_8</t>
  </si>
  <si>
    <t>subsidy_elec_indirect_pc_coverage__yd_8</t>
  </si>
  <si>
    <t>subsidy_elec_indirect_pc_mean__yd_8</t>
  </si>
  <si>
    <t>subsidy_elec_pc_beneficiaries__yd_8</t>
  </si>
  <si>
    <t>subsidy_elec_pc_benefits__yd_8</t>
  </si>
  <si>
    <t>subsidy_elec_pc_coverage__yd_8</t>
  </si>
  <si>
    <t>subsidy_elec_pc_mean__yd_8</t>
  </si>
  <si>
    <t>vat_elec_pc_beneficiaries__yd_8</t>
  </si>
  <si>
    <t>vat_elec_pc_benefits__yd_8</t>
  </si>
  <si>
    <t>vat_elec_pc_coverage__yd_8</t>
  </si>
  <si>
    <t>vat_elec_pc_mean__yd_8</t>
  </si>
  <si>
    <t>vat_fuel_pc_beneficiaries__yd_8</t>
  </si>
  <si>
    <t>vat_fuel_pc_benefits__yd_8</t>
  </si>
  <si>
    <t>vat_fuel_pc_coverage__yd_8</t>
  </si>
  <si>
    <t>vat_fuel_pc_mean__yd_8</t>
  </si>
  <si>
    <t>all_policies_pc_beneficiaries__yd_8</t>
  </si>
  <si>
    <t>all_policies_pc_benefits__yd_8</t>
  </si>
  <si>
    <t>all_policies_pc_coverage__yd_8</t>
  </si>
  <si>
    <t>all_policies_pc_mean__yd_8</t>
  </si>
  <si>
    <t>subsidy_fuel_direct_pc_beneficiaries__yd_9</t>
  </si>
  <si>
    <t>subsidy_fuel_direct_pc_benefits__yd_9</t>
  </si>
  <si>
    <t>subsidy_fuel_direct_pc_coverage__yd_9</t>
  </si>
  <si>
    <t>subsidy_fuel_direct_pc_mean__yd_9</t>
  </si>
  <si>
    <t>all_tax_pc_beneficiaries__yd_9</t>
  </si>
  <si>
    <t>all_tax_pc_benefits__yd_9</t>
  </si>
  <si>
    <t>all_tax_pc_coverage__yd_9</t>
  </si>
  <si>
    <t>all_tax_pc_mean__yd_9</t>
  </si>
  <si>
    <t>all_subs_pc_beneficiaries__yd_9</t>
  </si>
  <si>
    <t>all_subs_pc_benefits__yd_9</t>
  </si>
  <si>
    <t>all_subs_pc_coverage__yd_9</t>
  </si>
  <si>
    <t>all_subs_pc_mean__yd_9</t>
  </si>
  <si>
    <t>subsidy_fuel_indirect_pc_beneficiaries__yd_9</t>
  </si>
  <si>
    <t>subsidy_fuel_indirect_pc_benefits__yd_9</t>
  </si>
  <si>
    <t>subsidy_fuel_indirect_pc_coverage__yd_9</t>
  </si>
  <si>
    <t>subsidy_fuel_indirect_pc_mean__yd_9</t>
  </si>
  <si>
    <t>subsidy_fuel_pc_beneficiaries__yd_9</t>
  </si>
  <si>
    <t>subsidy_fuel_pc_benefits__yd_9</t>
  </si>
  <si>
    <t>subsidy_fuel_pc_coverage__yd_9</t>
  </si>
  <si>
    <t>subsidy_fuel_pc_mean__yd_9</t>
  </si>
  <si>
    <t>subsidy_elec_direct_pc_beneficiaries__yd_9</t>
  </si>
  <si>
    <t>subsidy_elec_direct_pc_benefits__yd_9</t>
  </si>
  <si>
    <t>subsidy_elec_direct_pc_coverage__yd_9</t>
  </si>
  <si>
    <t>subsidy_elec_direct_pc_mean__yd_9</t>
  </si>
  <si>
    <t>subsidy_elec_indirect_pc_beneficiaries__yd_9</t>
  </si>
  <si>
    <t>subsidy_elec_indirect_pc_benefits__yd_9</t>
  </si>
  <si>
    <t>subsidy_elec_indirect_pc_coverage__yd_9</t>
  </si>
  <si>
    <t>subsidy_elec_indirect_pc_mean__yd_9</t>
  </si>
  <si>
    <t>subsidy_elec_pc_beneficiaries__yd_9</t>
  </si>
  <si>
    <t>subsidy_elec_pc_benefits__yd_9</t>
  </si>
  <si>
    <t>subsidy_elec_pc_coverage__yd_9</t>
  </si>
  <si>
    <t>subsidy_elec_pc_mean__yd_9</t>
  </si>
  <si>
    <t>vat_elec_pc_beneficiaries__yd_9</t>
  </si>
  <si>
    <t>vat_elec_pc_benefits__yd_9</t>
  </si>
  <si>
    <t>vat_elec_pc_coverage__yd_9</t>
  </si>
  <si>
    <t>vat_elec_pc_mean__yd_9</t>
  </si>
  <si>
    <t>vat_fuel_pc_beneficiaries__yd_9</t>
  </si>
  <si>
    <t>vat_fuel_pc_benefits__yd_9</t>
  </si>
  <si>
    <t>vat_fuel_pc_coverage__yd_9</t>
  </si>
  <si>
    <t>vat_fuel_pc_mean__yd_9</t>
  </si>
  <si>
    <t>all_policies_pc_beneficiaries__yd_9</t>
  </si>
  <si>
    <t>all_policies_pc_benefits__yd_9</t>
  </si>
  <si>
    <t>all_policies_pc_coverage__yd_9</t>
  </si>
  <si>
    <t>all_policies_pc_mean__yd_9</t>
  </si>
  <si>
    <t>subsidy_fuel_direct_pc_beneficiaries__yd_10</t>
  </si>
  <si>
    <t>subsidy_fuel_direct_pc_benefits__yd_10</t>
  </si>
  <si>
    <t>subsidy_fuel_direct_pc_coverage__yd_10</t>
  </si>
  <si>
    <t>subsidy_fuel_direct_pc_mean__yd_10</t>
  </si>
  <si>
    <t>all_tax_pc_beneficiaries__yd_10</t>
  </si>
  <si>
    <t>all_tax_pc_benefits__yd_10</t>
  </si>
  <si>
    <t>all_tax_pc_coverage__yd_10</t>
  </si>
  <si>
    <t>all_tax_pc_mean__yd_10</t>
  </si>
  <si>
    <t>all_subs_pc_beneficiaries__yd_10</t>
  </si>
  <si>
    <t>all_subs_pc_benefits__yd_10</t>
  </si>
  <si>
    <t>all_subs_pc_coverage__yd_10</t>
  </si>
  <si>
    <t>all_subs_pc_mean__yd_10</t>
  </si>
  <si>
    <t>subsidy_fuel_indirect_pc_beneficiaries__yd_10</t>
  </si>
  <si>
    <t>subsidy_fuel_indirect_pc_benefits__yd_10</t>
  </si>
  <si>
    <t>subsidy_fuel_indirect_pc_coverage__yd_10</t>
  </si>
  <si>
    <t>subsidy_fuel_indirect_pc_mean__yd_10</t>
  </si>
  <si>
    <t>subsidy_fuel_pc_beneficiaries__yd_10</t>
  </si>
  <si>
    <t>subsidy_fuel_pc_benefits__yd_10</t>
  </si>
  <si>
    <t>subsidy_fuel_pc_coverage__yd_10</t>
  </si>
  <si>
    <t>subsidy_fuel_pc_mean__yd_10</t>
  </si>
  <si>
    <t>subsidy_elec_direct_pc_beneficiaries__yd_10</t>
  </si>
  <si>
    <t>subsidy_elec_direct_pc_benefits__yd_10</t>
  </si>
  <si>
    <t>subsidy_elec_direct_pc_coverage__yd_10</t>
  </si>
  <si>
    <t>subsidy_elec_direct_pc_mean__yd_10</t>
  </si>
  <si>
    <t>subsidy_elec_indirect_pc_beneficiaries__yd_10</t>
  </si>
  <si>
    <t>subsidy_elec_indirect_pc_benefits__yd_10</t>
  </si>
  <si>
    <t>subsidy_elec_indirect_pc_coverage__yd_10</t>
  </si>
  <si>
    <t>subsidy_elec_indirect_pc_mean__yd_10</t>
  </si>
  <si>
    <t>subsidy_elec_pc_beneficiaries__yd_10</t>
  </si>
  <si>
    <t>subsidy_elec_pc_benefits__yd_10</t>
  </si>
  <si>
    <t>subsidy_elec_pc_coverage__yd_10</t>
  </si>
  <si>
    <t>subsidy_elec_pc_mean__yd_10</t>
  </si>
  <si>
    <t>vat_elec_pc_beneficiaries__yd_10</t>
  </si>
  <si>
    <t>vat_elec_pc_benefits__yd_10</t>
  </si>
  <si>
    <t>vat_elec_pc_coverage__yd_10</t>
  </si>
  <si>
    <t>vat_elec_pc_mean__yd_10</t>
  </si>
  <si>
    <t>vat_fuel_pc_beneficiaries__yd_10</t>
  </si>
  <si>
    <t>vat_fuel_pc_benefits__yd_10</t>
  </si>
  <si>
    <t>vat_fuel_pc_coverage__yd_10</t>
  </si>
  <si>
    <t>vat_fuel_pc_mean__yd_10</t>
  </si>
  <si>
    <t>all_policies_pc_beneficiaries__yd_10</t>
  </si>
  <si>
    <t>all_policies_pc_benefits__yd_10</t>
  </si>
  <si>
    <t>all_policies_pc_coverage__yd_10</t>
  </si>
  <si>
    <t>all_policies_pc_mean__yd_10</t>
  </si>
  <si>
    <t>all_policies_pc_netcash__yd_1</t>
  </si>
  <si>
    <t>all_subs_pc_netcash__yd_1</t>
  </si>
  <si>
    <t>all_tax_pc_netcash__yd_1</t>
  </si>
  <si>
    <t>subsidy_elec_direct_pc_netcash__yd_1</t>
  </si>
  <si>
    <t>subsidy_elec_indirect_pc_netcash__yd_1</t>
  </si>
  <si>
    <t>subsidy_elec_pc_netcash__yd_1</t>
  </si>
  <si>
    <t>subsidy_fuel_direct_pc_netcash__yd_1</t>
  </si>
  <si>
    <t>subsidy_fuel_indirect_pc_netcash__yd_1</t>
  </si>
  <si>
    <t>subsidy_fuel_pc_netcash__yd_1</t>
  </si>
  <si>
    <t>vat_elec_pc_netcash__yd_1</t>
  </si>
  <si>
    <t>vat_fuel_pc_netcash__yd_1</t>
  </si>
  <si>
    <t>all_policies_pc_netcash__yd_2</t>
  </si>
  <si>
    <t>all_subs_pc_netcash__yd_2</t>
  </si>
  <si>
    <t>all_tax_pc_netcash__yd_2</t>
  </si>
  <si>
    <t>subsidy_elec_direct_pc_netcash__yd_2</t>
  </si>
  <si>
    <t>subsidy_elec_indirect_pc_netcash__yd_2</t>
  </si>
  <si>
    <t>subsidy_elec_pc_netcash__yd_2</t>
  </si>
  <si>
    <t>subsidy_fuel_direct_pc_netcash__yd_2</t>
  </si>
  <si>
    <t>subsidy_fuel_indirect_pc_netcash__yd_2</t>
  </si>
  <si>
    <t>subsidy_fuel_pc_netcash__yd_2</t>
  </si>
  <si>
    <t>vat_elec_pc_netcash__yd_2</t>
  </si>
  <si>
    <t>vat_fuel_pc_netcash__yd_2</t>
  </si>
  <si>
    <t>all_policies_pc_netcash__yd_3</t>
  </si>
  <si>
    <t>all_subs_pc_netcash__yd_3</t>
  </si>
  <si>
    <t>all_tax_pc_netcash__yd_3</t>
  </si>
  <si>
    <t>subsidy_elec_direct_pc_netcash__yd_3</t>
  </si>
  <si>
    <t>subsidy_elec_indirect_pc_netcash__yd_3</t>
  </si>
  <si>
    <t>subsidy_elec_pc_netcash__yd_3</t>
  </si>
  <si>
    <t>subsidy_fuel_direct_pc_netcash__yd_3</t>
  </si>
  <si>
    <t>subsidy_fuel_indirect_pc_netcash__yd_3</t>
  </si>
  <si>
    <t>subsidy_fuel_pc_netcash__yd_3</t>
  </si>
  <si>
    <t>vat_elec_pc_netcash__yd_3</t>
  </si>
  <si>
    <t>vat_fuel_pc_netcash__yd_3</t>
  </si>
  <si>
    <t>all_policies_pc_netcash__yd_4</t>
  </si>
  <si>
    <t>all_subs_pc_netcash__yd_4</t>
  </si>
  <si>
    <t>all_tax_pc_netcash__yd_4</t>
  </si>
  <si>
    <t>subsidy_elec_direct_pc_netcash__yd_4</t>
  </si>
  <si>
    <t>subsidy_elec_indirect_pc_netcash__yd_4</t>
  </si>
  <si>
    <t>subsidy_elec_pc_netcash__yd_4</t>
  </si>
  <si>
    <t>subsidy_fuel_direct_pc_netcash__yd_4</t>
  </si>
  <si>
    <t>subsidy_fuel_indirect_pc_netcash__yd_4</t>
  </si>
  <si>
    <t>subsidy_fuel_pc_netcash__yd_4</t>
  </si>
  <si>
    <t>vat_elec_pc_netcash__yd_4</t>
  </si>
  <si>
    <t>vat_fuel_pc_netcash__yd_4</t>
  </si>
  <si>
    <t>all_policies_pc_netcash__yd_5</t>
  </si>
  <si>
    <t>all_subs_pc_netcash__yd_5</t>
  </si>
  <si>
    <t>all_tax_pc_netcash__yd_5</t>
  </si>
  <si>
    <t>subsidy_elec_direct_pc_netcash__yd_5</t>
  </si>
  <si>
    <t>subsidy_elec_indirect_pc_netcash__yd_5</t>
  </si>
  <si>
    <t>subsidy_elec_pc_netcash__yd_5</t>
  </si>
  <si>
    <t>subsidy_fuel_direct_pc_netcash__yd_5</t>
  </si>
  <si>
    <t>subsidy_fuel_indirect_pc_netcash__yd_5</t>
  </si>
  <si>
    <t>subsidy_fuel_pc_netcash__yd_5</t>
  </si>
  <si>
    <t>vat_elec_pc_netcash__yd_5</t>
  </si>
  <si>
    <t>vat_fuel_pc_netcash__yd_5</t>
  </si>
  <si>
    <t>all_policies_pc_netcash__yd_6</t>
  </si>
  <si>
    <t>all_subs_pc_netcash__yd_6</t>
  </si>
  <si>
    <t>all_tax_pc_netcash__yd_6</t>
  </si>
  <si>
    <t>subsidy_elec_direct_pc_netcash__yd_6</t>
  </si>
  <si>
    <t>subsidy_elec_indirect_pc_netcash__yd_6</t>
  </si>
  <si>
    <t>subsidy_elec_pc_netcash__yd_6</t>
  </si>
  <si>
    <t>subsidy_fuel_direct_pc_netcash__yd_6</t>
  </si>
  <si>
    <t>subsidy_fuel_indirect_pc_netcash__yd_6</t>
  </si>
  <si>
    <t>subsidy_fuel_pc_netcash__yd_6</t>
  </si>
  <si>
    <t>vat_elec_pc_netcash__yd_6</t>
  </si>
  <si>
    <t>vat_fuel_pc_netcash__yd_6</t>
  </si>
  <si>
    <t>all_policies_pc_netcash__yd_7</t>
  </si>
  <si>
    <t>all_subs_pc_netcash__yd_7</t>
  </si>
  <si>
    <t>all_tax_pc_netcash__yd_7</t>
  </si>
  <si>
    <t>subsidy_elec_direct_pc_netcash__yd_7</t>
  </si>
  <si>
    <t>subsidy_elec_indirect_pc_netcash__yd_7</t>
  </si>
  <si>
    <t>subsidy_elec_pc_netcash__yd_7</t>
  </si>
  <si>
    <t>subsidy_fuel_direct_pc_netcash__yd_7</t>
  </si>
  <si>
    <t>subsidy_fuel_indirect_pc_netcash__yd_7</t>
  </si>
  <si>
    <t>subsidy_fuel_pc_netcash__yd_7</t>
  </si>
  <si>
    <t>vat_elec_pc_netcash__yd_7</t>
  </si>
  <si>
    <t>vat_fuel_pc_netcash__yd_7</t>
  </si>
  <si>
    <t>all_policies_pc_netcash__yd_8</t>
  </si>
  <si>
    <t>all_subs_pc_netcash__yd_8</t>
  </si>
  <si>
    <t>all_tax_pc_netcash__yd_8</t>
  </si>
  <si>
    <t>subsidy_elec_direct_pc_netcash__yd_8</t>
  </si>
  <si>
    <t>subsidy_elec_indirect_pc_netcash__yd_8</t>
  </si>
  <si>
    <t>subsidy_elec_pc_netcash__yd_8</t>
  </si>
  <si>
    <t>subsidy_fuel_direct_pc_netcash__yd_8</t>
  </si>
  <si>
    <t>subsidy_fuel_indirect_pc_netcash__yd_8</t>
  </si>
  <si>
    <t>subsidy_fuel_pc_netcash__yd_8</t>
  </si>
  <si>
    <t>vat_elec_pc_netcash__yd_8</t>
  </si>
  <si>
    <t>vat_fuel_pc_netcash__yd_8</t>
  </si>
  <si>
    <t>all_policies_pc_netcash__yd_9</t>
  </si>
  <si>
    <t>all_subs_pc_netcash__yd_9</t>
  </si>
  <si>
    <t>all_tax_pc_netcash__yd_9</t>
  </si>
  <si>
    <t>subsidy_elec_direct_pc_netcash__yd_9</t>
  </si>
  <si>
    <t>subsidy_elec_indirect_pc_netcash__yd_9</t>
  </si>
  <si>
    <t>subsidy_elec_pc_netcash__yd_9</t>
  </si>
  <si>
    <t>subsidy_fuel_direct_pc_netcash__yd_9</t>
  </si>
  <si>
    <t>subsidy_fuel_indirect_pc_netcash__yd_9</t>
  </si>
  <si>
    <t>subsidy_fuel_pc_netcash__yd_9</t>
  </si>
  <si>
    <t>vat_elec_pc_netcash__yd_9</t>
  </si>
  <si>
    <t>vat_fuel_pc_netcash__yd_9</t>
  </si>
  <si>
    <t>all_policies_pc_netcash__yd_10</t>
  </si>
  <si>
    <t>all_subs_pc_netcash__yd_10</t>
  </si>
  <si>
    <t>all_tax_pc_netcash__yd_10</t>
  </si>
  <si>
    <t>subsidy_elec_direct_pc_netcash__yd_10</t>
  </si>
  <si>
    <t>subsidy_elec_indirect_pc_netcash__yd_10</t>
  </si>
  <si>
    <t>subsidy_elec_pc_netcash__yd_10</t>
  </si>
  <si>
    <t>subsidy_fuel_direct_pc_netcash__yd_10</t>
  </si>
  <si>
    <t>subsidy_fuel_indirect_pc_netcash__yd_10</t>
  </si>
  <si>
    <t>subsidy_fuel_pc_netcash__yd_10</t>
  </si>
  <si>
    <t>vat_elec_pc_netcash__yd_10</t>
  </si>
  <si>
    <t>vat_fuel_pc_netcash__yd_10</t>
  </si>
  <si>
    <t>all_policies_pc_cond_netcash__yd_1</t>
  </si>
  <si>
    <t>all_subs_pc_cond_netcash__yd_1</t>
  </si>
  <si>
    <t>all_tax_pc_cond_netcash__yd_1</t>
  </si>
  <si>
    <t>subsidy_elec_direct_pc_cond_netcash__yd_1</t>
  </si>
  <si>
    <t>subsidy_elec_indirect_pc_cond_netcash__yd_1</t>
  </si>
  <si>
    <t>subsidy_elec_pc_cond_netcash__yd_1</t>
  </si>
  <si>
    <t>subsidy_fuel_direct_pc_cond_netcash__yd_1</t>
  </si>
  <si>
    <t>subsidy_fuel_indirect_pc_cond_netcash__yd_1</t>
  </si>
  <si>
    <t>subsidy_fuel_pc_cond_netcash__yd_1</t>
  </si>
  <si>
    <t>vat_elec_pc_cond_netcash__yd_1</t>
  </si>
  <si>
    <t>vat_fuel_pc_cond_netcash__yd_1</t>
  </si>
  <si>
    <t>all_policies_pc_cond_netcash__yd_2</t>
  </si>
  <si>
    <t>all_subs_pc_cond_netcash__yd_2</t>
  </si>
  <si>
    <t>all_tax_pc_cond_netcash__yd_2</t>
  </si>
  <si>
    <t>subsidy_elec_direct_pc_cond_netcash__yd_2</t>
  </si>
  <si>
    <t>subsidy_elec_indirect_pc_cond_netcash__yd_2</t>
  </si>
  <si>
    <t>subsidy_elec_pc_cond_netcash__yd_2</t>
  </si>
  <si>
    <t>subsidy_fuel_direct_pc_cond_netcash__yd_2</t>
  </si>
  <si>
    <t>subsidy_fuel_indirect_pc_cond_netcash__yd_2</t>
  </si>
  <si>
    <t>subsidy_fuel_pc_cond_netcash__yd_2</t>
  </si>
  <si>
    <t>vat_elec_pc_cond_netcash__yd_2</t>
  </si>
  <si>
    <t>vat_fuel_pc_cond_netcash__yd_2</t>
  </si>
  <si>
    <t>all_policies_pc_cond_netcash__yd_3</t>
  </si>
  <si>
    <t>all_subs_pc_cond_netcash__yd_3</t>
  </si>
  <si>
    <t>all_tax_pc_cond_netcash__yd_3</t>
  </si>
  <si>
    <t>subsidy_elec_direct_pc_cond_netcash__yd_3</t>
  </si>
  <si>
    <t>subsidy_elec_indirect_pc_cond_netcash__yd_3</t>
  </si>
  <si>
    <t>subsidy_elec_pc_cond_netcash__yd_3</t>
  </si>
  <si>
    <t>subsidy_fuel_direct_pc_cond_netcash__yd_3</t>
  </si>
  <si>
    <t>subsidy_fuel_indirect_pc_cond_netcash__yd_3</t>
  </si>
  <si>
    <t>subsidy_fuel_pc_cond_netcash__yd_3</t>
  </si>
  <si>
    <t>vat_elec_pc_cond_netcash__yd_3</t>
  </si>
  <si>
    <t>vat_fuel_pc_cond_netcash__yd_3</t>
  </si>
  <si>
    <t>all_policies_pc_cond_netcash__yd_4</t>
  </si>
  <si>
    <t>all_subs_pc_cond_netcash__yd_4</t>
  </si>
  <si>
    <t>all_tax_pc_cond_netcash__yd_4</t>
  </si>
  <si>
    <t>subsidy_elec_direct_pc_cond_netcash__yd_4</t>
  </si>
  <si>
    <t>subsidy_elec_indirect_pc_cond_netcash__yd_4</t>
  </si>
  <si>
    <t>subsidy_elec_pc_cond_netcash__yd_4</t>
  </si>
  <si>
    <t>subsidy_fuel_direct_pc_cond_netcash__yd_4</t>
  </si>
  <si>
    <t>subsidy_fuel_indirect_pc_cond_netcash__yd_4</t>
  </si>
  <si>
    <t>subsidy_fuel_pc_cond_netcash__yd_4</t>
  </si>
  <si>
    <t>vat_elec_pc_cond_netcash__yd_4</t>
  </si>
  <si>
    <t>vat_fuel_pc_cond_netcash__yd_4</t>
  </si>
  <si>
    <t>all_policies_pc_cond_netcash__yd_5</t>
  </si>
  <si>
    <t>all_subs_pc_cond_netcash__yd_5</t>
  </si>
  <si>
    <t>all_tax_pc_cond_netcash__yd_5</t>
  </si>
  <si>
    <t>subsidy_elec_direct_pc_cond_netcash__yd_5</t>
  </si>
  <si>
    <t>subsidy_elec_indirect_pc_cond_netcash__yd_5</t>
  </si>
  <si>
    <t>subsidy_elec_pc_cond_netcash__yd_5</t>
  </si>
  <si>
    <t>subsidy_fuel_direct_pc_cond_netcash__yd_5</t>
  </si>
  <si>
    <t>subsidy_fuel_indirect_pc_cond_netcash__yd_5</t>
  </si>
  <si>
    <t>subsidy_fuel_pc_cond_netcash__yd_5</t>
  </si>
  <si>
    <t>vat_elec_pc_cond_netcash__yd_5</t>
  </si>
  <si>
    <t>vat_fuel_pc_cond_netcash__yd_5</t>
  </si>
  <si>
    <t>all_policies_pc_cond_netcash__yd_6</t>
  </si>
  <si>
    <t>all_subs_pc_cond_netcash__yd_6</t>
  </si>
  <si>
    <t>all_tax_pc_cond_netcash__yd_6</t>
  </si>
  <si>
    <t>subsidy_elec_direct_pc_cond_netcash__yd_6</t>
  </si>
  <si>
    <t>subsidy_elec_indirect_pc_cond_netcash__yd_6</t>
  </si>
  <si>
    <t>subsidy_elec_pc_cond_netcash__yd_6</t>
  </si>
  <si>
    <t>subsidy_fuel_direct_pc_cond_netcash__yd_6</t>
  </si>
  <si>
    <t>subsidy_fuel_indirect_pc_cond_netcash__yd_6</t>
  </si>
  <si>
    <t>subsidy_fuel_pc_cond_netcash__yd_6</t>
  </si>
  <si>
    <t>vat_elec_pc_cond_netcash__yd_6</t>
  </si>
  <si>
    <t>vat_fuel_pc_cond_netcash__yd_6</t>
  </si>
  <si>
    <t>all_policies_pc_cond_netcash__yd_7</t>
  </si>
  <si>
    <t>all_subs_pc_cond_netcash__yd_7</t>
  </si>
  <si>
    <t>all_tax_pc_cond_netcash__yd_7</t>
  </si>
  <si>
    <t>subsidy_elec_direct_pc_cond_netcash__yd_7</t>
  </si>
  <si>
    <t>subsidy_elec_indirect_pc_cond_netcash__yd_7</t>
  </si>
  <si>
    <t>subsidy_elec_pc_cond_netcash__yd_7</t>
  </si>
  <si>
    <t>subsidy_fuel_direct_pc_cond_netcash__yd_7</t>
  </si>
  <si>
    <t>subsidy_fuel_indirect_pc_cond_netcash__yd_7</t>
  </si>
  <si>
    <t>subsidy_fuel_pc_cond_netcash__yd_7</t>
  </si>
  <si>
    <t>vat_elec_pc_cond_netcash__yd_7</t>
  </si>
  <si>
    <t>vat_fuel_pc_cond_netcash__yd_7</t>
  </si>
  <si>
    <t>all_policies_pc_cond_netcash__yd_8</t>
  </si>
  <si>
    <t>all_subs_pc_cond_netcash__yd_8</t>
  </si>
  <si>
    <t>all_tax_pc_cond_netcash__yd_8</t>
  </si>
  <si>
    <t>subsidy_elec_direct_pc_cond_netcash__yd_8</t>
  </si>
  <si>
    <t>subsidy_elec_indirect_pc_cond_netcash__yd_8</t>
  </si>
  <si>
    <t>subsidy_elec_pc_cond_netcash__yd_8</t>
  </si>
  <si>
    <t>subsidy_fuel_direct_pc_cond_netcash__yd_8</t>
  </si>
  <si>
    <t>subsidy_fuel_indirect_pc_cond_netcash__yd_8</t>
  </si>
  <si>
    <t>subsidy_fuel_pc_cond_netcash__yd_8</t>
  </si>
  <si>
    <t>vat_elec_pc_cond_netcash__yd_8</t>
  </si>
  <si>
    <t>vat_fuel_pc_cond_netcash__yd_8</t>
  </si>
  <si>
    <t>all_policies_pc_cond_netcash__yd_9</t>
  </si>
  <si>
    <t>all_subs_pc_cond_netcash__yd_9</t>
  </si>
  <si>
    <t>all_tax_pc_cond_netcash__yd_9</t>
  </si>
  <si>
    <t>subsidy_elec_direct_pc_cond_netcash__yd_9</t>
  </si>
  <si>
    <t>subsidy_elec_indirect_pc_cond_netcash__yd_9</t>
  </si>
  <si>
    <t>subsidy_elec_pc_cond_netcash__yd_9</t>
  </si>
  <si>
    <t>subsidy_fuel_direct_pc_cond_netcash__yd_9</t>
  </si>
  <si>
    <t>subsidy_fuel_indirect_pc_cond_netcash__yd_9</t>
  </si>
  <si>
    <t>subsidy_fuel_pc_cond_netcash__yd_9</t>
  </si>
  <si>
    <t>vat_elec_pc_cond_netcash__yd_9</t>
  </si>
  <si>
    <t>vat_fuel_pc_cond_netcash__yd_9</t>
  </si>
  <si>
    <t>all_policies_pc_cond_netcash__yd_10</t>
  </si>
  <si>
    <t>all_subs_pc_cond_netcash__yd_10</t>
  </si>
  <si>
    <t>all_tax_pc_cond_netcash__yd_10</t>
  </si>
  <si>
    <t>subsidy_elec_direct_pc_cond_netcash__yd_10</t>
  </si>
  <si>
    <t>subsidy_elec_indirect_pc_cond_netcash__yd_10</t>
  </si>
  <si>
    <t>subsidy_elec_pc_cond_netcash__yd_10</t>
  </si>
  <si>
    <t>subsidy_fuel_direct_pc_cond_netcash__yd_10</t>
  </si>
  <si>
    <t>subsidy_fuel_indirect_pc_cond_netcash__yd_10</t>
  </si>
  <si>
    <t>subsidy_fuel_pc_cond_netcash__yd_10</t>
  </si>
  <si>
    <t>vat_elec_pc_cond_netcash__yd_10</t>
  </si>
  <si>
    <t>vat_fuel_pc_cond_netcash__yd_10</t>
  </si>
  <si>
    <t>subsidy_fuel_direct_pc_beneficiaries__yd_0</t>
  </si>
  <si>
    <t>subsidy_fuel_direct_pc_benefits__yd_0</t>
  </si>
  <si>
    <t>subsidy_fuel_direct_pc_coverage__yd_0</t>
  </si>
  <si>
    <t>subsidy_fuel_direct_pc_mean__yd_0</t>
  </si>
  <si>
    <t>all_tax_pc_beneficiaries__yd_0</t>
  </si>
  <si>
    <t>all_tax_pc_benefits__yd_0</t>
  </si>
  <si>
    <t>all_tax_pc_coverage__yd_0</t>
  </si>
  <si>
    <t>all_tax_pc_mean__yd_0</t>
  </si>
  <si>
    <t>all_subs_pc_beneficiaries__yd_0</t>
  </si>
  <si>
    <t>all_subs_pc_benefits__yd_0</t>
  </si>
  <si>
    <t>all_subs_pc_coverage__yd_0</t>
  </si>
  <si>
    <t>all_subs_pc_mean__yd_0</t>
  </si>
  <si>
    <t>subsidy_fuel_indirect_pc_beneficiaries__yd_0</t>
  </si>
  <si>
    <t>subsidy_fuel_indirect_pc_benefits__yd_0</t>
  </si>
  <si>
    <t>subsidy_fuel_indirect_pc_coverage__yd_0</t>
  </si>
  <si>
    <t>subsidy_fuel_indirect_pc_mean__yd_0</t>
  </si>
  <si>
    <t>subsidy_fuel_pc_beneficiaries__yd_0</t>
  </si>
  <si>
    <t>subsidy_fuel_pc_benefits__yd_0</t>
  </si>
  <si>
    <t>subsidy_fuel_pc_coverage__yd_0</t>
  </si>
  <si>
    <t>subsidy_fuel_pc_mean__yd_0</t>
  </si>
  <si>
    <t>subsidy_elec_direct_pc_beneficiaries__yd_0</t>
  </si>
  <si>
    <t>subsidy_elec_direct_pc_benefits__yd_0</t>
  </si>
  <si>
    <t>subsidy_elec_direct_pc_coverage__yd_0</t>
  </si>
  <si>
    <t>subsidy_elec_direct_pc_mean__yd_0</t>
  </si>
  <si>
    <t>subsidy_elec_indirect_pc_beneficiaries__yd_0</t>
  </si>
  <si>
    <t>subsidy_elec_indirect_pc_benefits__yd_0</t>
  </si>
  <si>
    <t>subsidy_elec_indirect_pc_coverage__yd_0</t>
  </si>
  <si>
    <t>subsidy_elec_indirect_pc_mean__yd_0</t>
  </si>
  <si>
    <t>subsidy_elec_pc_beneficiaries__yd_0</t>
  </si>
  <si>
    <t>subsidy_elec_pc_benefits__yd_0</t>
  </si>
  <si>
    <t>subsidy_elec_pc_coverage__yd_0</t>
  </si>
  <si>
    <t>subsidy_elec_pc_mean__yd_0</t>
  </si>
  <si>
    <t>vat_elec_pc_beneficiaries__yd_0</t>
  </si>
  <si>
    <t>vat_elec_pc_benefits__yd_0</t>
  </si>
  <si>
    <t>vat_elec_pc_coverage__yd_0</t>
  </si>
  <si>
    <t>vat_elec_pc_mean__yd_0</t>
  </si>
  <si>
    <t>vat_fuel_pc_beneficiaries__yd_0</t>
  </si>
  <si>
    <t>vat_fuel_pc_benefits__yd_0</t>
  </si>
  <si>
    <t>vat_fuel_pc_coverage__yd_0</t>
  </si>
  <si>
    <t>vat_fuel_pc_mean__yd_0</t>
  </si>
  <si>
    <t>all_policies_pc_beneficiaries__yd_0</t>
  </si>
  <si>
    <t>all_policies_pc_benefits__yd_0</t>
  </si>
  <si>
    <t>all_policies_pc_coverage__yd_0</t>
  </si>
  <si>
    <t>all_policies_pc_mean__yd_0</t>
  </si>
  <si>
    <t>yd_pc_gini__yd_0</t>
  </si>
  <si>
    <t>yd_pc_theil__yd_0</t>
  </si>
  <si>
    <t>inc_all_policies_gini__yd_0</t>
  </si>
  <si>
    <t>inc_all_policies_theil__yd_0</t>
  </si>
  <si>
    <t>inc_all_policies_fgt0__yd_0</t>
  </si>
  <si>
    <t>inc_all_policies_fgt1__yd_0</t>
  </si>
  <si>
    <t>inc_all_policies_fgt2__yd_0</t>
  </si>
  <si>
    <t>inc_all_tax_gini__yd_0</t>
  </si>
  <si>
    <t>inc_all_tax_theil__yd_0</t>
  </si>
  <si>
    <t>inc_all_tax_fgt0__yd_0</t>
  </si>
  <si>
    <t>inc_all_tax_fgt1__yd_0</t>
  </si>
  <si>
    <t>inc_all_tax_fgt2__yd_0</t>
  </si>
  <si>
    <t>inc_all_subs_gini__yd_0</t>
  </si>
  <si>
    <t>inc_all_subs_theil__yd_0</t>
  </si>
  <si>
    <t>inc_all_subs_fgt0__yd_0</t>
  </si>
  <si>
    <t>inc_all_subs_fgt1__yd_0</t>
  </si>
  <si>
    <t>inc_all_subs_fgt2__yd_0</t>
  </si>
  <si>
    <t>yd_pc_fgt0__yd_0</t>
  </si>
  <si>
    <t>yd_pc_fgt1__yd_0</t>
  </si>
  <si>
    <t>yd_pc_fgt2__yd_0</t>
  </si>
  <si>
    <t>inc_vat_elec_gini__yd_0</t>
  </si>
  <si>
    <t>inc_vat_elec_theil__yd_0</t>
  </si>
  <si>
    <t>inc_vat_elec_fgt0__yd_0</t>
  </si>
  <si>
    <t>inc_vat_elec_fgt1__yd_0</t>
  </si>
  <si>
    <t>inc_vat_elec_fgt2__yd_0</t>
  </si>
  <si>
    <t>inc_vat_fuel_gini__yd_0</t>
  </si>
  <si>
    <t>inc_vat_fuel_theil__yd_0</t>
  </si>
  <si>
    <t>inc_vat_fuel_fgt0__yd_0</t>
  </si>
  <si>
    <t>inc_vat_fuel_fgt1__yd_0</t>
  </si>
  <si>
    <t>inc_vat_fuel_fgt2__yd_0</t>
  </si>
  <si>
    <t>inc_subsidy_fuel_direct_gini__yd_0</t>
  </si>
  <si>
    <t>inc_subsidy_fuel_direct_theil__yd_0</t>
  </si>
  <si>
    <t>inc_subsidy_fuel_direct_fgt0__yd_0</t>
  </si>
  <si>
    <t>inc_subsidy_fuel_direct_fgt1__yd_0</t>
  </si>
  <si>
    <t>inc_subsidy_fuel_direct_fgt2__yd_0</t>
  </si>
  <si>
    <t>inc_subsidy_fuel_indirect_gini__yd_0</t>
  </si>
  <si>
    <t>inc_subsidy_fuel_indirect_theil__yd_0</t>
  </si>
  <si>
    <t>inc_subsidy_fuel_indirect_fgt0__yd_0</t>
  </si>
  <si>
    <t>inc_subsidy_fuel_indirect_fgt1__yd_0</t>
  </si>
  <si>
    <t>inc_subsidy_fuel_indirect_fgt2__yd_0</t>
  </si>
  <si>
    <t>inc_subsidy_fuel_gini__yd_0</t>
  </si>
  <si>
    <t>inc_subsidy_fuel_theil__yd_0</t>
  </si>
  <si>
    <t>inc_subsidy_fuel_fgt0__yd_0</t>
  </si>
  <si>
    <t>inc_subsidy_fuel_fgt1__yd_0</t>
  </si>
  <si>
    <t>inc_subsidy_fuel_fgt2__yd_0</t>
  </si>
  <si>
    <t>inc_subsidy_elec_direct_gini__yd_0</t>
  </si>
  <si>
    <t>inc_subsidy_elec_direct_theil__yd_0</t>
  </si>
  <si>
    <t>inc_subsidy_elec_direct_fgt0__yd_0</t>
  </si>
  <si>
    <t>inc_subsidy_elec_direct_fgt1__yd_0</t>
  </si>
  <si>
    <t>inc_subsidy_elec_direct_fgt2__yd_0</t>
  </si>
  <si>
    <t>inc_subsidy_elec_indirect_gini__yd_0</t>
  </si>
  <si>
    <t>inc_subsidy_elec_indirect_theil__yd_0</t>
  </si>
  <si>
    <t>inc_subsidy_elec_indirect_fgt0__yd_0</t>
  </si>
  <si>
    <t>inc_subsidy_elec_indirect_fgt1__yd_0</t>
  </si>
  <si>
    <t>inc_subsidy_elec_indirect_fgt2__yd_0</t>
  </si>
  <si>
    <t>inc_subsidy_elec_gini__yd_0</t>
  </si>
  <si>
    <t>inc_subsidy_elec_theil__yd_0</t>
  </si>
  <si>
    <t>inc_subsidy_elec_fgt0__yd_0</t>
  </si>
  <si>
    <t>inc_subsidy_elec_fgt1__yd_0</t>
  </si>
  <si>
    <t>inc_subsidy_elec_fgt2__yd_0</t>
  </si>
  <si>
    <t>yd_deciles_pc</t>
  </si>
  <si>
    <t>measure</t>
  </si>
  <si>
    <t>netcash</t>
  </si>
  <si>
    <t>cond_netcash</t>
  </si>
  <si>
    <t>beneficiaries</t>
  </si>
  <si>
    <t>benefits</t>
  </si>
  <si>
    <t>coverage</t>
  </si>
  <si>
    <t>mean</t>
  </si>
  <si>
    <t>gini</t>
  </si>
  <si>
    <t>theil</t>
  </si>
  <si>
    <t>fgt0</t>
  </si>
  <si>
    <t>fgt1</t>
  </si>
  <si>
    <t>fgt2</t>
  </si>
  <si>
    <t>value</t>
  </si>
  <si>
    <t>_population</t>
  </si>
  <si>
    <t>variable</t>
  </si>
  <si>
    <t>subsidy_fuel_direct_pc</t>
  </si>
  <si>
    <t>all_tax_pc</t>
  </si>
  <si>
    <t>all_subs_pc</t>
  </si>
  <si>
    <t>subsidy_fuel_indirect_pc</t>
  </si>
  <si>
    <t>subsidy_fuel_pc</t>
  </si>
  <si>
    <t>subsidy_elec_direct_pc</t>
  </si>
  <si>
    <t>subsidy_elec_indirect_pc</t>
  </si>
  <si>
    <t>subsidy_elec_pc</t>
  </si>
  <si>
    <t>vat_elec_pc</t>
  </si>
  <si>
    <t>vat_fuel_pc</t>
  </si>
  <si>
    <t>all_policies_pc</t>
  </si>
  <si>
    <t>inc_all_policies</t>
  </si>
  <si>
    <t>inc_all_tax</t>
  </si>
  <si>
    <t>inc_all_subs</t>
  </si>
  <si>
    <t>yd_pc</t>
  </si>
  <si>
    <t>inc_vat_elec</t>
  </si>
  <si>
    <t>inc_vat_fuel</t>
  </si>
  <si>
    <t>inc_subsidy_fuel_direct</t>
  </si>
  <si>
    <t>inc_subsidy_fuel_indirect</t>
  </si>
  <si>
    <t>inc_subsidy_fuel</t>
  </si>
  <si>
    <t>inc_subsidy_elec_direct</t>
  </si>
  <si>
    <t>inc_subsidy_elec_indirect</t>
  </si>
  <si>
    <t>inc_subsidy_elec</t>
  </si>
  <si>
    <t>all</t>
  </si>
  <si>
    <t>reference</t>
  </si>
  <si>
    <t/>
  </si>
  <si>
    <t>zref</t>
  </si>
  <si>
    <t>all_tax_pc_benefits__yd_</t>
  </si>
  <si>
    <t>all_subs_pc_benefits__yd_</t>
  </si>
  <si>
    <t>all_policies</t>
  </si>
  <si>
    <t>all tax</t>
  </si>
  <si>
    <t>all_subsidies</t>
  </si>
  <si>
    <t>all_tax</t>
  </si>
  <si>
    <t>all_subs</t>
  </si>
  <si>
    <t>tariffs21</t>
  </si>
  <si>
    <t>Subsidies direct</t>
  </si>
  <si>
    <t>Subsidies Indirect</t>
  </si>
  <si>
    <t>Subsidies indirect</t>
  </si>
  <si>
    <t>subsidy_mp_pc_beneficiaries__yd_1</t>
  </si>
  <si>
    <t>subsidy_mp_pc_benefits__yd_1</t>
  </si>
  <si>
    <t>subsidy_mp_pc_coverage__yd_1</t>
  </si>
  <si>
    <t>subsidy_mp_pc_mean__yd_1</t>
  </si>
  <si>
    <t>subsidy_mp_pc_beneficiaries__yd_2</t>
  </si>
  <si>
    <t>subsidy_mp_pc_benefits__yd_2</t>
  </si>
  <si>
    <t>subsidy_mp_pc_coverage__yd_2</t>
  </si>
  <si>
    <t>subsidy_mp_pc_mean__yd_2</t>
  </si>
  <si>
    <t>subsidy_mp_pc_beneficiaries__yd_3</t>
  </si>
  <si>
    <t>subsidy_mp_pc_benefits__yd_3</t>
  </si>
  <si>
    <t>subsidy_mp_pc_coverage__yd_3</t>
  </si>
  <si>
    <t>subsidy_mp_pc_mean__yd_3</t>
  </si>
  <si>
    <t>subsidy_mp_pc_beneficiaries__yd_4</t>
  </si>
  <si>
    <t>subsidy_mp_pc_benefits__yd_4</t>
  </si>
  <si>
    <t>subsidy_mp_pc_coverage__yd_4</t>
  </si>
  <si>
    <t>subsidy_mp_pc_mean__yd_4</t>
  </si>
  <si>
    <t>subsidy_mp_pc_beneficiaries__yd_5</t>
  </si>
  <si>
    <t>subsidy_mp_pc_benefits__yd_5</t>
  </si>
  <si>
    <t>subsidy_mp_pc_coverage__yd_5</t>
  </si>
  <si>
    <t>subsidy_mp_pc_mean__yd_5</t>
  </si>
  <si>
    <t>subsidy_mp_pc_beneficiaries__yd_6</t>
  </si>
  <si>
    <t>subsidy_mp_pc_benefits__yd_6</t>
  </si>
  <si>
    <t>subsidy_mp_pc_coverage__yd_6</t>
  </si>
  <si>
    <t>subsidy_mp_pc_mean__yd_6</t>
  </si>
  <si>
    <t>subsidy_mp_pc_beneficiaries__yd_7</t>
  </si>
  <si>
    <t>subsidy_mp_pc_benefits__yd_7</t>
  </si>
  <si>
    <t>subsidy_mp_pc_coverage__yd_7</t>
  </si>
  <si>
    <t>subsidy_mp_pc_mean__yd_7</t>
  </si>
  <si>
    <t>subsidy_mp_pc_beneficiaries__yd_8</t>
  </si>
  <si>
    <t>subsidy_mp_pc_benefits__yd_8</t>
  </si>
  <si>
    <t>subsidy_mp_pc_coverage__yd_8</t>
  </si>
  <si>
    <t>subsidy_mp_pc_mean__yd_8</t>
  </si>
  <si>
    <t>subsidy_mp_pc_beneficiaries__yd_9</t>
  </si>
  <si>
    <t>subsidy_mp_pc_benefits__yd_9</t>
  </si>
  <si>
    <t>subsidy_mp_pc_coverage__yd_9</t>
  </si>
  <si>
    <t>subsidy_mp_pc_mean__yd_9</t>
  </si>
  <si>
    <t>subsidy_mp_pc_beneficiaries__yd_10</t>
  </si>
  <si>
    <t>subsidy_mp_pc_benefits__yd_10</t>
  </si>
  <si>
    <t>subsidy_mp_pc_coverage__yd_10</t>
  </si>
  <si>
    <t>subsidy_mp_pc_mean__yd_10</t>
  </si>
  <si>
    <t>subsidy_mp_pc_netcash__yd_1</t>
  </si>
  <si>
    <t>subsidy_mp_pc_netcash__yd_2</t>
  </si>
  <si>
    <t>subsidy_mp_pc_netcash__yd_3</t>
  </si>
  <si>
    <t>subsidy_mp_pc_netcash__yd_4</t>
  </si>
  <si>
    <t>subsidy_mp_pc_netcash__yd_5</t>
  </si>
  <si>
    <t>subsidy_mp_pc_netcash__yd_6</t>
  </si>
  <si>
    <t>subsidy_mp_pc_netcash__yd_7</t>
  </si>
  <si>
    <t>subsidy_mp_pc_netcash__yd_8</t>
  </si>
  <si>
    <t>subsidy_mp_pc_netcash__yd_9</t>
  </si>
  <si>
    <t>subsidy_mp_pc_netcash__yd_10</t>
  </si>
  <si>
    <t>subsidy_mp_pc_cond_netcash__yd_1</t>
  </si>
  <si>
    <t>subsidy_mp_pc_cond_netcash__yd_2</t>
  </si>
  <si>
    <t>subsidy_mp_pc_cond_netcash__yd_3</t>
  </si>
  <si>
    <t>subsidy_mp_pc_cond_netcash__yd_4</t>
  </si>
  <si>
    <t>subsidy_mp_pc_cond_netcash__yd_5</t>
  </si>
  <si>
    <t>subsidy_mp_pc_cond_netcash__yd_6</t>
  </si>
  <si>
    <t>subsidy_mp_pc_cond_netcash__yd_7</t>
  </si>
  <si>
    <t>subsidy_mp_pc_cond_netcash__yd_8</t>
  </si>
  <si>
    <t>subsidy_mp_pc_cond_netcash__yd_9</t>
  </si>
  <si>
    <t>subsidy_mp_pc_cond_netcash__yd_10</t>
  </si>
  <si>
    <t>subsidy_mp_pc_beneficiaries__yd_0</t>
  </si>
  <si>
    <t>subsidy_mp_pc_benefits__yd_0</t>
  </si>
  <si>
    <t>subsidy_mp_pc_coverage__yd_0</t>
  </si>
  <si>
    <t>subsidy_mp_pc_mean__yd_0</t>
  </si>
  <si>
    <t>inc_subsidy_mp_gini__yd_0</t>
  </si>
  <si>
    <t>inc_subsidy_mp_theil__yd_0</t>
  </si>
  <si>
    <t>inc_subsidy_mp_fgt0__yd_0</t>
  </si>
  <si>
    <t>inc_subsidy_mp_fgt1__yd_0</t>
  </si>
  <si>
    <t>inc_subsidy_mp_fgt2__yd_0</t>
  </si>
  <si>
    <t>subsidy_mp_pc</t>
  </si>
  <si>
    <t>inc_subsidy_mp</t>
  </si>
  <si>
    <t>subsidy_mp_pc_</t>
  </si>
  <si>
    <t>Subsidy</t>
  </si>
  <si>
    <t xml:space="preserve">Cost of electricity </t>
  </si>
</sst>
</file>

<file path=xl/styles.xml><?xml version="1.0" encoding="utf-8"?>
<styleSheet xmlns="http://schemas.openxmlformats.org/spreadsheetml/2006/main" xmlns:r="http://schemas.openxmlformats.org/officeDocument/2006/relationships" xmlns:xdr="http://schemas.openxmlformats.org/drawingml/2006/spreadsheetDrawing">
  <numFmts count="11">
    <numFmt numFmtId="43" formatCode="_(* #,##0.00_);_(* \(#,##0.00\);_(* &quot;-&quot;??_);_(@_)"/>
    <numFmt numFmtId="164" formatCode="0.0"/>
    <numFmt numFmtId="165" formatCode="#,##0.0"/>
    <numFmt numFmtId="166" formatCode="0.00000"/>
    <numFmt numFmtId="167" formatCode="0.000"/>
    <numFmt numFmtId="168" formatCode="0.0000"/>
    <numFmt numFmtId="169" formatCode="_(* #,##0_);_(* \(#,##0\);_(* &quot;-&quot;??_);_(@_)"/>
    <numFmt numFmtId="170" formatCode="_-* #,##0.00\ _€_-;\-* #,##0.00\ _€_-;_-* &quot;-&quot;??\ _€_-;_-@_-"/>
    <numFmt numFmtId="171" formatCode="_(* #,##0.000_);_(* \(#,##0.000\);_(* &quot;-&quot;??_);_(@_)"/>
    <numFmt numFmtId="172" formatCode="_(* #,##0.0_);_(* \(#,##0.0\);_(* &quot;-&quot;??_);_(@_)"/>
    <numFmt numFmtId="173" formatCode="0.0000000000E+00"/>
  </numFmts>
  <fonts count="65">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b/>
      <sz val="11"/>
      <color theme="1"/>
      <name val="Calibri"/>
      <family val="2"/>
      <scheme val="minor"/>
    </font>
    <font>
      <sz val="11"/>
      <color rgb="FF000000"/>
      <name val="Calibri"/>
      <family val="2"/>
      <scheme val="minor"/>
    </font>
    <font>
      <b/>
      <sz val="11"/>
      <name val="Calibri"/>
      <family val="2"/>
      <scheme val="minor"/>
    </font>
    <font>
      <sz val="8"/>
      <name val="Calibri"/>
      <family val="2"/>
    </font>
    <font>
      <sz val="8"/>
      <color rgb="FF595959"/>
      <name val="Calibri"/>
      <family val="2"/>
    </font>
    <font>
      <sz val="10"/>
      <color theme="1"/>
      <name val="Calibri"/>
      <family val="2"/>
    </font>
    <font>
      <sz val="11"/>
      <color rgb="FF000000"/>
      <name val="Calibri"/>
      <family val="2"/>
    </font>
    <font>
      <b/>
      <sz val="12"/>
      <color rgb="FF000000"/>
      <name val="Garamond"/>
      <family val="1"/>
    </font>
    <font>
      <b/>
      <sz val="11"/>
      <name val="Calibri"/>
      <family val="2"/>
    </font>
    <font>
      <b/>
      <sz val="11"/>
      <name val="Garamond"/>
      <family val="1"/>
    </font>
    <font>
      <sz val="11"/>
      <name val="Garamond"/>
      <family val="1"/>
    </font>
    <font>
      <sz val="10"/>
      <color rgb="FF000000"/>
      <name val="Garamond"/>
      <family val="1"/>
    </font>
    <font>
      <sz val="12"/>
      <color rgb="FF000000"/>
      <name val="Calibri"/>
      <family val="2"/>
    </font>
    <font>
      <sz val="11"/>
      <name val="Calibri"/>
      <family val="2"/>
      <scheme val="minor"/>
    </font>
    <font>
      <sz val="11"/>
      <color rgb="FFFF0000"/>
      <name val="Calibri"/>
      <family val="2"/>
      <scheme val="minor"/>
    </font>
    <font>
      <sz val="11"/>
      <color theme="0" tint="-0.14999847407453"/>
      <name val="Calibri (Body)"/>
    </font>
    <font>
      <i/>
      <sz val="11"/>
      <color theme="1"/>
      <name val="Calibri"/>
      <family val="2"/>
      <scheme val="minor"/>
    </font>
    <font>
      <sz val="18"/>
      <color theme="1"/>
      <name val="Calibri"/>
      <family val="2"/>
      <scheme val="minor"/>
    </font>
    <font>
      <b/>
      <sz val="14"/>
      <color theme="1"/>
      <name val="Calibri"/>
      <family val="2"/>
      <scheme val="minor"/>
    </font>
    <font>
      <sz val="12"/>
      <color theme="1"/>
      <name val="Calibri"/>
      <family val="2"/>
      <scheme val="minor"/>
    </font>
    <font>
      <b/>
      <sz val="10"/>
      <color theme="1"/>
      <name val="Arial"/>
      <family val="2"/>
    </font>
    <font>
      <sz val="10"/>
      <color theme="1"/>
      <name val="Arial"/>
      <family val="2"/>
    </font>
    <font>
      <sz val="10"/>
      <color theme="4"/>
      <name val="Arial"/>
      <family val="2"/>
    </font>
    <font>
      <sz val="10"/>
      <color indexed="63"/>
      <name val="Cambria"/>
      <family val="2"/>
    </font>
    <font>
      <b/>
      <sz val="11"/>
      <color theme="0"/>
      <name val="Calibri"/>
      <family val="2"/>
      <scheme val="minor"/>
    </font>
    <font>
      <b/>
      <sz val="10"/>
      <name val="Garamond"/>
      <family val="1"/>
    </font>
    <font>
      <i/>
      <sz val="10"/>
      <color theme="1"/>
      <name val="Garamond"/>
      <family val="1"/>
    </font>
    <font>
      <sz val="10"/>
      <color theme="1"/>
      <name val="Garamond"/>
      <family val="1"/>
    </font>
    <font>
      <b/>
      <sz val="14"/>
      <name val="Garamond"/>
      <family val="1"/>
    </font>
    <font>
      <sz val="14"/>
      <color theme="1"/>
      <name val="Garamond"/>
      <family val="1"/>
    </font>
    <font>
      <sz val="14"/>
      <name val="Garamond"/>
      <family val="1"/>
    </font>
    <font>
      <sz val="10"/>
      <color rgb="FFFF0000"/>
      <name val="Garamond"/>
      <family val="1"/>
    </font>
    <font>
      <sz val="11"/>
      <color theme="1"/>
      <name val="Garamond"/>
      <family val="1"/>
    </font>
    <font>
      <b/>
      <sz val="11"/>
      <color theme="1"/>
      <name val="Garamond"/>
      <family val="1"/>
    </font>
    <font>
      <sz val="10"/>
      <name val="Garamond"/>
      <family val="1"/>
    </font>
    <font>
      <b/>
      <sz val="9"/>
      <color theme="1"/>
      <name val="Garamond"/>
      <family val="1"/>
    </font>
    <font>
      <sz val="11"/>
      <color theme="0"/>
      <name val="Calibri"/>
      <family val="2"/>
      <scheme val="minor"/>
    </font>
    <font>
      <sz val="14"/>
      <color rgb="FFFF0000"/>
      <name val="Garamond"/>
      <family val="1"/>
    </font>
    <font>
      <sz val="15"/>
      <color rgb="FF1D1C1D"/>
      <name val="Arial"/>
      <family val="2"/>
    </font>
    <font>
      <sz val="11"/>
      <color theme="0" tint="-0.049439985351115"/>
      <name val="Calibri"/>
      <family val="2"/>
      <scheme val="minor"/>
    </font>
    <font>
      <sz val="11"/>
      <name val="Calibri"/>
      <family val="2"/>
    </font>
    <font>
      <b/>
      <sz val="11"/>
      <color theme="0"/>
      <name val="Garamond"/>
      <family val="1"/>
    </font>
    <font>
      <sz val="11"/>
      <color theme="0"/>
      <name val="Garamond"/>
      <family val="1"/>
    </font>
    <font>
      <sz val="9"/>
      <color theme="1"/>
      <name val="Garamond"/>
      <family val="1"/>
    </font>
    <font>
      <sz val="11"/>
      <color rgb="FFFF0000"/>
      <name val="Garamond"/>
      <family val="1"/>
    </font>
    <font>
      <sz val="11"/>
      <color rgb="FF000000"/>
      <name val="Garamond"/>
      <family val="1"/>
    </font>
    <font>
      <b/>
      <sz val="13"/>
      <color theme="1"/>
      <name val="Garamond"/>
      <family val="1"/>
    </font>
    <font>
      <sz val="12"/>
      <color theme="1"/>
      <name val="Garamond"/>
      <family val="1"/>
    </font>
    <font>
      <b/>
      <sz val="12"/>
      <color theme="1"/>
      <name val="Garamond"/>
      <family val="1"/>
    </font>
    <font>
      <sz val="12"/>
      <color rgb="FF000000"/>
      <name val="Garamond"/>
      <family val="1"/>
    </font>
    <font>
      <sz val="12"/>
      <color rgb="FFFF0000"/>
      <name val="Garamond"/>
      <family val="1"/>
    </font>
    <font>
      <sz val="12"/>
      <name val="Garamond"/>
      <family val="1"/>
    </font>
    <font>
      <b/>
      <sz val="12"/>
      <name val="Garamond"/>
      <family val="1"/>
    </font>
    <font>
      <sz val="11"/>
      <color theme="0"/>
      <name val="Calibri"/>
      <family val="2"/>
    </font>
  </fonts>
  <fills count="11">
    <fill>
      <patternFill patternType="none"/>
    </fill>
    <fill>
      <patternFill patternType="gray125"/>
    </fill>
    <fill>
      <patternFill patternType="solid">
        <fgColor theme="9" tint="0.59996337778863"/>
        <bgColor indexed="64"/>
      </patternFill>
    </fill>
    <fill>
      <patternFill patternType="solid">
        <fgColor theme="0"/>
        <bgColor rgb="FF000000"/>
      </patternFill>
    </fill>
    <fill>
      <patternFill patternType="solid">
        <fgColor theme="0"/>
        <bgColor indexed="64"/>
      </patternFill>
    </fill>
    <fill>
      <patternFill patternType="solid">
        <fgColor theme="9" tint="0.39997558519242"/>
        <bgColor indexed="64"/>
      </patternFill>
    </fill>
    <fill>
      <patternFill patternType="solid">
        <fgColor theme="9" tint="0.59996337778863"/>
        <bgColor indexed="64"/>
      </patternFill>
    </fill>
    <fill>
      <patternFill patternType="solid">
        <fgColor theme="7"/>
        <bgColor indexed="64"/>
      </patternFill>
    </fill>
    <fill>
      <patternFill patternType="solid">
        <fgColor theme="9" tint="0.79995117038484"/>
        <bgColor indexed="64"/>
      </patternFill>
    </fill>
    <fill>
      <patternFill patternType="solid">
        <fgColor rgb="FFE8E8E8"/>
        <bgColor indexed="64"/>
      </patternFill>
    </fill>
    <fill>
      <patternFill patternType="solid">
        <fgColor theme="2"/>
        <bgColor indexed="64"/>
      </patternFill>
    </fill>
  </fills>
  <borders count="19">
    <border>
      <left/>
      <right/>
      <top/>
      <bottom/>
      <diagonal/>
    </border>
    <border>
      <left/>
      <right/>
      <top/>
      <bottom/>
      <diagonal/>
    </border>
    <border>
      <left/>
      <right/>
      <top/>
      <bottom/>
      <diagonal/>
    </border>
    <border>
      <left/>
      <right/>
      <top style="double">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double">
        <color indexed="64"/>
      </top>
      <bottom/>
      <diagonal/>
    </border>
    <border>
      <left/>
      <right/>
      <top style="thin">
        <color indexed="64"/>
      </top>
      <bottom style="double">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47"/>
      </top>
      <bottom style="thin">
        <color indexed="47"/>
      </bottom>
      <diagonal/>
    </border>
    <border>
      <left style="thin">
        <color indexed="64"/>
      </left>
      <right style="thin">
        <color indexed="64"/>
      </right>
      <top/>
      <bottom style="thin">
        <color indexed="47"/>
      </bottom>
      <diagonal/>
    </border>
    <border>
      <left/>
      <right/>
      <top style="double">
        <color indexed="64"/>
      </top>
      <bottom style="double">
        <color indexed="64"/>
      </bottom>
      <diagonal/>
    </border>
  </borders>
  <cellStyleXfs count="7">
    <xf numFmtId="0" fontId="0" fillId="0" borderId="0"/>
    <xf numFmtId="0" fontId="9" fillId="0" borderId="1"/>
    <xf numFmtId="0" fontId="10" fillId="0" borderId="1"/>
    <xf numFmtId="0" fontId="7" fillId="0" borderId="2"/>
    <xf numFmtId="43" fontId="7" fillId="0" borderId="2" applyFont="false" applyFill="false" applyBorder="false" applyAlignment="false" applyProtection="false"/>
    <xf numFmtId="170" fontId="34" fillId="0" borderId="2" applyFont="false" applyFill="false" applyBorder="false" applyAlignment="false" applyProtection="false"/>
    <xf numFmtId="43" fontId="51" fillId="0" borderId="0" applyFont="false" applyFill="false" applyBorder="false" applyAlignment="false" applyProtection="false"/>
  </cellStyleXfs>
  <cellXfs count="392">
    <xf numFmtId="0" fontId="0" fillId="0" borderId="0" xfId="0"/>
    <xf numFmtId="1" fontId="0" fillId="0" borderId="1" xfId="0" applyNumberFormat="true" applyBorder="true"/>
    <xf numFmtId="0" fontId="9" fillId="0" borderId="1" xfId="1"/>
    <xf numFmtId="0" fontId="12" fillId="0" borderId="1" xfId="1" applyFont="true"/>
    <xf numFmtId="0" fontId="13" fillId="0" borderId="1" xfId="1" applyFont="true"/>
    <xf numFmtId="0" fontId="9" fillId="0" borderId="1" xfId="1" applyAlignment="true">
      <alignment horizontal="center"/>
    </xf>
    <xf numFmtId="0" fontId="11" fillId="0" borderId="1" xfId="1" applyFont="true"/>
    <xf numFmtId="0" fontId="11" fillId="0" borderId="1" xfId="1" applyFont="true" applyAlignment="true">
      <alignment horizontal="center"/>
    </xf>
    <xf numFmtId="0" fontId="9" fillId="2" borderId="1" xfId="1" applyFill="true"/>
    <xf numFmtId="0" fontId="20" fillId="4" borderId="5" xfId="0" applyFont="true" applyFill="true" applyBorder="true"/>
    <xf numFmtId="0" fontId="21" fillId="4" borderId="0" xfId="0" applyFont="true" applyFill="true"/>
    <xf numFmtId="1" fontId="21" fillId="4" borderId="0" xfId="0" applyNumberFormat="true" applyFont="true" applyFill="true"/>
    <xf numFmtId="2" fontId="21" fillId="4" borderId="0" xfId="0" applyNumberFormat="true" applyFont="true" applyFill="true"/>
    <xf numFmtId="0" fontId="21" fillId="4" borderId="4" xfId="0" applyFont="true" applyFill="true" applyBorder="true"/>
    <xf numFmtId="0" fontId="20" fillId="4" borderId="4" xfId="0" applyFont="true" applyFill="true" applyBorder="true"/>
    <xf numFmtId="0" fontId="18" fillId="3" borderId="3" xfId="0" applyFont="true" applyFill="true" applyBorder="true" applyAlignment="true">
      <alignment horizontal="center" vertical="center" wrapText="true"/>
    </xf>
    <xf numFmtId="0" fontId="20" fillId="4" borderId="2" xfId="0" applyFont="true" applyFill="true" applyBorder="true"/>
    <xf numFmtId="1" fontId="21" fillId="4" borderId="4" xfId="0" applyNumberFormat="true" applyFont="true" applyFill="true" applyBorder="true"/>
    <xf numFmtId="2" fontId="21" fillId="4" borderId="4" xfId="0" applyNumberFormat="true" applyFont="true" applyFill="true" applyBorder="true"/>
    <xf numFmtId="0" fontId="9" fillId="4" borderId="1" xfId="1" applyFill="true"/>
    <xf numFmtId="0" fontId="9" fillId="4" borderId="6" xfId="1" applyFill="true" applyBorder="true"/>
    <xf numFmtId="0" fontId="8" fillId="4" borderId="1" xfId="1" applyFont="true" applyFill="true"/>
    <xf numFmtId="0" fontId="9" fillId="4" borderId="1" xfId="1" applyFill="true" applyAlignment="true">
      <alignment horizontal="center"/>
    </xf>
    <xf numFmtId="0" fontId="11" fillId="4" borderId="1" xfId="1" applyFont="true" applyFill="true"/>
    <xf numFmtId="0" fontId="9" fillId="4" borderId="1" xfId="1" applyFill="true" applyProtection="true">
      <protection locked="false"/>
    </xf>
    <xf numFmtId="0" fontId="0" fillId="4" borderId="0" xfId="0" applyFill="true" applyProtection="true">
      <protection locked="false"/>
    </xf>
    <xf numFmtId="0" fontId="12" fillId="4" borderId="1" xfId="1" applyFont="true" applyFill="true"/>
    <xf numFmtId="0" fontId="13" fillId="4" borderId="1" xfId="1" applyFont="true" applyFill="true"/>
    <xf numFmtId="0" fontId="10" fillId="4" borderId="0" xfId="0" applyFont="true" applyFill="true" applyAlignment="true" applyProtection="true">
      <alignment horizontal="left"/>
      <protection locked="false"/>
    </xf>
    <xf numFmtId="165" fontId="9" fillId="4" borderId="2" xfId="1" applyNumberFormat="true" applyFill="true" applyBorder="true"/>
    <xf numFmtId="4" fontId="9" fillId="4" borderId="2" xfId="1" applyNumberFormat="true" applyFill="true" applyBorder="true"/>
    <xf numFmtId="0" fontId="9" fillId="4" borderId="2" xfId="1" applyFill="true" applyBorder="true" applyAlignment="true">
      <alignment horizontal="center"/>
    </xf>
    <xf numFmtId="0" fontId="11" fillId="4" borderId="2" xfId="1" applyFont="true" applyFill="true" applyBorder="true"/>
    <xf numFmtId="164" fontId="9" fillId="4" borderId="2" xfId="1" applyNumberFormat="true" applyFill="true" applyBorder="true"/>
    <xf numFmtId="0" fontId="22" fillId="3" borderId="2" xfId="0" applyFont="true" applyFill="true" applyBorder="true" applyAlignment="true">
      <alignment horizontal="left" vertical="center" wrapText="true"/>
    </xf>
    <xf numFmtId="0" fontId="22" fillId="3" borderId="4" xfId="0" applyFont="true" applyFill="true" applyBorder="true" applyAlignment="true">
      <alignment horizontal="left" vertical="center" wrapText="true"/>
    </xf>
    <xf numFmtId="0" fontId="9" fillId="5" borderId="1" xfId="1" applyFill="true"/>
    <xf numFmtId="0" fontId="9" fillId="4" borderId="4" xfId="1" applyFill="true" applyBorder="true"/>
    <xf numFmtId="1" fontId="21" fillId="4" borderId="0" xfId="0" applyNumberFormat="true" applyFont="true" applyFill="true" applyAlignment="true">
      <alignment horizontal="center"/>
    </xf>
    <xf numFmtId="0" fontId="0" fillId="4" borderId="0" xfId="0" applyFill="true"/>
    <xf numFmtId="0" fontId="9" fillId="4" borderId="1" xfId="1" applyFill="true" applyAlignment="true">
      <alignment vertical="center"/>
    </xf>
    <xf numFmtId="0" fontId="16" fillId="4" borderId="0" xfId="0" applyFont="true" applyFill="true" applyAlignment="true">
      <alignment horizontal="center" vertical="center" wrapText="true" readingOrder="1"/>
    </xf>
    <xf numFmtId="0" fontId="11" fillId="4" borderId="6" xfId="1" applyFont="true" applyFill="true" applyBorder="true" applyAlignment="true">
      <alignment horizontal="center"/>
    </xf>
    <xf numFmtId="0" fontId="11" fillId="4" borderId="6" xfId="1" applyFont="true" applyFill="true" applyBorder="true"/>
    <xf numFmtId="164" fontId="9" fillId="4" borderId="2" xfId="1" applyNumberFormat="true" applyFill="true" applyBorder="true" applyAlignment="true">
      <alignment horizontal="center"/>
    </xf>
    <xf numFmtId="164" fontId="9" fillId="4" borderId="4" xfId="1" applyNumberFormat="true" applyFill="true" applyBorder="true" applyAlignment="true">
      <alignment horizontal="center"/>
    </xf>
    <xf numFmtId="164" fontId="9" fillId="4" borderId="4" xfId="1" applyNumberFormat="true" applyFill="true" applyBorder="true"/>
    <xf numFmtId="0" fontId="11" fillId="4" borderId="1" xfId="1" applyFont="true" applyFill="true" applyProtection="true">
      <protection locked="false"/>
    </xf>
    <xf numFmtId="0" fontId="8" fillId="4" borderId="1" xfId="1" applyFont="true" applyFill="true" applyProtection="true">
      <protection locked="false"/>
    </xf>
    <xf numFmtId="0" fontId="10" fillId="4" borderId="0" xfId="0" applyFont="true" applyFill="true"/>
    <xf numFmtId="0" fontId="0" fillId="4" borderId="2" xfId="0" applyFill="true" applyBorder="true"/>
    <xf numFmtId="0" fontId="7" fillId="0" borderId="2" xfId="3"/>
    <xf numFmtId="0" fontId="7" fillId="4" borderId="2" xfId="3" applyFill="true"/>
    <xf numFmtId="2" fontId="7" fillId="0" borderId="2" xfId="3" applyNumberFormat="true" applyAlignment="true">
      <alignment horizontal="center"/>
    </xf>
    <xf numFmtId="0" fontId="7" fillId="0" borderId="2" xfId="3" applyAlignment="true">
      <alignment horizontal="center"/>
    </xf>
    <xf numFmtId="1" fontId="7" fillId="4" borderId="2" xfId="3" applyNumberFormat="true" applyFill="true"/>
    <xf numFmtId="1" fontId="7" fillId="0" borderId="2" xfId="3" applyNumberFormat="true"/>
    <xf numFmtId="49" fontId="7" fillId="0" borderId="2" xfId="3" applyNumberFormat="true" applyAlignment="true">
      <alignment horizontal="center"/>
    </xf>
    <xf numFmtId="0" fontId="7" fillId="4" borderId="2" xfId="3" applyFill="true" applyAlignment="true">
      <alignment horizontal="center" vertical="center"/>
    </xf>
    <xf numFmtId="0" fontId="26" fillId="4" borderId="2" xfId="3" applyFont="true" applyFill="true"/>
    <xf numFmtId="0" fontId="7" fillId="6" borderId="2" xfId="3" applyFill="true" applyAlignment="true">
      <alignment horizontal="center" vertical="center"/>
    </xf>
    <xf numFmtId="0" fontId="7" fillId="6" borderId="2" xfId="3" applyFill="true"/>
    <xf numFmtId="0" fontId="11" fillId="4" borderId="2" xfId="3" applyFont="true" applyFill="true"/>
    <xf numFmtId="167" fontId="7" fillId="4" borderId="7" xfId="3" applyNumberFormat="true" applyFill="true" applyBorder="true" applyAlignment="true">
      <alignment horizontal="center" vertical="center"/>
    </xf>
    <xf numFmtId="1" fontId="7" fillId="4" borderId="7" xfId="3" applyNumberFormat="true" applyFill="true" applyBorder="true" applyAlignment="true">
      <alignment horizontal="center" vertical="center"/>
    </xf>
    <xf numFmtId="0" fontId="27" fillId="4" borderId="7" xfId="3" applyFont="true" applyFill="true" applyBorder="true" applyAlignment="true">
      <alignment horizontal="left" wrapText="true" indent="1"/>
    </xf>
    <xf numFmtId="1" fontId="11" fillId="4" borderId="2" xfId="3" applyNumberFormat="true" applyFont="true" applyFill="true"/>
    <xf numFmtId="167" fontId="7" fillId="4" borderId="2" xfId="3" applyNumberFormat="true" applyFill="true" applyAlignment="true">
      <alignment horizontal="center" vertical="center"/>
    </xf>
    <xf numFmtId="1" fontId="7" fillId="4" borderId="2" xfId="3" applyNumberFormat="true" applyFill="true" applyAlignment="true">
      <alignment horizontal="center" vertical="center"/>
    </xf>
    <xf numFmtId="0" fontId="27" fillId="4" borderId="2" xfId="3" applyFont="true" applyFill="true" applyAlignment="true">
      <alignment horizontal="left" indent="1"/>
    </xf>
    <xf numFmtId="1" fontId="7" fillId="4" borderId="2" xfId="3" applyNumberFormat="true" applyFill="true" applyAlignment="true" applyProtection="true">
      <alignment horizontal="center" vertical="center"/>
      <protection locked="false"/>
    </xf>
    <xf numFmtId="0" fontId="7" fillId="4" borderId="4" xfId="3" applyFill="true" applyBorder="true" applyAlignment="true">
      <alignment horizontal="center" vertical="center" wrapText="true"/>
    </xf>
    <xf numFmtId="0" fontId="7" fillId="4" borderId="4" xfId="3" applyFill="true" applyBorder="true"/>
    <xf numFmtId="0" fontId="7" fillId="4" borderId="7" xfId="3" applyFill="true" applyBorder="true" applyAlignment="true">
      <alignment horizontal="center" vertical="center"/>
    </xf>
    <xf numFmtId="0" fontId="7" fillId="4" borderId="7" xfId="3" applyFill="true" applyBorder="true"/>
    <xf numFmtId="0" fontId="28" fillId="4" borderId="2" xfId="3" applyFont="true" applyFill="true"/>
    <xf numFmtId="0" fontId="7" fillId="7" borderId="2" xfId="3" applyFill="true"/>
    <xf numFmtId="0" fontId="7" fillId="7" borderId="2" xfId="3" applyFill="true" applyAlignment="true">
      <alignment horizontal="center" vertical="center"/>
    </xf>
    <xf numFmtId="0" fontId="26" fillId="7" borderId="2" xfId="3" applyFont="true" applyFill="true"/>
    <xf numFmtId="0" fontId="7" fillId="4" borderId="2" xfId="3" applyFill="true" applyAlignment="true">
      <alignment horizontal="center"/>
    </xf>
    <xf numFmtId="0" fontId="7" fillId="4" borderId="7" xfId="3" applyFill="true" applyBorder="true" applyAlignment="true">
      <alignment horizontal="left" wrapText="true" indent="1"/>
    </xf>
    <xf numFmtId="0" fontId="7" fillId="4" borderId="2" xfId="3" applyFill="true" applyAlignment="true">
      <alignment horizontal="left" indent="1"/>
    </xf>
    <xf numFmtId="164" fontId="7" fillId="4" borderId="2" xfId="3" applyNumberFormat="true" applyFill="true" applyAlignment="true">
      <alignment horizontal="center" vertical="center"/>
    </xf>
    <xf numFmtId="0" fontId="10" fillId="4" borderId="2" xfId="3" applyFont="true" applyFill="true" applyAlignment="true">
      <alignment wrapText="true"/>
    </xf>
    <xf numFmtId="0" fontId="7" fillId="4" borderId="2" xfId="3" applyFill="true" applyAlignment="true">
      <alignment horizontal="left"/>
    </xf>
    <xf numFmtId="0" fontId="7" fillId="4" borderId="2" xfId="3" applyFill="true" applyAlignment="true">
      <alignment horizontal="left" vertical="center"/>
    </xf>
    <xf numFmtId="0" fontId="7" fillId="8" borderId="2" xfId="3" applyFill="true" applyAlignment="true">
      <alignment horizontal="center" vertical="center"/>
    </xf>
    <xf numFmtId="0" fontId="11" fillId="4" borderId="2" xfId="3" applyFont="true" applyFill="true" applyAlignment="true">
      <alignment wrapText="true"/>
    </xf>
    <xf numFmtId="164" fontId="7" fillId="4" borderId="7" xfId="3" applyNumberFormat="true" applyFill="true" applyBorder="true" applyAlignment="true">
      <alignment horizontal="center" vertical="center"/>
    </xf>
    <xf numFmtId="0" fontId="19" fillId="4" borderId="7" xfId="3" applyFont="true" applyFill="true" applyBorder="true" applyAlignment="true">
      <alignment wrapText="true"/>
    </xf>
    <xf numFmtId="0" fontId="27" fillId="4" borderId="7" xfId="3" applyFont="true" applyFill="true" applyBorder="true" applyAlignment="true">
      <alignment horizontal="left" indent="1"/>
    </xf>
    <xf numFmtId="0" fontId="10" fillId="4" borderId="2" xfId="3" applyFont="true" applyFill="true" applyAlignment="true">
      <alignment horizontal="center" vertical="center"/>
    </xf>
    <xf numFmtId="164" fontId="7" fillId="0" borderId="2" xfId="3" applyNumberFormat="true" applyAlignment="true">
      <alignment horizontal="center" vertical="center"/>
    </xf>
    <xf numFmtId="0" fontId="7" fillId="4" borderId="4" xfId="3" applyFill="true" applyBorder="true" applyAlignment="true">
      <alignment horizontal="center" vertical="center"/>
    </xf>
    <xf numFmtId="0" fontId="27" fillId="4" borderId="4" xfId="3" applyFont="true" applyFill="true" applyBorder="true" applyAlignment="true">
      <alignment horizontal="left" indent="1"/>
    </xf>
    <xf numFmtId="0" fontId="7" fillId="4" borderId="2" xfId="3" applyFill="true" applyAlignment="true">
      <alignment vertical="top" wrapText="true"/>
    </xf>
    <xf numFmtId="2" fontId="7" fillId="0" borderId="2" xfId="3" applyNumberFormat="true" applyAlignment="true">
      <alignment horizontal="center" vertical="center"/>
    </xf>
    <xf numFmtId="2" fontId="7" fillId="4" borderId="2" xfId="3" applyNumberFormat="true" applyFill="true" applyAlignment="true">
      <alignment horizontal="center" vertical="center"/>
    </xf>
    <xf numFmtId="0" fontId="19" fillId="4" borderId="2" xfId="3" applyFont="true" applyFill="true" applyAlignment="true">
      <alignment wrapText="true"/>
    </xf>
    <xf numFmtId="0" fontId="19" fillId="4" borderId="2" xfId="3" applyFont="true" applyFill="true" applyAlignment="true">
      <alignment horizontal="center" vertical="center" wrapText="true"/>
    </xf>
    <xf numFmtId="0" fontId="19" fillId="4" borderId="7" xfId="3" applyFont="true" applyFill="true" applyBorder="true" applyAlignment="true">
      <alignment horizontal="center" vertical="center" wrapText="true"/>
    </xf>
    <xf numFmtId="0" fontId="25" fillId="4" borderId="7" xfId="3" applyFont="true" applyFill="true" applyBorder="true"/>
    <xf numFmtId="0" fontId="30" fillId="4" borderId="2" xfId="3" applyFont="true" applyFill="true"/>
    <xf numFmtId="0" fontId="7" fillId="4" borderId="2" xfId="3" applyFill="true" applyAlignment="true">
      <alignment wrapText="true"/>
    </xf>
    <xf numFmtId="0" fontId="31" fillId="4" borderId="3" xfId="3" applyFont="true" applyFill="true" applyBorder="true" applyAlignment="true">
      <alignment horizontal="center" vertical="center" wrapText="true"/>
    </xf>
    <xf numFmtId="0" fontId="32" fillId="4" borderId="3" xfId="3" applyFont="true" applyFill="true" applyBorder="true" applyAlignment="true">
      <alignment horizontal="center" vertical="center" wrapText="true"/>
    </xf>
    <xf numFmtId="167" fontId="32" fillId="4" borderId="3" xfId="3" applyNumberFormat="true" applyFont="true" applyFill="true" applyBorder="true" applyAlignment="true">
      <alignment horizontal="center" vertical="center" wrapText="true"/>
    </xf>
    <xf numFmtId="0" fontId="7" fillId="4" borderId="3" xfId="3" applyFill="true" applyBorder="true" applyAlignment="true">
      <alignment horizontal="center" vertical="center" wrapText="true"/>
    </xf>
    <xf numFmtId="169" fontId="0" fillId="4" borderId="2" xfId="4" applyNumberFormat="true" applyFont="true" applyFill="true" applyBorder="true" applyAlignment="true">
      <alignment horizontal="center" vertical="center"/>
    </xf>
    <xf numFmtId="167" fontId="33" fillId="4" borderId="2" xfId="3" applyNumberFormat="true" applyFont="true" applyFill="true" applyAlignment="true">
      <alignment horizontal="center" vertical="center"/>
    </xf>
    <xf numFmtId="1" fontId="7" fillId="4" borderId="4" xfId="3" applyNumberFormat="true" applyFill="true" applyBorder="true" applyAlignment="true">
      <alignment horizontal="center" vertical="center"/>
    </xf>
    <xf numFmtId="1" fontId="7" fillId="4" borderId="4" xfId="3" applyNumberFormat="true" applyFill="true" applyBorder="true"/>
    <xf numFmtId="49" fontId="7" fillId="4" borderId="2" xfId="3" applyNumberFormat="true" applyFill="true"/>
    <xf numFmtId="164" fontId="7" fillId="4" borderId="2" xfId="3" applyNumberFormat="true" applyFill="true"/>
    <xf numFmtId="164" fontId="7" fillId="4" borderId="7" xfId="3" applyNumberFormat="true" applyFill="true" applyBorder="true"/>
    <xf numFmtId="1" fontId="11" fillId="4" borderId="7" xfId="3" applyNumberFormat="true" applyFont="true" applyFill="true" applyBorder="true"/>
    <xf numFmtId="0" fontId="9" fillId="4" borderId="2" xfId="1" applyFill="true" applyBorder="true"/>
    <xf numFmtId="0" fontId="9" fillId="4" borderId="5" xfId="1" applyFill="true" applyBorder="true" applyAlignment="true">
      <alignment horizontal="center" vertical="center" wrapText="true"/>
    </xf>
    <xf numFmtId="0" fontId="9" fillId="4" borderId="5" xfId="1" applyFill="true" applyBorder="true" applyAlignment="true">
      <alignment horizontal="center" vertical="center"/>
    </xf>
    <xf numFmtId="0" fontId="9" fillId="4" borderId="1" xfId="1" applyFill="true" applyAlignment="true">
      <alignment horizontal="center" vertical="center" wrapText="true"/>
    </xf>
    <xf numFmtId="0" fontId="9" fillId="4" borderId="1" xfId="1" applyFill="true" applyAlignment="true">
      <alignment horizontal="center" vertical="center"/>
    </xf>
    <xf numFmtId="1" fontId="21" fillId="10" borderId="0" xfId="0" applyNumberFormat="true" applyFont="true" applyFill="true" applyAlignment="true">
      <alignment horizontal="center"/>
    </xf>
    <xf numFmtId="1" fontId="21" fillId="10" borderId="4" xfId="0" applyNumberFormat="true" applyFont="true" applyFill="true" applyBorder="true" applyAlignment="true">
      <alignment horizontal="center"/>
    </xf>
    <xf numFmtId="0" fontId="10" fillId="4" borderId="1" xfId="2" applyFill="true"/>
    <xf numFmtId="0" fontId="17" fillId="4" borderId="2" xfId="0" applyFont="true" applyFill="true" applyBorder="true" applyProtection="true">
      <protection locked="false"/>
    </xf>
    <xf numFmtId="0" fontId="24" fillId="4" borderId="1" xfId="1" applyFont="true" applyFill="true"/>
    <xf numFmtId="166" fontId="9" fillId="4" borderId="1" xfId="1" applyNumberFormat="true" applyFill="true"/>
    <xf numFmtId="1" fontId="9" fillId="4" borderId="1" xfId="1" applyNumberFormat="true" applyFill="true"/>
    <xf numFmtId="0" fontId="7" fillId="4" borderId="1" xfId="1" applyFont="true" applyFill="true" applyProtection="true">
      <protection locked="false"/>
    </xf>
    <xf numFmtId="0" fontId="7" fillId="4" borderId="1" xfId="1" applyFont="true" applyFill="true"/>
    <xf numFmtId="164" fontId="9" fillId="4" borderId="1" xfId="1" applyNumberFormat="true" applyFill="true"/>
    <xf numFmtId="0" fontId="11" fillId="4" borderId="1" xfId="1" applyFont="true" applyFill="true" applyAlignment="true">
      <alignment horizontal="center"/>
    </xf>
    <xf numFmtId="0" fontId="15" fillId="4" borderId="2" xfId="0" applyFont="true" applyFill="true" applyBorder="true" applyAlignment="true">
      <alignment horizontal="center" vertical="center" readingOrder="1"/>
    </xf>
    <xf numFmtId="2" fontId="38" fillId="4" borderId="2" xfId="3" applyNumberFormat="true" applyFont="true" applyFill="true" applyAlignment="true">
      <alignment horizontal="center" vertical="center"/>
    </xf>
    <xf numFmtId="2" fontId="38" fillId="4" borderId="4" xfId="3" applyNumberFormat="true" applyFont="true" applyFill="true" applyBorder="true" applyAlignment="true">
      <alignment horizontal="center" vertical="center"/>
    </xf>
    <xf numFmtId="2" fontId="38" fillId="4" borderId="7" xfId="3" applyNumberFormat="true" applyFont="true" applyFill="true" applyBorder="true" applyAlignment="true">
      <alignment horizontal="center" vertical="center"/>
    </xf>
    <xf numFmtId="0" fontId="39" fillId="4" borderId="3" xfId="0" applyFont="true" applyFill="true" applyBorder="true" applyAlignment="true">
      <alignment horizontal="center" vertical="center"/>
    </xf>
    <xf numFmtId="2" fontId="40" fillId="4" borderId="2" xfId="3" applyNumberFormat="true" applyFont="true" applyFill="true" applyAlignment="true">
      <alignment horizontal="center" vertical="center"/>
    </xf>
    <xf numFmtId="0" fontId="41" fillId="4" borderId="0" xfId="0" applyFont="true" applyFill="true" applyAlignment="true">
      <alignment horizontal="center" vertical="center"/>
    </xf>
    <xf numFmtId="0" fontId="41" fillId="9" borderId="0" xfId="0" applyFont="true" applyFill="true" applyAlignment="true">
      <alignment horizontal="center" vertical="center"/>
    </xf>
    <xf numFmtId="2" fontId="40" fillId="4" borderId="4" xfId="3" applyNumberFormat="true" applyFont="true" applyFill="true" applyBorder="true" applyAlignment="true">
      <alignment horizontal="center" vertical="center"/>
    </xf>
    <xf numFmtId="0" fontId="41" fillId="9" borderId="4" xfId="0" applyFont="true" applyFill="true" applyBorder="true" applyAlignment="true">
      <alignment horizontal="center" vertical="center"/>
    </xf>
    <xf numFmtId="2" fontId="40" fillId="4" borderId="7" xfId="3" applyNumberFormat="true" applyFont="true" applyFill="true" applyBorder="true" applyAlignment="true">
      <alignment horizontal="center" vertical="center"/>
    </xf>
    <xf numFmtId="0" fontId="41" fillId="9" borderId="7" xfId="0" applyFont="true" applyFill="true" applyBorder="true" applyAlignment="true">
      <alignment horizontal="center" vertical="center"/>
    </xf>
    <xf numFmtId="0" fontId="20" fillId="4" borderId="0" xfId="0" applyFont="true" applyFill="true"/>
    <xf numFmtId="0" fontId="21" fillId="4" borderId="3" xfId="0" applyFont="true" applyFill="true" applyBorder="true"/>
    <xf numFmtId="0" fontId="42" fillId="4" borderId="7" xfId="3" applyFont="true" applyFill="true" applyBorder="true"/>
    <xf numFmtId="0" fontId="36" fillId="4" borderId="7" xfId="3" applyFont="true" applyFill="true" applyBorder="true" applyAlignment="true">
      <alignment horizontal="center" vertical="center" wrapText="true"/>
    </xf>
    <xf numFmtId="0" fontId="21" fillId="4" borderId="2" xfId="0" applyFont="true" applyFill="true" applyBorder="true" applyAlignment="true">
      <alignment horizontal="center"/>
    </xf>
    <xf numFmtId="0" fontId="21" fillId="4" borderId="0" xfId="0" applyFont="true" applyFill="true" applyAlignment="true">
      <alignment horizontal="center"/>
    </xf>
    <xf numFmtId="0" fontId="36" fillId="4" borderId="2" xfId="3" applyFont="true" applyFill="true" applyAlignment="true">
      <alignment wrapText="true"/>
    </xf>
    <xf numFmtId="0" fontId="38" fillId="4" borderId="2" xfId="3" applyFont="true" applyFill="true" applyAlignment="true">
      <alignment horizontal="center" vertical="center"/>
    </xf>
    <xf numFmtId="0" fontId="36" fillId="4" borderId="2" xfId="3" applyFont="true" applyFill="true"/>
    <xf numFmtId="164" fontId="43" fillId="4" borderId="2" xfId="3" applyNumberFormat="true" applyFont="true" applyFill="true" applyAlignment="true">
      <alignment horizontal="center" vertical="center"/>
    </xf>
    <xf numFmtId="0" fontId="37" fillId="4" borderId="2" xfId="3" applyFont="true" applyFill="true" applyAlignment="true">
      <alignment horizontal="left" indent="1"/>
    </xf>
    <xf numFmtId="0" fontId="21" fillId="9" borderId="0" xfId="0" applyFont="true" applyFill="true"/>
    <xf numFmtId="0" fontId="43" fillId="4" borderId="2" xfId="3" applyFont="true" applyFill="true" applyAlignment="true">
      <alignment horizontal="left" indent="1"/>
    </xf>
    <xf numFmtId="0" fontId="37" fillId="4" borderId="4" xfId="3" applyFont="true" applyFill="true" applyBorder="true" applyAlignment="true">
      <alignment horizontal="left" indent="1"/>
    </xf>
    <xf numFmtId="0" fontId="38" fillId="4" borderId="4" xfId="3" applyFont="true" applyFill="true" applyBorder="true" applyAlignment="true">
      <alignment horizontal="center" vertical="center"/>
    </xf>
    <xf numFmtId="0" fontId="21" fillId="9" borderId="4" xfId="0" applyFont="true" applyFill="true" applyBorder="true"/>
    <xf numFmtId="0" fontId="37" fillId="4" borderId="7" xfId="3" applyFont="true" applyFill="true" applyBorder="true" applyAlignment="true">
      <alignment horizontal="left" indent="1"/>
    </xf>
    <xf numFmtId="0" fontId="38" fillId="4" borderId="7" xfId="3" applyFont="true" applyFill="true" applyBorder="true" applyAlignment="true">
      <alignment horizontal="center" vertical="center"/>
    </xf>
    <xf numFmtId="0" fontId="21" fillId="9" borderId="7" xfId="0" applyFont="true" applyFill="true" applyBorder="true"/>
    <xf numFmtId="0" fontId="21" fillId="4" borderId="7" xfId="0" applyFont="true" applyFill="true" applyBorder="true"/>
    <xf numFmtId="0" fontId="21" fillId="4" borderId="2" xfId="0" applyFont="true" applyFill="true" applyBorder="true"/>
    <xf numFmtId="2" fontId="38" fillId="0" borderId="2" xfId="3" applyNumberFormat="true" applyFont="true" applyAlignment="true">
      <alignment horizontal="center" vertical="center"/>
    </xf>
    <xf numFmtId="2" fontId="45" fillId="4" borderId="2" xfId="3" applyNumberFormat="true" applyFont="true" applyFill="true" applyAlignment="true">
      <alignment horizontal="center" vertical="center"/>
    </xf>
    <xf numFmtId="2" fontId="45" fillId="4" borderId="4" xfId="3" applyNumberFormat="true" applyFont="true" applyFill="true" applyBorder="true" applyAlignment="true">
      <alignment horizontal="center" vertical="center"/>
    </xf>
    <xf numFmtId="164" fontId="38" fillId="0" borderId="2" xfId="3" applyNumberFormat="true" applyFont="true" applyAlignment="true">
      <alignment horizontal="center" vertical="center"/>
    </xf>
    <xf numFmtId="164" fontId="45" fillId="4" borderId="2" xfId="3" applyNumberFormat="true" applyFont="true" applyFill="true" applyAlignment="true">
      <alignment horizontal="center" vertical="center"/>
    </xf>
    <xf numFmtId="164" fontId="45" fillId="4" borderId="7" xfId="3" applyNumberFormat="true" applyFont="true" applyFill="true" applyBorder="true" applyAlignment="true">
      <alignment horizontal="center" vertical="center"/>
    </xf>
    <xf numFmtId="0" fontId="44" fillId="4" borderId="2" xfId="3" applyFont="true" applyFill="true"/>
    <xf numFmtId="0" fontId="36" fillId="4" borderId="18" xfId="3" applyFont="true" applyFill="true" applyBorder="true" applyAlignment="true">
      <alignment wrapText="true"/>
    </xf>
    <xf numFmtId="164" fontId="45" fillId="4" borderId="18" xfId="3" applyNumberFormat="true" applyFont="true" applyFill="true" applyBorder="true" applyAlignment="true">
      <alignment horizontal="center" wrapText="true"/>
    </xf>
    <xf numFmtId="0" fontId="40" fillId="4" borderId="2" xfId="3" applyFont="true" applyFill="true" applyAlignment="true">
      <alignment horizontal="center" vertical="center"/>
    </xf>
    <xf numFmtId="0" fontId="40" fillId="4" borderId="4" xfId="3" applyFont="true" applyFill="true" applyBorder="true" applyAlignment="true">
      <alignment horizontal="center" vertical="center"/>
    </xf>
    <xf numFmtId="0" fontId="40" fillId="4" borderId="7" xfId="3" applyFont="true" applyFill="true" applyBorder="true" applyAlignment="true">
      <alignment horizontal="center" vertical="center"/>
    </xf>
    <xf numFmtId="0" fontId="7" fillId="4" borderId="2" xfId="3" applyFill="true" applyAlignment="true">
      <alignment horizontal="left" vertical="top" wrapText="true"/>
    </xf>
    <xf numFmtId="0" fontId="43" fillId="4" borderId="2" xfId="3" applyFont="true" applyFill="true"/>
    <xf numFmtId="0" fontId="44" fillId="4" borderId="4" xfId="3" applyFont="true" applyFill="true" applyBorder="true"/>
    <xf numFmtId="0" fontId="43" fillId="4" borderId="4" xfId="3" applyFont="true" applyFill="true" applyBorder="true"/>
    <xf numFmtId="0" fontId="44" fillId="4" borderId="5" xfId="3" applyFont="true" applyFill="true" applyBorder="true" applyAlignment="true">
      <alignment horizontal="center" vertical="center" wrapText="true"/>
    </xf>
    <xf numFmtId="164" fontId="40" fillId="4" borderId="2" xfId="3" applyNumberFormat="true" applyFont="true" applyFill="true" applyAlignment="true">
      <alignment horizontal="center" vertical="center"/>
    </xf>
    <xf numFmtId="164" fontId="40" fillId="4" borderId="4" xfId="3" applyNumberFormat="true" applyFont="true" applyFill="true" applyBorder="true" applyAlignment="true">
      <alignment horizontal="center" vertical="center"/>
    </xf>
    <xf numFmtId="164" fontId="41" fillId="4" borderId="4" xfId="0" applyNumberFormat="true" applyFont="true" applyFill="true" applyBorder="true" applyAlignment="true">
      <alignment horizontal="center" vertical="center"/>
    </xf>
    <xf numFmtId="164" fontId="48" fillId="4" borderId="0" xfId="0" applyNumberFormat="true" applyFont="true" applyFill="true" applyAlignment="true">
      <alignment horizontal="center" vertical="center"/>
    </xf>
    <xf numFmtId="0" fontId="40" fillId="4" borderId="2" xfId="3" applyFont="true" applyFill="true" applyAlignment="true">
      <alignment horizontal="left" vertical="center"/>
    </xf>
    <xf numFmtId="0" fontId="40" fillId="4" borderId="4" xfId="3" applyFont="true" applyFill="true" applyBorder="true" applyAlignment="true">
      <alignment horizontal="left" vertical="center"/>
    </xf>
    <xf numFmtId="0" fontId="36" fillId="4" borderId="8" xfId="3" applyFont="true" applyFill="true" applyBorder="true"/>
    <xf numFmtId="2" fontId="40" fillId="0" borderId="2" xfId="3" applyNumberFormat="true" applyFont="true" applyAlignment="true">
      <alignment horizontal="center" vertical="center"/>
    </xf>
    <xf numFmtId="2" fontId="41" fillId="4" borderId="2" xfId="3" applyNumberFormat="true" applyFont="true" applyFill="true" applyAlignment="true">
      <alignment horizontal="center" vertical="center"/>
    </xf>
    <xf numFmtId="2" fontId="41" fillId="4" borderId="4" xfId="3" applyNumberFormat="true" applyFont="true" applyFill="true" applyBorder="true" applyAlignment="true">
      <alignment horizontal="center" vertical="center"/>
    </xf>
    <xf numFmtId="164" fontId="40" fillId="0" borderId="2" xfId="3" applyNumberFormat="true" applyFont="true" applyAlignment="true">
      <alignment horizontal="center" vertical="center"/>
    </xf>
    <xf numFmtId="164" fontId="41" fillId="4" borderId="2" xfId="3" applyNumberFormat="true" applyFont="true" applyFill="true" applyAlignment="true">
      <alignment horizontal="center" vertical="center"/>
    </xf>
    <xf numFmtId="164" fontId="41" fillId="4" borderId="7" xfId="3" applyNumberFormat="true" applyFont="true" applyFill="true" applyBorder="true" applyAlignment="true">
      <alignment horizontal="center" vertical="center"/>
    </xf>
    <xf numFmtId="0" fontId="41" fillId="4" borderId="0" xfId="0" applyFont="true" applyFill="true" applyAlignment="true">
      <alignment horizontal="center"/>
    </xf>
    <xf numFmtId="0" fontId="41" fillId="9" borderId="0" xfId="0" applyFont="true" applyFill="true" applyAlignment="true">
      <alignment horizontal="center"/>
    </xf>
    <xf numFmtId="0" fontId="41" fillId="9" borderId="4" xfId="0" applyFont="true" applyFill="true" applyBorder="true" applyAlignment="true">
      <alignment horizontal="center"/>
    </xf>
    <xf numFmtId="0" fontId="41" fillId="9" borderId="7" xfId="0" applyFont="true" applyFill="true" applyBorder="true" applyAlignment="true">
      <alignment horizontal="center"/>
    </xf>
    <xf numFmtId="0" fontId="43" fillId="4" borderId="2" xfId="3" applyFont="true" applyFill="true" applyAlignment="true">
      <alignment horizontal="left" vertical="center"/>
    </xf>
    <xf numFmtId="0" fontId="43" fillId="4" borderId="2" xfId="3" applyFont="true" applyFill="true" applyAlignment="true">
      <alignment horizontal="left" vertical="center" wrapText="true"/>
    </xf>
    <xf numFmtId="0" fontId="11" fillId="4" borderId="2" xfId="3" applyFont="true" applyFill="true" applyAlignment="true">
      <alignment horizontal="left" vertical="center"/>
    </xf>
    <xf numFmtId="0" fontId="49" fillId="0" borderId="0" xfId="0" applyFont="true"/>
    <xf numFmtId="0" fontId="0" fillId="4" borderId="0" xfId="0" applyFill="true" applyAlignment="true" applyProtection="true">
      <alignment horizontal="left"/>
      <protection locked="false"/>
    </xf>
    <xf numFmtId="0" fontId="23" fillId="4" borderId="0" xfId="0" applyFont="true" applyFill="true"/>
    <xf numFmtId="0" fontId="43" fillId="4" borderId="6" xfId="1" applyFont="true" applyFill="true" applyBorder="true" applyAlignment="true">
      <alignment horizontal="center"/>
    </xf>
    <xf numFmtId="0" fontId="43" fillId="4" borderId="4" xfId="1" applyFont="true" applyFill="true" applyBorder="true" applyAlignment="true">
      <alignment horizontal="center"/>
    </xf>
    <xf numFmtId="165" fontId="43" fillId="4" borderId="2" xfId="1" applyNumberFormat="true" applyFont="true" applyFill="true" applyBorder="true" applyAlignment="true">
      <alignment horizontal="center" vertical="center"/>
    </xf>
    <xf numFmtId="4" fontId="43" fillId="4" borderId="4" xfId="1" applyNumberFormat="true" applyFont="true" applyFill="true" applyBorder="true" applyAlignment="true">
      <alignment horizontal="center" vertical="center"/>
    </xf>
    <xf numFmtId="0" fontId="6" fillId="4" borderId="1" xfId="1" applyFont="true" applyFill="true" applyProtection="true">
      <protection locked="false"/>
    </xf>
    <xf numFmtId="164" fontId="50" fillId="4" borderId="2" xfId="3" applyNumberFormat="true" applyFont="true" applyFill="true" applyAlignment="true">
      <alignment horizontal="center" vertical="center"/>
    </xf>
    <xf numFmtId="168" fontId="7" fillId="4" borderId="2" xfId="3" applyNumberFormat="true" applyFill="true" applyAlignment="true">
      <alignment vertical="top" wrapText="true"/>
    </xf>
    <xf numFmtId="0" fontId="5" fillId="4" borderId="2" xfId="3" applyFont="true" applyFill="true" applyAlignment="true">
      <alignment horizontal="left" vertical="center"/>
    </xf>
    <xf numFmtId="0" fontId="5" fillId="4" borderId="2" xfId="3" applyFont="true" applyFill="true"/>
    <xf numFmtId="0" fontId="46" fillId="4" borderId="4" xfId="3" applyFont="true" applyFill="true" applyBorder="true" applyAlignment="true">
      <alignment horizontal="center" vertical="center" wrapText="true"/>
    </xf>
    <xf numFmtId="0" fontId="44" fillId="4" borderId="2" xfId="3" applyFont="true" applyFill="true" applyAlignment="true">
      <alignment horizontal="center" vertical="center" wrapText="true"/>
    </xf>
    <xf numFmtId="0" fontId="43" fillId="4" borderId="2" xfId="3" applyFont="true" applyFill="true" applyAlignment="true">
      <alignment horizontal="center" vertical="center"/>
    </xf>
    <xf numFmtId="164" fontId="43" fillId="4" borderId="6" xfId="3" applyNumberFormat="true" applyFont="true" applyFill="true" applyBorder="true" applyAlignment="true">
      <alignment horizontal="right" vertical="center"/>
    </xf>
    <xf numFmtId="164" fontId="43" fillId="4" borderId="2" xfId="3" applyNumberFormat="true" applyFont="true" applyFill="true" applyAlignment="true">
      <alignment horizontal="right" vertical="center"/>
    </xf>
    <xf numFmtId="43" fontId="43" fillId="4" borderId="2" xfId="3" applyNumberFormat="true" applyFont="true" applyFill="true" applyAlignment="true">
      <alignment horizontal="right" vertical="center"/>
    </xf>
    <xf numFmtId="0" fontId="43" fillId="4" borderId="4" xfId="3" applyFont="true" applyFill="true" applyBorder="true" applyAlignment="true">
      <alignment horizontal="center" vertical="center"/>
    </xf>
    <xf numFmtId="172" fontId="43" fillId="4" borderId="4" xfId="3" applyNumberFormat="true" applyFont="true" applyFill="true" applyBorder="true" applyAlignment="true">
      <alignment horizontal="center" vertical="center"/>
    </xf>
    <xf numFmtId="43" fontId="43" fillId="4" borderId="2" xfId="3" applyNumberFormat="true" applyFont="true" applyFill="true" applyAlignment="true">
      <alignment horizontal="center" vertical="center"/>
    </xf>
    <xf numFmtId="0" fontId="27" fillId="4" borderId="2" xfId="3" applyFont="true" applyFill="true" applyAlignment="true">
      <alignment horizontal="left" wrapText="true"/>
    </xf>
    <xf numFmtId="0" fontId="27" fillId="4" borderId="2" xfId="3" applyFont="true" applyFill="true"/>
    <xf numFmtId="0" fontId="10" fillId="4" borderId="2" xfId="3" applyFont="true" applyFill="true" applyAlignment="true">
      <alignment horizontal="center"/>
    </xf>
    <xf numFmtId="167" fontId="7" fillId="4" borderId="2" xfId="3" applyNumberFormat="true" applyFill="true" applyAlignment="true">
      <alignment horizontal="center"/>
    </xf>
    <xf numFmtId="0" fontId="5" fillId="4" borderId="1" xfId="1" applyFont="true" applyFill="true"/>
    <xf numFmtId="2" fontId="9" fillId="4" borderId="1" xfId="1" applyNumberFormat="true" applyFill="true" applyAlignment="true">
      <alignment horizontal="center"/>
    </xf>
    <xf numFmtId="2" fontId="9" fillId="4" borderId="1" xfId="1" applyNumberFormat="true" applyFill="true"/>
    <xf numFmtId="167" fontId="9" fillId="4" borderId="1" xfId="1" applyNumberFormat="true" applyFill="true" applyAlignment="true">
      <alignment horizontal="center"/>
    </xf>
    <xf numFmtId="0" fontId="47" fillId="4" borderId="1" xfId="1" applyFont="true" applyFill="true"/>
    <xf numFmtId="166" fontId="47" fillId="4" borderId="1" xfId="1" applyNumberFormat="true" applyFont="true" applyFill="true"/>
    <xf numFmtId="0" fontId="43" fillId="4" borderId="2" xfId="1" applyFont="true" applyFill="true" applyBorder="true" applyAlignment="true">
      <alignment horizontal="center"/>
    </xf>
    <xf numFmtId="2" fontId="11" fillId="4" borderId="2" xfId="1" applyNumberFormat="true" applyFont="true" applyFill="true" applyBorder="true"/>
    <xf numFmtId="2" fontId="43" fillId="4" borderId="2" xfId="1" applyNumberFormat="true" applyFont="true" applyFill="true" applyBorder="true" applyAlignment="true">
      <alignment horizontal="center" vertical="center"/>
    </xf>
    <xf numFmtId="2" fontId="43" fillId="4" borderId="2" xfId="1" applyNumberFormat="true" applyFont="true" applyFill="true" applyBorder="true" applyAlignment="true">
      <alignment horizontal="center"/>
    </xf>
    <xf numFmtId="164" fontId="43" fillId="4" borderId="2" xfId="1" applyNumberFormat="true" applyFont="true" applyFill="true" applyBorder="true" applyAlignment="true">
      <alignment horizontal="center"/>
    </xf>
    <xf numFmtId="164" fontId="43" fillId="4" borderId="4" xfId="1" applyNumberFormat="true" applyFont="true" applyFill="true" applyBorder="true" applyAlignment="true">
      <alignment horizontal="center"/>
    </xf>
    <xf numFmtId="0" fontId="35" fillId="4" borderId="1" xfId="1" applyFont="true" applyFill="true"/>
    <xf numFmtId="2" fontId="11" fillId="4" borderId="1" xfId="1" applyNumberFormat="true" applyFont="true" applyFill="true"/>
    <xf numFmtId="2" fontId="8" fillId="4" borderId="1" xfId="1" applyNumberFormat="true" applyFont="true" applyFill="true"/>
    <xf numFmtId="2" fontId="9" fillId="4" borderId="1" xfId="1" applyNumberFormat="true" applyFill="true" applyAlignment="true">
      <alignment horizontal="left"/>
    </xf>
    <xf numFmtId="1" fontId="9" fillId="4" borderId="1" xfId="1" applyNumberFormat="true" applyFill="true" applyAlignment="true">
      <alignment horizontal="center"/>
    </xf>
    <xf numFmtId="0" fontId="4" fillId="4" borderId="1" xfId="1" applyFont="true" applyFill="true"/>
    <xf numFmtId="0" fontId="52" fillId="4" borderId="2" xfId="3" applyFont="true" applyFill="true"/>
    <xf numFmtId="0" fontId="43" fillId="4" borderId="2" xfId="3" applyFont="true" applyFill="true" applyAlignment="true">
      <alignment horizontal="center" vertical="center" wrapText="true"/>
    </xf>
    <xf numFmtId="0" fontId="43" fillId="4" borderId="6" xfId="3" applyFont="true" applyFill="true" applyBorder="true"/>
    <xf numFmtId="0" fontId="44" fillId="4" borderId="2" xfId="3" applyFont="true" applyFill="true" applyAlignment="true">
      <alignment horizontal="center"/>
    </xf>
    <xf numFmtId="0" fontId="44" fillId="4" borderId="5" xfId="3" applyFont="true" applyFill="true" applyBorder="true"/>
    <xf numFmtId="0" fontId="53" fillId="4" borderId="2" xfId="3" applyFont="true" applyFill="true"/>
    <xf numFmtId="0" fontId="21" fillId="4" borderId="4" xfId="3" applyFont="true" applyFill="true" applyBorder="true"/>
    <xf numFmtId="0" fontId="21" fillId="4" borderId="2" xfId="3" applyFont="true" applyFill="true"/>
    <xf numFmtId="0" fontId="43" fillId="4" borderId="5" xfId="3" applyFont="true" applyFill="true" applyBorder="true"/>
    <xf numFmtId="0" fontId="54" fillId="4" borderId="5" xfId="3" applyFont="true" applyFill="true" applyBorder="true" applyAlignment="true">
      <alignment horizontal="center" vertical="center" wrapText="true"/>
    </xf>
    <xf numFmtId="0" fontId="22" fillId="4" borderId="2" xfId="3" applyFont="true" applyFill="true" applyAlignment="true">
      <alignment wrapText="true"/>
    </xf>
    <xf numFmtId="0" fontId="43" fillId="4" borderId="5" xfId="3" applyFont="true" applyFill="true" applyBorder="true" applyAlignment="true">
      <alignment horizontal="center" vertical="center" wrapText="true"/>
    </xf>
    <xf numFmtId="43" fontId="43" fillId="4" borderId="2" xfId="3" applyNumberFormat="true" applyFont="true" applyFill="true"/>
    <xf numFmtId="171" fontId="55" fillId="4" borderId="2" xfId="3" applyNumberFormat="true" applyFont="true" applyFill="true"/>
    <xf numFmtId="43" fontId="21" fillId="4" borderId="2" xfId="3" applyNumberFormat="true" applyFont="true" applyFill="true"/>
    <xf numFmtId="1" fontId="43" fillId="4" borderId="6" xfId="3" applyNumberFormat="true" applyFont="true" applyFill="true" applyBorder="true"/>
    <xf numFmtId="169" fontId="56" fillId="4" borderId="6" xfId="4" applyNumberFormat="true" applyFont="true" applyFill="true" applyBorder="true" applyAlignment="true">
      <alignment horizontal="right" vertical="center" wrapText="true"/>
    </xf>
    <xf numFmtId="169" fontId="21" fillId="4" borderId="6" xfId="4" applyNumberFormat="true" applyFont="true" applyFill="true" applyBorder="true"/>
    <xf numFmtId="4" fontId="22" fillId="4" borderId="2" xfId="3" applyNumberFormat="true" applyFont="true" applyFill="true"/>
    <xf numFmtId="0" fontId="22" fillId="4" borderId="2" xfId="3" applyFont="true" applyFill="true"/>
    <xf numFmtId="164" fontId="56" fillId="4" borderId="6" xfId="3" applyNumberFormat="true" applyFont="true" applyFill="true" applyBorder="true" applyAlignment="true">
      <alignment horizontal="right" vertical="center" wrapText="true"/>
    </xf>
    <xf numFmtId="164" fontId="43" fillId="4" borderId="6" xfId="3" applyNumberFormat="true" applyFont="true" applyFill="true" applyBorder="true"/>
    <xf numFmtId="164" fontId="43" fillId="4" borderId="2" xfId="3" applyNumberFormat="true" applyFont="true" applyFill="true"/>
    <xf numFmtId="167" fontId="43" fillId="4" borderId="6" xfId="3" applyNumberFormat="true" applyFont="true" applyFill="true" applyBorder="true"/>
    <xf numFmtId="1" fontId="43" fillId="4" borderId="2" xfId="3" applyNumberFormat="true" applyFont="true" applyFill="true"/>
    <xf numFmtId="169" fontId="21" fillId="4" borderId="2" xfId="4" applyNumberFormat="true" applyFont="true" applyFill="true" applyBorder="true"/>
    <xf numFmtId="0" fontId="57" fillId="4" borderId="2" xfId="3" applyFont="true" applyFill="true"/>
    <xf numFmtId="164" fontId="56" fillId="4" borderId="2" xfId="3" applyNumberFormat="true" applyFont="true" applyFill="true" applyAlignment="true">
      <alignment vertical="center" wrapText="true"/>
    </xf>
    <xf numFmtId="43" fontId="55" fillId="4" borderId="2" xfId="3" applyNumberFormat="true" applyFont="true" applyFill="true"/>
    <xf numFmtId="43" fontId="43" fillId="4" borderId="4" xfId="3" applyNumberFormat="true" applyFont="true" applyFill="true" applyBorder="true"/>
    <xf numFmtId="43" fontId="21" fillId="4" borderId="4" xfId="3" applyNumberFormat="true" applyFont="true" applyFill="true" applyBorder="true"/>
    <xf numFmtId="0" fontId="57" fillId="4" borderId="10" xfId="3" applyFont="true" applyFill="true" applyBorder="true" applyAlignment="true">
      <alignment horizontal="right" vertical="center"/>
    </xf>
    <xf numFmtId="43" fontId="43" fillId="4" borderId="2" xfId="6" applyFont="true" applyFill="true" applyBorder="true"/>
    <xf numFmtId="0" fontId="58" fillId="4" borderId="2" xfId="3" applyFont="true" applyFill="true"/>
    <xf numFmtId="0" fontId="59" fillId="4" borderId="2" xfId="3" applyFont="true" applyFill="true"/>
    <xf numFmtId="164" fontId="56" fillId="4" borderId="2" xfId="3" applyNumberFormat="true" applyFont="true" applyFill="true" applyAlignment="true">
      <alignment horizontal="right" vertical="center" wrapText="true"/>
    </xf>
    <xf numFmtId="2" fontId="43" fillId="4" borderId="2" xfId="3" applyNumberFormat="true" applyFont="true" applyFill="true"/>
    <xf numFmtId="4" fontId="43" fillId="4" borderId="2" xfId="3" applyNumberFormat="true" applyFont="true" applyFill="true"/>
    <xf numFmtId="1" fontId="43" fillId="4" borderId="4" xfId="3" applyNumberFormat="true" applyFont="true" applyFill="true" applyBorder="true"/>
    <xf numFmtId="169" fontId="21" fillId="4" borderId="4" xfId="4" applyNumberFormat="true" applyFont="true" applyFill="true" applyBorder="true"/>
    <xf numFmtId="164" fontId="56" fillId="4" borderId="4" xfId="3" applyNumberFormat="true" applyFont="true" applyFill="true" applyBorder="true" applyAlignment="true">
      <alignment horizontal="right" vertical="center" wrapText="true"/>
    </xf>
    <xf numFmtId="164" fontId="43" fillId="4" borderId="4" xfId="3" applyNumberFormat="true" applyFont="true" applyFill="true" applyBorder="true"/>
    <xf numFmtId="2" fontId="43" fillId="4" borderId="4" xfId="3" applyNumberFormat="true" applyFont="true" applyFill="true" applyBorder="true"/>
    <xf numFmtId="169" fontId="43" fillId="4" borderId="2" xfId="3" applyNumberFormat="true" applyFont="true" applyFill="true"/>
    <xf numFmtId="43" fontId="21" fillId="4" borderId="2" xfId="4" applyFont="true" applyFill="true"/>
    <xf numFmtId="0" fontId="43" fillId="4" borderId="2" xfId="3" applyFont="true" applyFill="true" applyAlignment="true">
      <alignment horizontal="left" wrapText="true" indent="1"/>
    </xf>
    <xf numFmtId="167" fontId="43" fillId="4" borderId="2" xfId="3" applyNumberFormat="true" applyFont="true" applyFill="true" applyAlignment="true">
      <alignment horizontal="center" vertical="center"/>
    </xf>
    <xf numFmtId="0" fontId="58" fillId="4" borderId="11" xfId="3" applyFont="true" applyFill="true" applyBorder="true" applyAlignment="true">
      <alignment vertical="center"/>
    </xf>
    <xf numFmtId="0" fontId="60" fillId="4" borderId="12" xfId="3" applyFont="true" applyFill="true" applyBorder="true" applyAlignment="true">
      <alignment horizontal="right" vertical="center"/>
    </xf>
    <xf numFmtId="0" fontId="18" fillId="4" borderId="12" xfId="3" applyFont="true" applyFill="true" applyBorder="true" applyAlignment="true">
      <alignment horizontal="right" vertical="center"/>
    </xf>
    <xf numFmtId="9" fontId="18" fillId="4" borderId="12" xfId="3" applyNumberFormat="true" applyFont="true" applyFill="true" applyBorder="true" applyAlignment="true">
      <alignment horizontal="right" vertical="center"/>
    </xf>
    <xf numFmtId="0" fontId="58" fillId="4" borderId="13" xfId="3" applyFont="true" applyFill="true" applyBorder="true" applyAlignment="true">
      <alignment vertical="center"/>
    </xf>
    <xf numFmtId="0" fontId="58" fillId="4" borderId="14" xfId="3" applyFont="true" applyFill="true" applyBorder="true" applyAlignment="true">
      <alignment horizontal="right" vertical="center"/>
    </xf>
    <xf numFmtId="9" fontId="60" fillId="4" borderId="14" xfId="3" applyNumberFormat="true" applyFont="true" applyFill="true" applyBorder="true" applyAlignment="true">
      <alignment horizontal="right" vertical="center"/>
    </xf>
    <xf numFmtId="0" fontId="61" fillId="4" borderId="15" xfId="3" applyFont="true" applyFill="true" applyBorder="true" applyAlignment="true">
      <alignment vertical="center"/>
    </xf>
    <xf numFmtId="0" fontId="61" fillId="4" borderId="10" xfId="3" applyFont="true" applyFill="true" applyBorder="true" applyAlignment="true">
      <alignment horizontal="right" vertical="center"/>
    </xf>
    <xf numFmtId="9" fontId="61" fillId="4" borderId="10" xfId="3" applyNumberFormat="true" applyFont="true" applyFill="true" applyBorder="true" applyAlignment="true">
      <alignment horizontal="right" vertical="center"/>
    </xf>
    <xf numFmtId="0" fontId="58" fillId="4" borderId="15" xfId="3" applyFont="true" applyFill="true" applyBorder="true" applyAlignment="true">
      <alignment vertical="center"/>
    </xf>
    <xf numFmtId="0" fontId="58" fillId="4" borderId="10" xfId="3" applyFont="true" applyFill="true" applyBorder="true" applyAlignment="true">
      <alignment horizontal="right" vertical="center"/>
    </xf>
    <xf numFmtId="9" fontId="60" fillId="4" borderId="10" xfId="3" applyNumberFormat="true" applyFont="true" applyFill="true" applyBorder="true" applyAlignment="true">
      <alignment horizontal="right" vertical="center"/>
    </xf>
    <xf numFmtId="0" fontId="59" fillId="4" borderId="10" xfId="3" applyFont="true" applyFill="true" applyBorder="true" applyAlignment="true">
      <alignment horizontal="right" vertical="center"/>
    </xf>
    <xf numFmtId="0" fontId="60" fillId="4" borderId="10" xfId="3" applyFont="true" applyFill="true" applyBorder="true" applyAlignment="true">
      <alignment horizontal="right" vertical="center"/>
    </xf>
    <xf numFmtId="170" fontId="62" fillId="4" borderId="16" xfId="5" applyFont="true" applyFill="true" applyBorder="true" applyAlignment="true">
      <alignment vertical="center"/>
    </xf>
    <xf numFmtId="4" fontId="62" fillId="4" borderId="17" xfId="4" applyNumberFormat="true" applyFont="true" applyFill="true" applyBorder="true" applyAlignment="true">
      <alignment horizontal="center" vertical="center"/>
    </xf>
    <xf numFmtId="4" fontId="21" fillId="4" borderId="17" xfId="4" applyNumberFormat="true" applyFont="true" applyFill="true" applyBorder="true" applyAlignment="true">
      <alignment horizontal="center" vertical="center"/>
    </xf>
    <xf numFmtId="170" fontId="63" fillId="4" borderId="16" xfId="5" applyFont="true" applyFill="true" applyBorder="true" applyAlignment="true">
      <alignment vertical="center"/>
    </xf>
    <xf numFmtId="4" fontId="63" fillId="4" borderId="17" xfId="4" applyNumberFormat="true" applyFont="true" applyFill="true" applyBorder="true" applyAlignment="true">
      <alignment horizontal="center" vertical="center"/>
    </xf>
    <xf numFmtId="4" fontId="20" fillId="4" borderId="17" xfId="4" applyNumberFormat="true" applyFont="true" applyFill="true" applyBorder="true" applyAlignment="true">
      <alignment horizontal="center" vertical="center"/>
    </xf>
    <xf numFmtId="0" fontId="43" fillId="4" borderId="4" xfId="1" applyFont="true" applyFill="true" applyBorder="true" applyAlignment="true" applyProtection="true">
      <alignment horizontal="center"/>
      <protection locked="false"/>
    </xf>
    <xf numFmtId="2" fontId="21" fillId="4" borderId="2" xfId="0" applyNumberFormat="true" applyFont="true" applyFill="true" applyBorder="true" applyAlignment="true">
      <alignment horizontal="center"/>
    </xf>
    <xf numFmtId="2" fontId="21" fillId="4" borderId="4" xfId="0" applyNumberFormat="true" applyFont="true" applyFill="true" applyBorder="true" applyAlignment="true">
      <alignment horizontal="center"/>
    </xf>
    <xf numFmtId="0" fontId="9" fillId="4" borderId="1" xfId="1" applyFill="true" applyAlignment="true">
      <alignment horizontal="left"/>
    </xf>
    <xf numFmtId="0" fontId="23" fillId="4" borderId="2" xfId="0" applyFont="true" applyFill="true" applyBorder="true" applyAlignment="true">
      <alignment horizontal="left"/>
    </xf>
    <xf numFmtId="0" fontId="0" fillId="0" borderId="0" xfId="0" applyAlignment="true">
      <alignment horizontal="left"/>
    </xf>
    <xf numFmtId="2" fontId="43" fillId="4" borderId="6" xfId="1" applyNumberFormat="true" applyFont="true" applyFill="true" applyBorder="true" applyAlignment="true">
      <alignment horizontal="center"/>
    </xf>
    <xf numFmtId="0" fontId="21" fillId="4" borderId="5" xfId="0" applyFont="true" applyFill="true" applyBorder="true" applyAlignment="true">
      <alignment horizontal="center"/>
    </xf>
    <xf numFmtId="2" fontId="43" fillId="4" borderId="4" xfId="1" applyNumberFormat="true" applyFont="true" applyFill="true" applyBorder="true" applyAlignment="true">
      <alignment horizontal="center"/>
    </xf>
    <xf numFmtId="0" fontId="11" fillId="4" borderId="2" xfId="1" applyFont="true" applyFill="true" applyBorder="true" applyAlignment="true">
      <alignment horizontal="left"/>
    </xf>
    <xf numFmtId="2" fontId="9" fillId="4" borderId="2" xfId="1" applyNumberFormat="true" applyFill="true" applyBorder="true" applyAlignment="true">
      <alignment horizontal="left"/>
    </xf>
    <xf numFmtId="0" fontId="4" fillId="4" borderId="1" xfId="1" applyFont="true" applyFill="true" applyAlignment="true">
      <alignment horizontal="left"/>
    </xf>
    <xf numFmtId="0" fontId="4" fillId="4" borderId="2" xfId="1" applyFont="true" applyFill="true" applyBorder="true" applyAlignment="true">
      <alignment horizontal="left"/>
    </xf>
    <xf numFmtId="0" fontId="9" fillId="4" borderId="2" xfId="1" applyFill="true" applyBorder="true" applyAlignment="true">
      <alignment horizontal="left"/>
    </xf>
    <xf numFmtId="168" fontId="9" fillId="4" borderId="1" xfId="1" applyNumberFormat="true" applyFill="true" applyAlignment="true">
      <alignment horizontal="left"/>
    </xf>
    <xf numFmtId="165" fontId="9" fillId="4" borderId="2" xfId="1" applyNumberFormat="true" applyFill="true" applyBorder="true" applyAlignment="true">
      <alignment horizontal="left"/>
    </xf>
    <xf numFmtId="4" fontId="9" fillId="4" borderId="2" xfId="1" applyNumberFormat="true" applyFill="true" applyBorder="true" applyAlignment="true">
      <alignment horizontal="left"/>
    </xf>
    <xf numFmtId="1" fontId="9" fillId="4" borderId="2" xfId="1" applyNumberFormat="true" applyFill="true" applyBorder="true" applyAlignment="true">
      <alignment horizontal="left"/>
    </xf>
    <xf numFmtId="173" fontId="9" fillId="4" borderId="2" xfId="1" applyNumberFormat="true" applyFill="true" applyBorder="true" applyAlignment="true">
      <alignment horizontal="left"/>
    </xf>
    <xf numFmtId="0" fontId="5" fillId="4" borderId="1" xfId="1" applyFont="true" applyFill="true" applyAlignment="true">
      <alignment horizontal="left"/>
    </xf>
    <xf numFmtId="0" fontId="6" fillId="4" borderId="0" xfId="1" applyFont="true" applyFill="true" applyBorder="true" applyAlignment="true">
      <alignment horizontal="left"/>
    </xf>
    <xf numFmtId="166" fontId="9" fillId="4" borderId="1" xfId="1" applyNumberFormat="true" applyFill="true" applyAlignment="true">
      <alignment horizontal="left"/>
    </xf>
    <xf numFmtId="2" fontId="11" fillId="4" borderId="2" xfId="1" applyNumberFormat="true" applyFont="true" applyFill="true" applyBorder="true" applyAlignment="true">
      <alignment horizontal="left"/>
    </xf>
    <xf numFmtId="0" fontId="0" fillId="4" borderId="0" xfId="0" applyFill="true" applyAlignment="true">
      <alignment horizontal="left"/>
    </xf>
    <xf numFmtId="0" fontId="8" fillId="4" borderId="2" xfId="1" applyFont="true" applyFill="true" applyBorder="true" applyAlignment="true">
      <alignment horizontal="left"/>
    </xf>
    <xf numFmtId="0" fontId="5" fillId="4" borderId="2" xfId="1" applyFont="true" applyFill="true" applyBorder="true" applyAlignment="true">
      <alignment horizontal="left"/>
    </xf>
    <xf numFmtId="0" fontId="5" fillId="4" borderId="0" xfId="1" applyFont="true" applyFill="true" applyBorder="true" applyAlignment="true">
      <alignment horizontal="left"/>
    </xf>
    <xf numFmtId="0" fontId="11" fillId="4" borderId="1" xfId="1" applyFont="true" applyFill="true" applyAlignment="true">
      <alignment horizontal="left"/>
    </xf>
    <xf numFmtId="0" fontId="17" fillId="4" borderId="2" xfId="0" applyFont="true" applyFill="true" applyBorder="true" applyAlignment="true">
      <alignment horizontal="left"/>
    </xf>
    <xf numFmtId="167" fontId="43" fillId="4" borderId="2" xfId="1" applyNumberFormat="true" applyFont="true" applyFill="true" applyBorder="true" applyAlignment="true">
      <alignment horizontal="center"/>
    </xf>
    <xf numFmtId="0" fontId="4" fillId="4" borderId="1" xfId="1" applyFont="true" applyFill="true" applyProtection="true">
      <protection locked="false"/>
    </xf>
    <xf numFmtId="0" fontId="10" fillId="0" borderId="0" xfId="0" applyFont="true"/>
    <xf numFmtId="0" fontId="64" fillId="0" borderId="0" xfId="0" applyFont="true"/>
    <xf numFmtId="0" fontId="47" fillId="4" borderId="1" xfId="1" applyFont="true" applyFill="true" applyProtection="true">
      <protection locked="false"/>
    </xf>
    <xf numFmtId="0" fontId="64" fillId="4" borderId="0" xfId="0" applyFont="true" applyFill="true" applyProtection="true">
      <protection locked="false"/>
    </xf>
    <xf numFmtId="164" fontId="7" fillId="10" borderId="2" xfId="3" applyNumberFormat="true" applyFill="true" applyAlignment="true">
      <alignment horizontal="center" vertical="center"/>
    </xf>
    <xf numFmtId="164" fontId="10" fillId="10" borderId="2" xfId="3" applyNumberFormat="true" applyFont="true" applyFill="true" applyAlignment="true">
      <alignment horizontal="center" vertical="center"/>
    </xf>
    <xf numFmtId="164" fontId="10" fillId="10" borderId="7" xfId="3" applyNumberFormat="true" applyFont="true" applyFill="true" applyBorder="true" applyAlignment="true">
      <alignment horizontal="center" vertical="center"/>
    </xf>
    <xf numFmtId="2" fontId="10" fillId="10" borderId="2" xfId="3" applyNumberFormat="true" applyFont="true" applyFill="true" applyAlignment="true">
      <alignment horizontal="center" vertical="center"/>
    </xf>
    <xf numFmtId="2" fontId="10" fillId="10" borderId="4" xfId="3" applyNumberFormat="true" applyFont="true" applyFill="true" applyBorder="true" applyAlignment="true">
      <alignment horizontal="center" vertical="center"/>
    </xf>
    <xf numFmtId="2" fontId="7" fillId="10" borderId="2" xfId="3" applyNumberFormat="true" applyFill="true" applyAlignment="true">
      <alignment horizontal="center" vertical="center"/>
    </xf>
    <xf numFmtId="2" fontId="7" fillId="10" borderId="7" xfId="3" applyNumberFormat="true" applyFill="true" applyBorder="true" applyAlignment="true">
      <alignment horizontal="center" vertical="center"/>
    </xf>
    <xf numFmtId="2" fontId="7" fillId="10" borderId="4" xfId="3" applyNumberFormat="true" applyFill="true" applyBorder="true" applyAlignment="true">
      <alignment horizontal="center" vertical="center"/>
    </xf>
    <xf numFmtId="168" fontId="43" fillId="4" borderId="2" xfId="1" applyNumberFormat="true" applyFont="true" applyFill="true" applyBorder="true" applyAlignment="true">
      <alignment horizontal="center"/>
    </xf>
    <xf numFmtId="1" fontId="7" fillId="10" borderId="2" xfId="3" applyNumberFormat="true" applyFill="true" applyAlignment="true" applyProtection="true">
      <alignment horizontal="center" vertical="center"/>
      <protection locked="false"/>
    </xf>
    <xf numFmtId="1" fontId="7" fillId="10" borderId="2" xfId="3" applyNumberFormat="true" applyFill="true" applyAlignment="true">
      <alignment horizontal="center" vertical="center"/>
    </xf>
    <xf numFmtId="0" fontId="3" fillId="4" borderId="1" xfId="1" applyFont="true" applyFill="true"/>
    <xf numFmtId="2" fontId="30" fillId="4" borderId="1" xfId="1" applyNumberFormat="true" applyFont="true" applyFill="true"/>
    <xf numFmtId="2" fontId="10" fillId="4" borderId="1" xfId="2" applyNumberFormat="true" applyFont="true" applyFill="true"/>
    <xf numFmtId="43" fontId="24" fillId="4" borderId="1" xfId="6" applyFont="true" applyFill="true" applyBorder="true"/>
    <xf numFmtId="0" fontId="2" fillId="4" borderId="1" xfId="1" applyFont="true" applyFill="true"/>
    <xf numFmtId="0" fontId="11" fillId="4" borderId="1" xfId="1" applyFont="true" applyFill="true" applyAlignment="true">
      <alignment horizontal="center" vertical="center" wrapText="true"/>
    </xf>
    <xf numFmtId="0" fontId="9" fillId="4" borderId="1" xfId="1" applyFill="true" applyAlignment="true">
      <alignment vertical="center" wrapText="true"/>
    </xf>
    <xf numFmtId="0" fontId="11" fillId="4" borderId="1" xfId="1" applyFont="true" applyFill="true" applyAlignment="true">
      <alignment vertical="center"/>
    </xf>
    <xf numFmtId="0" fontId="11" fillId="4" borderId="1" xfId="1" applyFont="true" applyFill="true" applyAlignment="true" applyProtection="true">
      <alignment vertical="center"/>
      <protection locked="false"/>
    </xf>
    <xf numFmtId="0" fontId="47" fillId="4" borderId="1" xfId="1" applyFont="true" applyFill="true" applyAlignment="true">
      <alignment horizontal="center" vertical="center" wrapText="true"/>
    </xf>
    <xf numFmtId="0" fontId="47" fillId="4" borderId="1" xfId="1" applyFont="true" applyFill="true" applyAlignment="true">
      <alignment horizontal="center" vertical="center"/>
    </xf>
    <xf numFmtId="0" fontId="39" fillId="4" borderId="2" xfId="0" applyFont="true" applyFill="true" applyBorder="true" applyAlignment="true">
      <alignment horizontal="center" vertical="center"/>
    </xf>
    <xf numFmtId="0" fontId="39" fillId="4" borderId="4" xfId="0" applyFont="true" applyFill="true" applyBorder="true" applyAlignment="true">
      <alignment horizontal="center" vertical="center"/>
    </xf>
    <xf numFmtId="0" fontId="39" fillId="4" borderId="6" xfId="0" applyFont="true" applyFill="true" applyBorder="true" applyAlignment="true">
      <alignment horizontal="center" vertical="center"/>
    </xf>
    <xf numFmtId="0" fontId="39" fillId="4" borderId="7" xfId="0" applyFont="true" applyFill="true" applyBorder="true" applyAlignment="true">
      <alignment horizontal="center" vertical="center"/>
    </xf>
    <xf numFmtId="0" fontId="20" fillId="4" borderId="3" xfId="0" applyFont="true" applyFill="true" applyBorder="true" applyAlignment="true">
      <alignment horizontal="center"/>
    </xf>
    <xf numFmtId="0" fontId="36" fillId="4" borderId="8" xfId="3" applyFont="true" applyFill="true" applyBorder="true" applyAlignment="true">
      <alignment horizontal="left"/>
    </xf>
    <xf numFmtId="2" fontId="21" fillId="4" borderId="6" xfId="0" applyNumberFormat="true" applyFont="true" applyFill="true" applyBorder="true" applyAlignment="true">
      <alignment horizontal="center"/>
    </xf>
    <xf numFmtId="2" fontId="21" fillId="4" borderId="2" xfId="0" applyNumberFormat="true" applyFont="true" applyFill="true" applyBorder="true" applyAlignment="true">
      <alignment horizontal="center"/>
    </xf>
    <xf numFmtId="2" fontId="21" fillId="4" borderId="4" xfId="0" applyNumberFormat="true" applyFont="true" applyFill="true" applyBorder="true" applyAlignment="true">
      <alignment horizontal="center"/>
    </xf>
    <xf numFmtId="0" fontId="39" fillId="4" borderId="18" xfId="0" applyFont="true" applyFill="true" applyBorder="true" applyAlignment="true">
      <alignment horizontal="left"/>
    </xf>
    <xf numFmtId="0" fontId="39" fillId="4" borderId="18" xfId="3" applyFont="true" applyFill="true" applyBorder="true" applyAlignment="true">
      <alignment horizontal="center" wrapText="true"/>
    </xf>
    <xf numFmtId="0" fontId="36" fillId="4" borderId="2" xfId="3" applyFont="true" applyFill="true" applyAlignment="true">
      <alignment horizontal="left" wrapText="true"/>
    </xf>
    <xf numFmtId="0" fontId="31" fillId="4" borderId="9" xfId="3" applyFont="true" applyFill="true" applyBorder="true" applyAlignment="true">
      <alignment horizontal="left" vertical="center" wrapText="true"/>
    </xf>
    <xf numFmtId="0" fontId="31" fillId="4" borderId="5" xfId="3" applyFont="true" applyFill="true" applyBorder="true" applyAlignment="true">
      <alignment horizontal="left" vertical="center" wrapText="true"/>
    </xf>
    <xf numFmtId="0" fontId="44" fillId="4" borderId="5" xfId="3" applyFont="true" applyFill="true" applyBorder="true" applyAlignment="true">
      <alignment horizontal="center"/>
    </xf>
    <xf numFmtId="0" fontId="7" fillId="4" borderId="2" xfId="3" applyFill="true" applyAlignment="true">
      <alignment horizontal="left" vertical="top" wrapText="true"/>
    </xf>
    <xf numFmtId="0" fontId="29" fillId="4" borderId="7" xfId="3" applyFont="true" applyFill="true" applyBorder="true" applyAlignment="true">
      <alignment horizontal="center" vertical="center"/>
    </xf>
    <xf numFmtId="0" fontId="13" fillId="4" borderId="8" xfId="3" applyFont="true" applyFill="true" applyBorder="true" applyAlignment="true">
      <alignment horizontal="left"/>
    </xf>
    <xf numFmtId="0" fontId="6" fillId="4" borderId="2" xfId="3" applyFont="true" applyFill="true" applyAlignment="true">
      <alignment horizontal="center"/>
    </xf>
    <xf numFmtId="0" fontId="43" fillId="4" borderId="5" xfId="1" applyFont="true" applyFill="true" applyBorder="true" applyAlignment="true">
      <alignment horizontal="center"/>
    </xf>
    <xf numFmtId="0" fontId="1" fillId="4" borderId="1" xfId="1" applyFont="true" applyFill="true"/>
    <xf numFmtId="0" fontId="1" fillId="4" borderId="1" xfId="1" applyFont="true" applyFill="true" applyProtection="true">
      <protection locked="false"/>
    </xf>
  </cellXfs>
  <cellStyles count="7">
    <cellStyle name="Comma" xfId="6" builtinId="3"/>
    <cellStyle name="Comma 2" xfId="4"/>
    <cellStyle name="Milliers 5" xfId="5"/>
    <cellStyle name="Normal" xfId="0" builtinId="0"/>
    <cellStyle name="Normal 2" xfId="1"/>
    <cellStyle name="Normal 3" xfId="2"/>
    <cellStyle name="Normal 4" xfId="3"/>
  </cellStyles>
  <dxfs count="16">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
      <fill>
        <patternFill>
          <bgColor theme="0" tint="-0.049317911313211"/>
        </patternFill>
      </fill>
    </dxf>
  </dxfs>
  <tableStyles count="0" defaultTableStyle="TableStyleMedium2" defaultPivotStyle="PivotStyleLight16"/>
  <colors>
    <mruColors>
      <color rgb="FFEB6C15"/>
      <color rgb="FFF58D98"/>
      <color rgb="FF9BB5FF"/>
      <color rgb="FF8EA2E6"/>
      <color rgb="FF70D5E4"/>
      <color rgb="FFFFA7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13.xml" Type="http://schemas.openxmlformats.org/officeDocument/2006/relationships/worksheet" Id="rId13"/><Relationship Target="worksheets/sheet18.xml" Type="http://schemas.openxmlformats.org/officeDocument/2006/relationships/worksheet" Id="rId18"/><Relationship Target="persons/person.xml" Type="http://schemas.microsoft.com/office/2017/10/relationships/person" Id="rId26"/><Relationship Target="worksheets/sheet3.xml" Type="http://schemas.openxmlformats.org/officeDocument/2006/relationships/worksheet" Id="rId3"/><Relationship Target="externalLinks/externalLink1.xml" Type="http://schemas.openxmlformats.org/officeDocument/2006/relationships/externalLink" Id="rId21"/><Relationship Target="worksheets/sheet7.xml" Type="http://schemas.openxmlformats.org/officeDocument/2006/relationships/worksheet" Id="rId7"/><Relationship Target="worksheets/sheet12.xml" Type="http://schemas.openxmlformats.org/officeDocument/2006/relationships/worksheet" Id="rId12"/><Relationship Target="worksheets/sheet17.xml" Type="http://schemas.openxmlformats.org/officeDocument/2006/relationships/worksheet" Id="rId17"/><Relationship Target="metadata.xml" Type="http://schemas.openxmlformats.org/officeDocument/2006/relationships/sheetMetadata" Id="rId25"/><Relationship Target="worksheets/sheet2.xml" Type="http://schemas.openxmlformats.org/officeDocument/2006/relationships/worksheet" Id="rId2"/><Relationship Target="worksheets/sheet16.xml" Type="http://schemas.openxmlformats.org/officeDocument/2006/relationships/worksheet" Id="rId16"/><Relationship Target="worksheets/sheet20.xml" Type="http://schemas.openxmlformats.org/officeDocument/2006/relationships/worksheet" Id="rId20"/><Relationship Target="worksheets/sheet1.xml" Type="http://schemas.openxmlformats.org/officeDocument/2006/relationships/worksheet" Id="rId1"/><Relationship Target="worksheets/sheet6.xml" Type="http://schemas.openxmlformats.org/officeDocument/2006/relationships/worksheet" Id="rId6"/><Relationship Target="worksheets/sheet11.xml" Type="http://schemas.openxmlformats.org/officeDocument/2006/relationships/worksheet" Id="rId11"/><Relationship Target="sharedStrings.xml" Type="http://schemas.openxmlformats.org/officeDocument/2006/relationships/sharedStrings" Id="rId24"/><Relationship Target="worksheets/sheet5.xml" Type="http://schemas.openxmlformats.org/officeDocument/2006/relationships/worksheet" Id="rId5"/><Relationship Target="worksheets/sheet15.xml" Type="http://schemas.openxmlformats.org/officeDocument/2006/relationships/worksheet" Id="rId15"/><Relationship Target="styles.xml" Type="http://schemas.openxmlformats.org/officeDocument/2006/relationships/styles" Id="rId23"/><Relationship Target="worksheets/sheet10.xml" Type="http://schemas.openxmlformats.org/officeDocument/2006/relationships/worksheet" Id="rId10"/><Relationship Target="worksheets/sheet19.xml" Type="http://schemas.openxmlformats.org/officeDocument/2006/relationships/worksheet" Id="rId19"/><Relationship Target="worksheets/sheet4.xml" Type="http://schemas.openxmlformats.org/officeDocument/2006/relationships/worksheet" Id="rId4"/><Relationship Target="worksheets/sheet9.xml" Type="http://schemas.openxmlformats.org/officeDocument/2006/relationships/worksheet" Id="rId9"/><Relationship Target="worksheets/sheet14.xml" Type="http://schemas.openxmlformats.org/officeDocument/2006/relationships/worksheet" Id="rId14"/><Relationship Target="theme/theme1.xml" Type="http://schemas.openxmlformats.org/officeDocument/2006/relationships/theme" Id="rId22"/></Relationships>
</file>

<file path=xl/charts/_rels/chart1.xml.rels><?xml version="1.0" encoding="UTF-8"?><Relationships xmlns="http://schemas.openxmlformats.org/package/2006/relationships"><Relationship Target="../theme/themeOverride1.xml" Type="http://schemas.openxmlformats.org/officeDocument/2006/relationships/themeOverride" Id="rId3"/><Relationship Target="colors1.xml" Type="http://schemas.microsoft.com/office/2011/relationships/chartColorStyle" Id="rId2"/><Relationship Target="style1.xml" Type="http://schemas.microsoft.com/office/2011/relationships/chartStyle" Id="rId1"/></Relationships>
</file>

<file path=xl/charts/_rels/chart2.xml.rels><?xml version="1.0" encoding="UTF-8"?><Relationships xmlns="http://schemas.openxmlformats.org/package/2006/relationships"><Relationship Target="../theme/themeOverride2.xml" Type="http://schemas.openxmlformats.org/officeDocument/2006/relationships/themeOverride" Id="rId3"/><Relationship Target="colors2.xml" Type="http://schemas.microsoft.com/office/2011/relationships/chartColorStyle" Id="rId2"/><Relationship Target="style2.xml" Type="http://schemas.microsoft.com/office/2011/relationships/chartStyle" Id="rId1"/></Relationships>
</file>

<file path=xl/charts/_rels/chart3.xml.rels><?xml version="1.0" encoding="UTF-8"?><Relationships xmlns="http://schemas.openxmlformats.org/package/2006/relationships"><Relationship Target="../theme/themeOverride3.xml" Type="http://schemas.openxmlformats.org/officeDocument/2006/relationships/themeOverride" Id="rId3"/><Relationship Target="colors3.xml" Type="http://schemas.microsoft.com/office/2011/relationships/chartColorStyle" Id="rId2"/><Relationship Target="style3.xml" Type="http://schemas.microsoft.com/office/2011/relationships/chartStyle" Id="rId1"/></Relationships>
</file>

<file path=xl/charts/_rels/chart4.xml.rels><?xml version="1.0" encoding="UTF-8"?><Relationships xmlns="http://schemas.openxmlformats.org/package/2006/relationships"><Relationship Target="colors4.xml" Type="http://schemas.microsoft.com/office/2011/relationships/chartColorStyle" Id="rId2"/><Relationship Target="style4.xml" Type="http://schemas.microsoft.com/office/2011/relationships/chartStyle" Id="rId1"/></Relationships>
</file>

<file path=xl/charts/_rels/chart5.xml.rels><?xml version="1.0" encoding="UTF-8"?><Relationships xmlns="http://schemas.openxmlformats.org/package/2006/relationships"><Relationship Target="colors5.xml" Type="http://schemas.microsoft.com/office/2011/relationships/chartColorStyle" Id="rId2"/><Relationship Target="style5.xml" Type="http://schemas.microsoft.com/office/2011/relationships/chartStyle" Id="rId1"/></Relationships>
</file>

<file path=xl/charts/_rels/chart6.xml.rels><?xml version="1.0" encoding="UTF-8"?><Relationships xmlns="http://schemas.openxmlformats.org/package/2006/relationships"><Relationship Target="colors6.xml" Type="http://schemas.microsoft.com/office/2011/relationships/chartColorStyle" Id="rId2"/><Relationship Target="style6.xml" Type="http://schemas.microsoft.com/office/2011/relationships/chartStyle" Id="rId1"/></Relationships>
</file>

<file path=xl/charts/_rels/chart7.xml.rels><?xml version="1.0" encoding="UTF-8"?><Relationships xmlns="http://schemas.openxmlformats.org/package/2006/relationships"><Relationship Target="colors7.xml" Type="http://schemas.microsoft.com/office/2011/relationships/chartColorStyle" Id="rId2"/><Relationship Target="style7.xml" Type="http://schemas.microsoft.com/office/2011/relationships/chartStyle" Id="rId1"/></Relationships>
</file>

<file path=xl/charts/_rels/chart8.xml.rels><?xml version="1.0" encoding="UTF-8"?><Relationships xmlns="http://schemas.openxmlformats.org/package/2006/relationships"><Relationship Target="colors8.xml" Type="http://schemas.microsoft.com/office/2011/relationships/chartColorStyle" Id="rId2"/><Relationship Target="style8.xml" Type="http://schemas.microsoft.com/office/2011/relationships/chartStyle" Id="rId1"/></Relationships>
</file>

<file path=xl/charts/_rels/chart9.xml.rels><?xml version="1.0" encoding="UTF-8"?><Relationships xmlns="http://schemas.openxmlformats.org/package/2006/relationships"><Relationship Target="colors9.xml" Type="http://schemas.microsoft.com/office/2011/relationships/chartColorStyle" Id="rId2"/><Relationship Target="style9.xml" Type="http://schemas.microsoft.com/office/2011/relationships/chartStyle" Id="rId1"/></Relationships>
</file>

<file path=xl/charts/_rels/chart10.xml.rels><?xml version="1.0" encoding="UTF-8"?><Relationships xmlns="http://schemas.openxmlformats.org/package/2006/relationships"><Relationship Target="colors10.xml" Type="http://schemas.microsoft.com/office/2011/relationships/chartColorStyle" Id="rId2"/><Relationship Target="style10.xml" Type="http://schemas.microsoft.com/office/2011/relationships/chartStyle" Id="rId1"/></Relationships>
</file>

<file path=xl/charts/_rels/chart14.xml.rels><?xml version="1.0" encoding="UTF-8"?><Relationships xmlns="http://schemas.openxmlformats.org/package/2006/relationships"><Relationship Target="../theme/themeOverride4.xml" Type="http://schemas.openxmlformats.org/officeDocument/2006/relationships/themeOverride" Id="rId3"/><Relationship Target="colors11.xml" Type="http://schemas.microsoft.com/office/2011/relationships/chartColorStyle" Id="rId2"/><Relationship Target="style11.xml" Type="http://schemas.microsoft.com/office/2011/relationships/chartStyle" Id="rId1"/></Relationships>
</file>

<file path=xl/charts/_rels/chart15.xml.rels><?xml version="1.0" encoding="UTF-8"?><Relationships xmlns="http://schemas.openxmlformats.org/package/2006/relationships"><Relationship Target="../theme/themeOverride5.xml" Type="http://schemas.openxmlformats.org/officeDocument/2006/relationships/themeOverride" Id="rId3"/><Relationship Target="colors12.xml" Type="http://schemas.microsoft.com/office/2011/relationships/chartColorStyle" Id="rId2"/><Relationship Target="style12.xml" Type="http://schemas.microsoft.com/office/2011/relationships/chartStyle" Id="rId1"/></Relationships>
</file>

<file path=xl/charts/_rels/chart16.xml.rels><?xml version="1.0" encoding="UTF-8"?><Relationships xmlns="http://schemas.openxmlformats.org/package/2006/relationships"><Relationship Target="colors13.xml" Type="http://schemas.microsoft.com/office/2011/relationships/chartColorStyle" Id="rId2"/><Relationship Target="style13.xml" Type="http://schemas.microsoft.com/office/2011/relationships/chartStyle" Id="rId1"/></Relationships>
</file>

<file path=xl/charts/_rels/chart17.xml.rels><?xml version="1.0" encoding="UTF-8"?><Relationships xmlns="http://schemas.openxmlformats.org/package/2006/relationships"><Relationship Target="colors14.xml" Type="http://schemas.microsoft.com/office/2011/relationships/chartColorStyle" Id="rId2"/><Relationship Target="style14.xml" Type="http://schemas.microsoft.com/office/2011/relationships/chartStyle" Id="rId1"/></Relationships>
</file>

<file path=xl/charts/_rels/chart18.xml.rels><?xml version="1.0" encoding="UTF-8"?><Relationships xmlns="http://schemas.openxmlformats.org/package/2006/relationships"><Relationship Target="colors15.xml" Type="http://schemas.microsoft.com/office/2011/relationships/chartColorStyle" Id="rId2"/><Relationship Target="style15.xml" Type="http://schemas.microsoft.com/office/2011/relationships/chartStyle" Id="rId1"/></Relationships>
</file>

<file path=xl/charts/_rels/chart19.xml.rels><?xml version="1.0" encoding="UTF-8"?><Relationships xmlns="http://schemas.openxmlformats.org/package/2006/relationships"><Relationship Target="colors16.xml" Type="http://schemas.microsoft.com/office/2011/relationships/chartColorStyle" Id="rId2"/><Relationship Target="style16.xml" Type="http://schemas.microsoft.com/office/2011/relationships/chartStyle" Id="rId1"/></Relationships>
</file>

<file path=xl/charts/_rels/chart20.xml.rels><?xml version="1.0" encoding="UTF-8"?><Relationships xmlns="http://schemas.openxmlformats.org/package/2006/relationships"><Relationship Target="colors17.xml" Type="http://schemas.microsoft.com/office/2011/relationships/chartColorStyle" Id="rId2"/><Relationship Target="style17.xml" Type="http://schemas.microsoft.com/office/2011/relationships/chartStyle" Id="rId1"/></Relationships>
</file>

<file path=xl/charts/_rels/chart21.xml.rels><?xml version="1.0" encoding="UTF-8"?><Relationships xmlns="http://schemas.openxmlformats.org/package/2006/relationships"><Relationship Target="colors18.xml" Type="http://schemas.microsoft.com/office/2011/relationships/chartColorStyle" Id="rId2"/><Relationship Target="style18.xml" Type="http://schemas.microsoft.com/office/2011/relationships/chartStyle" Id="rId1"/></Relationships>
</file>

<file path=xl/charts/_rels/chart25.xml.rels><?xml version="1.0" encoding="UTF-8"?><Relationships xmlns="http://schemas.openxmlformats.org/package/2006/relationships"><Relationship Target="colors19.xml" Type="http://schemas.microsoft.com/office/2011/relationships/chartColorStyle" Id="rId2"/><Relationship Target="style19.xml" Type="http://schemas.microsoft.com/office/2011/relationships/chartStyle" Id="rId1"/></Relationships>
</file>

<file path=xl/charts/_rels/chart26.xml.rels><?xml version="1.0" encoding="UTF-8"?><Relationships xmlns="http://schemas.openxmlformats.org/package/2006/relationships"><Relationship Target="colors20.xml" Type="http://schemas.microsoft.com/office/2011/relationships/chartColorStyle" Id="rId2"/><Relationship Target="style20.xml" Type="http://schemas.microsoft.com/office/2011/relationships/chartStyle" Id="rId1"/></Relationships>
</file>

<file path=xl/charts/_rels/chart27.xml.rels><?xml version="1.0" encoding="UTF-8"?><Relationships xmlns="http://schemas.openxmlformats.org/package/2006/relationships"><Relationship Target="colors21.xml" Type="http://schemas.microsoft.com/office/2011/relationships/chartColorStyle" Id="rId2"/><Relationship Target="style21.xml" Type="http://schemas.microsoft.com/office/2011/relationships/chartStyle" Id="rId1"/></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Branches_Dist!$I$2</c:f>
              <c:strCache>
                <c:ptCount val="1"/>
                <c:pt idx="0">
                  <c:v>Tranche1</c:v>
                </c:pt>
              </c:strCache>
            </c:strRef>
          </c:tx>
          <c:spPr>
            <a:solidFill>
              <a:schemeClr val="accent6">
                <a:lumMod val="20000"/>
                <a:lumOff val="80000"/>
              </a:schemeClr>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Branches_Dist!$I$3:$I$12</c:f>
              <c:numCache>
                <c:formatCode>General</c:formatCode>
                <c:ptCount val="10"/>
                <c:pt idx="0">
                  <c:v>43</c:v>
                </c:pt>
                <c:pt idx="1">
                  <c:v>37</c:v>
                </c:pt>
                <c:pt idx="2">
                  <c:v>31</c:v>
                </c:pt>
                <c:pt idx="3">
                  <c:v>25</c:v>
                </c:pt>
                <c:pt idx="4">
                  <c:v>31</c:v>
                </c:pt>
                <c:pt idx="5">
                  <c:v>37</c:v>
                </c:pt>
                <c:pt idx="6">
                  <c:v>43</c:v>
                </c:pt>
                <c:pt idx="7">
                  <c:v>37</c:v>
                </c:pt>
                <c:pt idx="8">
                  <c:v>15</c:v>
                </c:pt>
                <c:pt idx="9">
                  <c:v>31</c:v>
                </c:pt>
              </c:numCache>
            </c:numRef>
          </c:val>
          <c:extLst>
            <c:ext xmlns:c16="http://schemas.microsoft.com/office/drawing/2014/chart" uri="{C3380CC4-5D6E-409C-BE32-E72D297353CC}">
              <c16:uniqueId val="{00000000-DB48-415D-AD71-2098B919EDD8}"/>
            </c:ext>
          </c:extLst>
        </c:ser>
        <c:ser>
          <c:idx val="1"/>
          <c:order val="1"/>
          <c:tx>
            <c:strRef>
              <c:f>Branches_Dist!$J$2</c:f>
              <c:strCache>
                <c:ptCount val="1"/>
                <c:pt idx="0">
                  <c:v>Tranche2</c:v>
                </c:pt>
              </c:strCache>
            </c:strRef>
          </c:tx>
          <c:spPr>
            <a:solidFill>
              <a:srgbClr val="D9CBFF"/>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Branches_Dist!$J$3:$J$12</c:f>
              <c:numCache>
                <c:formatCode>General</c:formatCode>
                <c:ptCount val="10"/>
                <c:pt idx="0">
                  <c:v>29</c:v>
                </c:pt>
                <c:pt idx="1">
                  <c:v>34</c:v>
                </c:pt>
                <c:pt idx="2">
                  <c:v>25</c:v>
                </c:pt>
                <c:pt idx="3">
                  <c:v>47</c:v>
                </c:pt>
                <c:pt idx="4">
                  <c:v>35</c:v>
                </c:pt>
                <c:pt idx="5">
                  <c:v>34</c:v>
                </c:pt>
                <c:pt idx="6">
                  <c:v>29</c:v>
                </c:pt>
                <c:pt idx="7">
                  <c:v>34</c:v>
                </c:pt>
                <c:pt idx="8">
                  <c:v>47</c:v>
                </c:pt>
                <c:pt idx="9">
                  <c:v>25</c:v>
                </c:pt>
              </c:numCache>
            </c:numRef>
          </c:val>
          <c:extLst>
            <c:ext xmlns:c16="http://schemas.microsoft.com/office/drawing/2014/chart" uri="{C3380CC4-5D6E-409C-BE32-E72D297353CC}">
              <c16:uniqueId val="{00000001-DB48-415D-AD71-2098B919EDD8}"/>
            </c:ext>
          </c:extLst>
        </c:ser>
        <c:ser>
          <c:idx val="2"/>
          <c:order val="2"/>
          <c:tx>
            <c:strRef>
              <c:f>Branches_Dist!$K$2</c:f>
              <c:strCache>
                <c:ptCount val="1"/>
                <c:pt idx="0">
                  <c:v>Tranche3</c:v>
                </c:pt>
              </c:strCache>
            </c:strRef>
          </c:tx>
          <c:spPr>
            <a:solidFill>
              <a:srgbClr val="5B9BD5">
                <a:lumMod val="20000"/>
                <a:lumOff val="80000"/>
              </a:srgbClr>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Branches_Dist!$K$3:$K$12</c:f>
              <c:numCache>
                <c:formatCode>General</c:formatCode>
                <c:ptCount val="10"/>
                <c:pt idx="0">
                  <c:v>28</c:v>
                </c:pt>
                <c:pt idx="1">
                  <c:v>29</c:v>
                </c:pt>
                <c:pt idx="2">
                  <c:v>44</c:v>
                </c:pt>
                <c:pt idx="3">
                  <c:v>28</c:v>
                </c:pt>
                <c:pt idx="4">
                  <c:v>34</c:v>
                </c:pt>
                <c:pt idx="5">
                  <c:v>29</c:v>
                </c:pt>
                <c:pt idx="6">
                  <c:v>28</c:v>
                </c:pt>
                <c:pt idx="7">
                  <c:v>29</c:v>
                </c:pt>
                <c:pt idx="8">
                  <c:v>38</c:v>
                </c:pt>
                <c:pt idx="9">
                  <c:v>44</c:v>
                </c:pt>
              </c:numCache>
            </c:numRef>
          </c:val>
          <c:extLst>
            <c:ext xmlns:c16="http://schemas.microsoft.com/office/drawing/2014/chart" uri="{C3380CC4-5D6E-409C-BE32-E72D297353CC}">
              <c16:uniqueId val="{00000002-DB48-415D-AD71-2098B919EDD8}"/>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Branches_Dist!$B$16</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Elec_Coverage!$I$3</c:f>
              <c:strCache>
                <c:ptCount val="1"/>
                <c:pt idx="0">
                  <c:v>VAT</c:v>
                </c:pt>
              </c:strCache>
            </c:strRef>
          </c:tx>
          <c:spPr>
            <a:solidFill>
              <a:srgbClr val="FFA764">
                <a:alpha val="70000"/>
              </a:srgbClr>
            </a:solidFill>
            <a:ln>
              <a:noFill/>
            </a:ln>
            <a:effectLst/>
          </c:spPr>
          <c:invertIfNegative val="0"/>
          <c:cat>
            <c:strRef>
              <c:f>Elec_Coverage!$H$4:$H$13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Elec_Coverage!$I$4:$I$13</c:f>
              <c:numCache>
                <c:formatCode>0.0</c:formatCode>
                <c:ptCount val="10"/>
                <c:pt idx="0">
                  <c:v>0.52220799509305893</c:v>
                </c:pt>
                <c:pt idx="1">
                  <c:v>2.512926597044332</c:v>
                </c:pt>
                <c:pt idx="2">
                  <c:v>3.1559364885235301</c:v>
                </c:pt>
                <c:pt idx="3">
                  <c:v>5.3896738088686309</c:v>
                </c:pt>
                <c:pt idx="4">
                  <c:v>3.4473341076220749</c:v>
                </c:pt>
                <c:pt idx="5">
                  <c:v>11.6408694642302</c:v>
                </c:pt>
                <c:pt idx="6">
                  <c:v>8.3573441949780047</c:v>
                </c:pt>
                <c:pt idx="7">
                  <c:v>14.586034676651671</c:v>
                </c:pt>
                <c:pt idx="8">
                  <c:v>21.480269446910249</c:v>
                </c:pt>
                <c:pt idx="9">
                  <c:v>33.570442144046247</c:v>
                </c:pt>
              </c:numCache>
            </c:numRef>
          </c:val>
          <c:extLst>
            <c:ext xmlns:c16="http://schemas.microsoft.com/office/drawing/2014/chart" uri="{C3380CC4-5D6E-409C-BE32-E72D297353CC}">
              <c16:uniqueId val="{00000000-F0D8-4D99-B73D-B2FF345EAB85}"/>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Elec_Coverage!$B$14</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Elec_Coverage!$I$2</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Elec_Coverage!$K$3</c:f>
              <c:strCache>
                <c:ptCount val="1"/>
                <c:pt idx="0">
                  <c:v>Subsidies</c:v>
                </c:pt>
              </c:strCache>
            </c:strRef>
          </c:tx>
          <c:spPr>
            <a:solidFill>
              <a:srgbClr val="F58D98">
                <a:alpha val="70000"/>
              </a:srgbClr>
            </a:solidFill>
            <a:ln>
              <a:noFill/>
            </a:ln>
            <a:effectLst/>
          </c:spPr>
          <c:invertIfNegative val="0"/>
          <c:cat>
            <c:strRef>
              <c:f>Elec_Coverage!$H$4:$H$13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Elec_Coverage!$K$4:$K$13</c:f>
              <c:numCache>
                <c:formatCode>0.0</c:formatCode>
                <c:ptCount val="10"/>
                <c:pt idx="0">
                  <c:v>16.588417293506019</c:v>
                </c:pt>
                <c:pt idx="1">
                  <c:v>27.028550352957421</c:v>
                </c:pt>
                <c:pt idx="2">
                  <c:v>35.1923932260054</c:v>
                </c:pt>
                <c:pt idx="3">
                  <c:v>47.922812384183871</c:v>
                </c:pt>
                <c:pt idx="4">
                  <c:v>54.494813774874842</c:v>
                </c:pt>
                <c:pt idx="5">
                  <c:v>65.580975541773327</c:v>
                </c:pt>
                <c:pt idx="6">
                  <c:v>75.980724519189408</c:v>
                </c:pt>
                <c:pt idx="7">
                  <c:v>83.97875079607013</c:v>
                </c:pt>
                <c:pt idx="8">
                  <c:v>89.76454541193803</c:v>
                </c:pt>
                <c:pt idx="9">
                  <c:v>95.27484167555302</c:v>
                </c:pt>
              </c:numCache>
            </c:numRef>
          </c:val>
          <c:extLst>
            <c:ext xmlns:c16="http://schemas.microsoft.com/office/drawing/2014/chart" uri="{C3380CC4-5D6E-409C-BE32-E72D297353CC}">
              <c16:uniqueId val="{00000000-FDE0-46B2-A7C1-C1B64BEF4091}"/>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Elec_Coverage!$B$14</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Elec_Coverage!$K$2</c:f>
              <c:strCache>
                <c:ptCount val="1"/>
                <c:pt idx="0">
                  <c:v>Percentage of population receiving electricity subsidies</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Elec_RI!$I$4:$I$13</c:f>
              <c:numCache>
                <c:formatCode>0.00</c:formatCode>
                <c:ptCount val="10"/>
                <c:pt idx="0">
                  <c:v>-1.149028515130032E-3</c:v>
                </c:pt>
                <c:pt idx="1">
                  <c:v>-8.5600181188349982E-3</c:v>
                </c:pt>
                <c:pt idx="2">
                  <c:v>-1.113099244008417E-2</c:v>
                </c:pt>
                <c:pt idx="3">
                  <c:v>-5.7128706926344273E-3</c:v>
                </c:pt>
                <c:pt idx="4">
                  <c:v>-4.2438069801990341E-3</c:v>
                </c:pt>
                <c:pt idx="5">
                  <c:v>-1.7764761153737891E-2</c:v>
                </c:pt>
                <c:pt idx="6">
                  <c:v>-2.0505030371028368E-2</c:v>
                </c:pt>
                <c:pt idx="7">
                  <c:v>-2.49430652019909E-2</c:v>
                </c:pt>
                <c:pt idx="8">
                  <c:v>-3.003990677309101E-2</c:v>
                </c:pt>
                <c:pt idx="9">
                  <c:v>-6.4910256175487901E-2</c:v>
                </c:pt>
              </c:numCache>
            </c:numRef>
          </c:val>
          <c:extLst>
            <c:ext xmlns:c16="http://schemas.microsoft.com/office/drawing/2014/chart" uri="{C3380CC4-5D6E-409C-BE32-E72D297353CC}">
              <c16:uniqueId val="{00000000-4B51-43DB-BDA6-15409BB76DA2}"/>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617-41FD-A883-D4D957CA1C4C}"/>
                </c:ext>
              </c:extLst>
            </c:dLbl>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617-41FD-A883-D4D957CA1C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Elec_RI!$J$4:$J$13</c:f>
              <c:numCache>
                <c:formatCode>0.00</c:formatCode>
                <c:ptCount val="10"/>
                <c:pt idx="0">
                  <c:v>0.48088581246837675</c:v>
                </c:pt>
                <c:pt idx="1">
                  <c:v>0.62573776434002404</c:v>
                </c:pt>
                <c:pt idx="2">
                  <c:v>0.75214069531789429</c:v>
                </c:pt>
                <c:pt idx="3">
                  <c:v>0.90321557736270319</c:v>
                </c:pt>
                <c:pt idx="4">
                  <c:v>0.94370820547515066</c:v>
                </c:pt>
                <c:pt idx="5">
                  <c:v>1.148969531425029</c:v>
                </c:pt>
                <c:pt idx="6">
                  <c:v>1.3074618085780789</c:v>
                </c:pt>
                <c:pt idx="7">
                  <c:v>1.399793715295911</c:v>
                </c:pt>
                <c:pt idx="8">
                  <c:v>1.4918346125631621</c:v>
                </c:pt>
                <c:pt idx="9">
                  <c:v>1.4981591087152499</c:v>
                </c:pt>
              </c:numCache>
            </c:numRef>
          </c:val>
          <c:extLst>
            <c:ext xmlns:c16="http://schemas.microsoft.com/office/drawing/2014/chart" uri="{C3380CC4-5D6E-409C-BE32-E72D297353CC}">
              <c16:uniqueId val="{00000000-7999-438B-B680-D5A9D236BCA9}"/>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4"/>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352126267638766"/>
          <c:y val="4.743905507650524E-2"/>
          <c:w val="0.72385753680573917"/>
          <c:h val="0.75719526119926706"/>
        </c:manualLayout>
      </c:layout>
      <c:barChart>
        <c:barDir val="col"/>
        <c:grouping val="stacked"/>
        <c:varyColors val="0"/>
        <c:ser>
          <c:idx val="0"/>
          <c:order val="0"/>
          <c:tx>
            <c:strRef>
              <c:f>Elec_RI!$L$3</c:f>
              <c:strCache>
                <c:ptCount val="1"/>
                <c:pt idx="0">
                  <c:v>Subsidies direct</c:v>
                </c:pt>
              </c:strCache>
            </c:strRef>
          </c:tx>
          <c:spPr>
            <a:solidFill>
              <a:srgbClr val="F58D98">
                <a:alpha val="65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Elec_RI!$L$4:$L$13</c:f>
              <c:numCache>
                <c:formatCode>0.00</c:formatCode>
                <c:ptCount val="10"/>
                <c:pt idx="0">
                  <c:v>0.28264227846050638</c:v>
                </c:pt>
                <c:pt idx="1">
                  <c:v>0.41121227850726744</c:v>
                </c:pt>
                <c:pt idx="2">
                  <c:v>0.53723781324477915</c:v>
                </c:pt>
                <c:pt idx="3">
                  <c:v>0.68235252259593249</c:v>
                </c:pt>
                <c:pt idx="4">
                  <c:v>0.71288834898545528</c:v>
                </c:pt>
                <c:pt idx="5">
                  <c:v>0.91894265999900682</c:v>
                </c:pt>
                <c:pt idx="6">
                  <c:v>1.072813870313529</c:v>
                </c:pt>
                <c:pt idx="7">
                  <c:v>1.1548026447820638</c:v>
                </c:pt>
                <c:pt idx="8">
                  <c:v>1.2493001512632289</c:v>
                </c:pt>
                <c:pt idx="9">
                  <c:v>1.25436486765868</c:v>
                </c:pt>
              </c:numCache>
            </c:numRef>
          </c:val>
          <c:extLst>
            <c:ext xmlns:c16="http://schemas.microsoft.com/office/drawing/2014/chart" uri="{C3380CC4-5D6E-409C-BE32-E72D297353CC}">
              <c16:uniqueId val="{00000000-31CF-4EB5-AB5A-76846AF6E499}"/>
            </c:ext>
          </c:extLst>
        </c:ser>
        <c:ser>
          <c:idx val="1"/>
          <c:order val="1"/>
          <c:tx>
            <c:strRef>
              <c:f>Elec_RI!$M$3</c:f>
              <c:strCache>
                <c:ptCount val="1"/>
                <c:pt idx="0">
                  <c:v>Subsidies indirect</c:v>
                </c:pt>
              </c:strCache>
            </c:strRef>
          </c:tx>
          <c:spPr>
            <a:solidFill>
              <a:srgbClr val="EB6C15">
                <a:alpha val="84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Elec_RI!$M$4:$M$13</c:f>
              <c:numCache>
                <c:formatCode>0.00</c:formatCode>
                <c:ptCount val="10"/>
                <c:pt idx="0">
                  <c:v>0.19824353389459831</c:v>
                </c:pt>
                <c:pt idx="1">
                  <c:v>0.21452548587278672</c:v>
                </c:pt>
                <c:pt idx="2">
                  <c:v>0.21490288561800439</c:v>
                </c:pt>
                <c:pt idx="3">
                  <c:v>0.22086305246371329</c:v>
                </c:pt>
                <c:pt idx="4">
                  <c:v>0.23081985004423047</c:v>
                </c:pt>
                <c:pt idx="5">
                  <c:v>0.23002687333457941</c:v>
                </c:pt>
                <c:pt idx="6">
                  <c:v>0.23464793030040801</c:v>
                </c:pt>
                <c:pt idx="7">
                  <c:v>0.24499107227530639</c:v>
                </c:pt>
                <c:pt idx="8">
                  <c:v>0.24253446055495101</c:v>
                </c:pt>
                <c:pt idx="9">
                  <c:v>0.24379424058150082</c:v>
                </c:pt>
              </c:numCache>
            </c:numRef>
          </c:val>
          <c:extLst>
            <c:ext xmlns:c16="http://schemas.microsoft.com/office/drawing/2014/chart" uri="{C3380CC4-5D6E-409C-BE32-E72D297353CC}">
              <c16:uniqueId val="{00000001-31CF-4EB5-AB5A-76846AF6E499}"/>
            </c:ext>
          </c:extLst>
        </c:ser>
        <c:ser>
          <c:idx val="2"/>
          <c:order val="2"/>
          <c:tx>
            <c:strRef>
              <c:f>Elec_RI!$I$3</c:f>
              <c:strCache>
                <c:ptCount val="1"/>
                <c:pt idx="0">
                  <c:v>VAT</c:v>
                </c:pt>
              </c:strCache>
            </c:strRef>
          </c:tx>
          <c:spPr>
            <a:solidFill>
              <a:schemeClr val="accent3"/>
            </a:solidFill>
            <a:ln>
              <a:noFill/>
            </a:ln>
            <a:effectLst/>
          </c:spPr>
          <c:invertIfNegative val="0"/>
          <c:val>
            <c:numRef>
              <c:f>Elec_RI!$I$4:$I$13</c:f>
              <c:numCache>
                <c:formatCode>0.00</c:formatCode>
                <c:ptCount val="10"/>
                <c:pt idx="0">
                  <c:v>-1.149028515130032E-3</c:v>
                </c:pt>
                <c:pt idx="1">
                  <c:v>-8.5600181188349982E-3</c:v>
                </c:pt>
                <c:pt idx="2">
                  <c:v>-1.113099244008417E-2</c:v>
                </c:pt>
                <c:pt idx="3">
                  <c:v>-5.7128706926344273E-3</c:v>
                </c:pt>
                <c:pt idx="4">
                  <c:v>-4.2438069801990341E-3</c:v>
                </c:pt>
                <c:pt idx="5">
                  <c:v>-1.7764761153737891E-2</c:v>
                </c:pt>
                <c:pt idx="6">
                  <c:v>-2.0505030371028368E-2</c:v>
                </c:pt>
                <c:pt idx="7">
                  <c:v>-2.49430652019909E-2</c:v>
                </c:pt>
                <c:pt idx="8">
                  <c:v>-3.003990677309101E-2</c:v>
                </c:pt>
                <c:pt idx="9">
                  <c:v>-6.4910256175487901E-2</c:v>
                </c:pt>
              </c:numCache>
            </c:numRef>
          </c:val>
          <c:extLst>
            <c:ext xmlns:c16="http://schemas.microsoft.com/office/drawing/2014/chart" uri="{C3380CC4-5D6E-409C-BE32-E72D297353CC}">
              <c16:uniqueId val="{00000001-A0E8-48E0-83D4-5DD834FDAE9C}"/>
            </c:ext>
          </c:extLst>
        </c:ser>
        <c:dLbls>
          <c:showLegendKey val="0"/>
          <c:showVal val="0"/>
          <c:showCatName val="0"/>
          <c:showSerName val="0"/>
          <c:showPercent val="0"/>
          <c:showBubbleSize val="0"/>
        </c:dLbls>
        <c:gapWidth val="150"/>
        <c:overlap val="100"/>
        <c:axId val="1514774928"/>
        <c:axId val="1514580624"/>
      </c:barChart>
      <c:lineChart>
        <c:grouping val="stacked"/>
        <c:varyColors val="0"/>
        <c:ser>
          <c:idx val="3"/>
          <c:order val="3"/>
          <c:tx>
            <c:strRef>
              <c:f>Elec_RI!$T$3</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dLbls>
            <c:dLbl>
              <c:idx val="0"/>
              <c:layout>
                <c:manualLayout>
                  <c:x val="-3.4836061358098941E-2"/>
                  <c:y val="-8.7594634104453575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0E8-48E0-83D4-5DD834FDAE9C}"/>
                </c:ext>
              </c:extLst>
            </c:dLbl>
            <c:dLbl>
              <c:idx val="9"/>
              <c:layout>
                <c:manualLayout>
                  <c:x val="0"/>
                  <c:y val="-8.3361612830599396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0E8-48E0-83D4-5DD834FDAE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Elec_RI!$T$4:$T$13</c:f>
              <c:numCache>
                <c:formatCode>0.00</c:formatCode>
                <c:ptCount val="10"/>
                <c:pt idx="0">
                  <c:v>0.47973678383997465</c:v>
                </c:pt>
                <c:pt idx="1">
                  <c:v>0.61717774626121913</c:v>
                </c:pt>
                <c:pt idx="2">
                  <c:v>0.74100970642269937</c:v>
                </c:pt>
                <c:pt idx="3">
                  <c:v>0.89750270436701141</c:v>
                </c:pt>
                <c:pt idx="4">
                  <c:v>0.93946439204948673</c:v>
                </c:pt>
                <c:pt idx="5">
                  <c:v>1.1312047721798484</c:v>
                </c:pt>
                <c:pt idx="6">
                  <c:v>1.2869567702429088</c:v>
                </c:pt>
                <c:pt idx="7">
                  <c:v>1.3748506518553794</c:v>
                </c:pt>
                <c:pt idx="8">
                  <c:v>1.461794705045089</c:v>
                </c:pt>
                <c:pt idx="9">
                  <c:v>1.4332488520646929</c:v>
                </c:pt>
              </c:numCache>
            </c:numRef>
          </c:val>
          <c:smooth val="0"/>
          <c:extLst>
            <c:ext xmlns:c16="http://schemas.microsoft.com/office/drawing/2014/chart" uri="{C3380CC4-5D6E-409C-BE32-E72D297353CC}">
              <c16:uniqueId val="{00000002-A0E8-48E0-83D4-5DD834FDAE9C}"/>
            </c:ext>
          </c:extLst>
        </c:ser>
        <c:dLbls>
          <c:showLegendKey val="0"/>
          <c:showVal val="0"/>
          <c:showCatName val="0"/>
          <c:showSerName val="0"/>
          <c:showPercent val="0"/>
          <c:showBubbleSize val="0"/>
        </c:dLbls>
        <c:marker val="1"/>
        <c:smooth val="0"/>
        <c:axId val="1514774928"/>
        <c:axId val="1514580624"/>
      </c:line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4320199635318554"/>
              <c:y val="0.846793881204433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3"/>
          <c:min val="-1"/>
        </c:scaling>
        <c:delete val="0"/>
        <c:axPos val="l"/>
        <c:title>
          <c:tx>
            <c:strRef>
              <c:f>Elec_RI!$B$17</c:f>
              <c:strCache>
                <c:ptCount val="1"/>
                <c:pt idx="0">
                  <c:v>Percentage of disposable income</c:v>
                </c:pt>
              </c:strCache>
            </c:strRef>
          </c:tx>
          <c:layout>
            <c:manualLayout>
              <c:xMode val="edge"/>
              <c:yMode val="edge"/>
              <c:x val="3.3672868406047156E-2"/>
              <c:y val="0.138955308876325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38185968480620436"/>
          <c:y val="1.2393478618033478E-2"/>
          <c:w val="0.27576515261619328"/>
          <c:h val="0.3014841649037107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4417659395451"/>
          <c:y val="4.9877965007590591E-2"/>
          <c:w val="0.84646264214980838"/>
          <c:h val="0.62958987959309287"/>
        </c:manualLayout>
      </c:layout>
      <c:barChart>
        <c:barDir val="col"/>
        <c:grouping val="clustered"/>
        <c:varyColors val="0"/>
        <c:ser>
          <c:idx val="1"/>
          <c:order val="0"/>
          <c:tx>
            <c:strRef>
              <c:f>Elec_RI!$L$3</c:f>
              <c:strCache>
                <c:ptCount val="1"/>
                <c:pt idx="0">
                  <c:v>Subsidies direct</c:v>
                </c:pt>
              </c:strCache>
            </c:strRef>
          </c:tx>
          <c:spPr>
            <a:solidFill>
              <a:schemeClr val="accent2"/>
            </a:solidFill>
            <a:ln>
              <a:noFill/>
            </a:ln>
            <a:effectLst/>
          </c:spPr>
          <c:invertIfNegative val="0"/>
          <c:val>
            <c:numRef>
              <c:f>Elec_RI!$L$4:$L$13</c:f>
              <c:numCache>
                <c:formatCode>0.00</c:formatCode>
                <c:ptCount val="10"/>
                <c:pt idx="0">
                  <c:v>0.28264227846050638</c:v>
                </c:pt>
                <c:pt idx="1">
                  <c:v>0.41121227850726744</c:v>
                </c:pt>
                <c:pt idx="2">
                  <c:v>0.53723781324477915</c:v>
                </c:pt>
                <c:pt idx="3">
                  <c:v>0.68235252259593249</c:v>
                </c:pt>
                <c:pt idx="4">
                  <c:v>0.71288834898545528</c:v>
                </c:pt>
                <c:pt idx="5">
                  <c:v>0.91894265999900682</c:v>
                </c:pt>
                <c:pt idx="6">
                  <c:v>1.072813870313529</c:v>
                </c:pt>
                <c:pt idx="7">
                  <c:v>1.1548026447820638</c:v>
                </c:pt>
                <c:pt idx="8">
                  <c:v>1.2493001512632289</c:v>
                </c:pt>
                <c:pt idx="9">
                  <c:v>1.25436486765868</c:v>
                </c:pt>
              </c:numCache>
            </c:numRef>
          </c:val>
          <c:extLst>
            <c:ext xmlns:c16="http://schemas.microsoft.com/office/drawing/2014/chart" uri="{C3380CC4-5D6E-409C-BE32-E72D297353CC}">
              <c16:uniqueId val="{00000002-35BB-4DEB-BFC6-A4365DBEBA07}"/>
            </c:ext>
          </c:extLst>
        </c:ser>
        <c:ser>
          <c:idx val="0"/>
          <c:order val="1"/>
          <c:tx>
            <c:strRef>
              <c:f>Elec_RI!$Q$3</c:f>
              <c:strCache>
                <c:ptCount val="1"/>
                <c:pt idx="0">
                  <c:v>Cost of electricity </c:v>
                </c:pt>
              </c:strCache>
            </c:strRef>
          </c:tx>
          <c:spPr>
            <a:solidFill>
              <a:schemeClr val="accent4">
                <a:alpha val="70000"/>
              </a:scheme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Elec_RI!$Q$4:$Q$13</c:f>
              <c:numCache>
                <c:formatCode>0.00</c:formatCode>
                <c:ptCount val="10"/>
                <c:pt idx="0">
                  <c:v>0.68648536214843869</c:v>
                </c:pt>
                <c:pt idx="1">
                  <c:v>1.029037662639174</c:v>
                </c:pt>
                <c:pt idx="2">
                  <c:v>1.3564834069331688</c:v>
                </c:pt>
                <c:pt idx="3">
                  <c:v>1.699810192187666</c:v>
                </c:pt>
                <c:pt idx="4">
                  <c:v>1.7566909067380929</c:v>
                </c:pt>
                <c:pt idx="5">
                  <c:v>2.3276750894666769</c:v>
                </c:pt>
                <c:pt idx="6">
                  <c:v>2.6967934646801797</c:v>
                </c:pt>
                <c:pt idx="7">
                  <c:v>2.9625869658674091</c:v>
                </c:pt>
                <c:pt idx="8">
                  <c:v>3.2323450733229531</c:v>
                </c:pt>
                <c:pt idx="9">
                  <c:v>3.3772891749556027</c:v>
                </c:pt>
              </c:numCache>
            </c:numRef>
          </c:val>
          <c:extLst>
            <c:ext xmlns:c16="http://schemas.microsoft.com/office/drawing/2014/chart" uri="{C3380CC4-5D6E-409C-BE32-E72D297353CC}">
              <c16:uniqueId val="{00000000-35BB-4DEB-BFC6-A4365DBEBA0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11619240409057029"/>
          <c:y val="3.8627752571018088E-2"/>
          <c:w val="0.31368953858620185"/>
          <c:h val="0.257043107331255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Elec_RI_Con!$I$4:$I$13</c:f>
              <c:numCache>
                <c:formatCode>General</c:formatCode>
                <c:ptCount val="10"/>
                <c:pt idx="0">
                  <c:v>-0.22003273138805021</c:v>
                </c:pt>
                <c:pt idx="1">
                  <c:v>-0.34063940144145749</c:v>
                </c:pt>
                <c:pt idx="2">
                  <c:v>-0.3527001408476278</c:v>
                </c:pt>
                <c:pt idx="3">
                  <c:v>-0.105996594510673</c:v>
                </c:pt>
                <c:pt idx="4">
                  <c:v>-0.12310402321654729</c:v>
                </c:pt>
                <c:pt idx="5">
                  <c:v>-0.15260682381436411</c:v>
                </c:pt>
                <c:pt idx="6">
                  <c:v>-0.2453534267901758</c:v>
                </c:pt>
                <c:pt idx="7">
                  <c:v>-0.17100648500389248</c:v>
                </c:pt>
                <c:pt idx="8">
                  <c:v>-0.13984883591584549</c:v>
                </c:pt>
                <c:pt idx="9">
                  <c:v>-0.1933553805963196</c:v>
                </c:pt>
              </c:numCache>
            </c:numRef>
          </c:val>
          <c:extLst>
            <c:ext xmlns:c16="http://schemas.microsoft.com/office/drawing/2014/chart" uri="{C3380CC4-5D6E-409C-BE32-E72D297353CC}">
              <c16:uniqueId val="{00000000-F33F-41AE-970D-B9B12D8B102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2.5000000000000005E-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Elec_RI_Con!$K$4:$K$13</c:f>
              <c:numCache>
                <c:formatCode>General</c:formatCode>
                <c:ptCount val="10"/>
                <c:pt idx="0">
                  <c:v>0.48088581246837675</c:v>
                </c:pt>
                <c:pt idx="1">
                  <c:v>0.62573776434002404</c:v>
                </c:pt>
                <c:pt idx="2">
                  <c:v>0.75214069531789429</c:v>
                </c:pt>
                <c:pt idx="3">
                  <c:v>0.90321557736270319</c:v>
                </c:pt>
                <c:pt idx="4">
                  <c:v>0.94370820547515066</c:v>
                </c:pt>
                <c:pt idx="5">
                  <c:v>1.148969531425029</c:v>
                </c:pt>
                <c:pt idx="6">
                  <c:v>1.3074618085780789</c:v>
                </c:pt>
                <c:pt idx="7">
                  <c:v>1.399793715295911</c:v>
                </c:pt>
                <c:pt idx="8">
                  <c:v>1.4918346125631621</c:v>
                </c:pt>
                <c:pt idx="9">
                  <c:v>1.4981591087152499</c:v>
                </c:pt>
              </c:numCache>
            </c:numRef>
          </c:val>
          <c:extLst>
            <c:ext xmlns:c16="http://schemas.microsoft.com/office/drawing/2014/chart" uri="{C3380CC4-5D6E-409C-BE32-E72D297353CC}">
              <c16:uniqueId val="{00000000-C33F-469E-A9E4-6C63C022E60A}"/>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Elec_RI_Con!$M$3</c:f>
              <c:strCache>
                <c:ptCount val="1"/>
                <c:pt idx="0">
                  <c:v>Direct</c:v>
                </c:pt>
              </c:strCache>
            </c:strRef>
          </c:tx>
          <c:spPr>
            <a:solidFill>
              <a:srgbClr val="F58D98">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Elec_RI_Con!$M$4:$M$13</c:f>
              <c:numCache>
                <c:formatCode>General</c:formatCode>
                <c:ptCount val="10"/>
                <c:pt idx="0">
                  <c:v>1.703853197442496</c:v>
                </c:pt>
                <c:pt idx="1">
                  <c:v>1.5213996797363321</c:v>
                </c:pt>
                <c:pt idx="2">
                  <c:v>1.5265736825416791</c:v>
                </c:pt>
                <c:pt idx="3">
                  <c:v>1.423857425406718</c:v>
                </c:pt>
                <c:pt idx="4">
                  <c:v>1.3081765026860899</c:v>
                </c:pt>
                <c:pt idx="5">
                  <c:v>1.401233593138097</c:v>
                </c:pt>
                <c:pt idx="6">
                  <c:v>1.4119553045885771</c:v>
                </c:pt>
                <c:pt idx="7">
                  <c:v>1.375112911105727</c:v>
                </c:pt>
                <c:pt idx="8">
                  <c:v>1.391752328862216</c:v>
                </c:pt>
                <c:pt idx="9">
                  <c:v>1.3165751268632568</c:v>
                </c:pt>
              </c:numCache>
            </c:numRef>
          </c:val>
          <c:extLst>
            <c:ext xmlns:c16="http://schemas.microsoft.com/office/drawing/2014/chart" uri="{C3380CC4-5D6E-409C-BE32-E72D297353CC}">
              <c16:uniqueId val="{00000000-C27A-4241-8700-B77378D495DB}"/>
            </c:ext>
          </c:extLst>
        </c:ser>
        <c:ser>
          <c:idx val="1"/>
          <c:order val="1"/>
          <c:tx>
            <c:strRef>
              <c:f>Elec_RI_Con!$N$3</c:f>
              <c:strCache>
                <c:ptCount val="1"/>
                <c:pt idx="0">
                  <c:v>Indirect</c:v>
                </c:pt>
              </c:strCache>
            </c:strRef>
          </c:tx>
          <c:spPr>
            <a:solidFill>
              <a:schemeClr val="accent2"/>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Elec_RI_Con!$N$4:$N$13</c:f>
              <c:numCache>
                <c:formatCode>General</c:formatCode>
                <c:ptCount val="10"/>
                <c:pt idx="0">
                  <c:v>0.19824353389459831</c:v>
                </c:pt>
                <c:pt idx="1">
                  <c:v>0.21452548587278672</c:v>
                </c:pt>
                <c:pt idx="2">
                  <c:v>0.21490288561800439</c:v>
                </c:pt>
                <c:pt idx="3">
                  <c:v>0.22086305246371329</c:v>
                </c:pt>
                <c:pt idx="4">
                  <c:v>0.23081985004423047</c:v>
                </c:pt>
                <c:pt idx="5">
                  <c:v>0.23002687333457941</c:v>
                </c:pt>
                <c:pt idx="6">
                  <c:v>0.23464793030040801</c:v>
                </c:pt>
                <c:pt idx="7">
                  <c:v>0.24499107227530639</c:v>
                </c:pt>
                <c:pt idx="8">
                  <c:v>0.24253446055495101</c:v>
                </c:pt>
                <c:pt idx="9">
                  <c:v>0.24379424058150082</c:v>
                </c:pt>
              </c:numCache>
            </c:numRef>
          </c:val>
          <c:extLst>
            <c:ext xmlns:c16="http://schemas.microsoft.com/office/drawing/2014/chart" uri="{C3380CC4-5D6E-409C-BE32-E72D297353CC}">
              <c16:uniqueId val="{00000001-C27A-4241-8700-B77378D495DB}"/>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5"/>
      </c:valAx>
      <c:spPr>
        <a:noFill/>
        <a:ln>
          <a:noFill/>
        </a:ln>
        <a:effectLst/>
      </c:spPr>
    </c:plotArea>
    <c:legend>
      <c:legendPos val="r"/>
      <c:layout>
        <c:manualLayout>
          <c:xMode val="edge"/>
          <c:yMode val="edge"/>
          <c:x val="0.1765095639134453"/>
          <c:y val="6.4961622585472625E-2"/>
          <c:w val="0.13957783772608273"/>
          <c:h val="0.14564688340787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Elec_AI!$I$3:$I$12</c:f>
              <c:numCache>
                <c:formatCode>0.00</c:formatCode>
                <c:ptCount val="10"/>
                <c:pt idx="0">
                  <c:v>8.298569319691626E-2</c:v>
                </c:pt>
                <c:pt idx="1">
                  <c:v>0.87228983843876573</c:v>
                </c:pt>
                <c:pt idx="2">
                  <c:v>1.3033314542971859</c:v>
                </c:pt>
                <c:pt idx="3">
                  <c:v>0.81956222887047481</c:v>
                </c:pt>
                <c:pt idx="4">
                  <c:v>0.72336260724698342</c:v>
                </c:pt>
                <c:pt idx="5">
                  <c:v>3.4958747350855681</c:v>
                </c:pt>
                <c:pt idx="6">
                  <c:v>5.127562288820334</c:v>
                </c:pt>
                <c:pt idx="7">
                  <c:v>7.1001562705513006</c:v>
                </c:pt>
                <c:pt idx="8">
                  <c:v>11.26423881059802</c:v>
                </c:pt>
                <c:pt idx="9">
                  <c:v>69.210636072894488</c:v>
                </c:pt>
              </c:numCache>
            </c:numRef>
          </c:val>
          <c:extLst>
            <c:ext xmlns:c16="http://schemas.microsoft.com/office/drawing/2014/chart" uri="{C3380CC4-5D6E-409C-BE32-E72D297353CC}">
              <c16:uniqueId val="{0000000A-941E-1641-8A74-5C607E727B9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overlay val="0"/>
          <c:txPr>
            <a:bodyPr/>
            <a:lstStyle/>
            <a:p>
              <a:pPr>
                <a:defRPr b="0"/>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Elec_AI!$K$3:$K$12</c:f>
              <c:numCache>
                <c:formatCode>0.00</c:formatCode>
                <c:ptCount val="10"/>
                <c:pt idx="0">
                  <c:v>1.0683141649427066</c:v>
                </c:pt>
                <c:pt idx="1">
                  <c:v>2.020192901127817</c:v>
                </c:pt>
                <c:pt idx="2">
                  <c:v>2.9118946496209963</c:v>
                </c:pt>
                <c:pt idx="3">
                  <c:v>4.1857069097297801</c:v>
                </c:pt>
                <c:pt idx="4">
                  <c:v>5.0891907286899212</c:v>
                </c:pt>
                <c:pt idx="5">
                  <c:v>7.3040212543934659</c:v>
                </c:pt>
                <c:pt idx="6">
                  <c:v>10.011635871825565</c:v>
                </c:pt>
                <c:pt idx="7">
                  <c:v>12.935877916774832</c:v>
                </c:pt>
                <c:pt idx="8">
                  <c:v>17.938453086981344</c:v>
                </c:pt>
                <c:pt idx="9">
                  <c:v>36.534712515913547</c:v>
                </c:pt>
              </c:numCache>
            </c:numRef>
          </c:val>
          <c:extLst>
            <c:ext xmlns:c16="http://schemas.microsoft.com/office/drawing/2014/chart" uri="{C3380CC4-5D6E-409C-BE32-E72D297353CC}">
              <c16:uniqueId val="{00000000-B5D1-2842-8A33-2B34F4037823}"/>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1"/>
          <c:order val="0"/>
          <c:spPr>
            <a:solidFill>
              <a:srgbClr val="F58D98">
                <a:alpha val="70000"/>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Elec_AI!$M$3:$M$12</c:f>
              <c:numCache>
                <c:formatCode>General</c:formatCode>
                <c:ptCount val="10"/>
                <c:pt idx="0">
                  <c:v>0.76874229238994596</c:v>
                </c:pt>
                <c:pt idx="1">
                  <c:v>1.6330760552468855</c:v>
                </c:pt>
                <c:pt idx="2">
                  <c:v>2.546204896056345</c:v>
                </c:pt>
                <c:pt idx="3">
                  <c:v>3.8742747843674934</c:v>
                </c:pt>
                <c:pt idx="4">
                  <c:v>4.7042062741396382</c:v>
                </c:pt>
                <c:pt idx="5">
                  <c:v>7.1580610778935307</c:v>
                </c:pt>
                <c:pt idx="6">
                  <c:v>10.065203039916755</c:v>
                </c:pt>
                <c:pt idx="7">
                  <c:v>13.06333520842596</c:v>
                </c:pt>
                <c:pt idx="8">
                  <c:v>18.401386055015212</c:v>
                </c:pt>
                <c:pt idx="9">
                  <c:v>37.785510316548205</c:v>
                </c:pt>
              </c:numCache>
            </c:numRef>
          </c:val>
          <c:extLst>
            <c:ext xmlns:c16="http://schemas.microsoft.com/office/drawing/2014/chart" uri="{C3380CC4-5D6E-409C-BE32-E72D297353CC}">
              <c16:uniqueId val="{00000000-CB1D-42E1-B465-D07EA4F8343C}"/>
            </c:ext>
          </c:extLst>
        </c:ser>
        <c:ser>
          <c:idx val="0"/>
          <c:order val="1"/>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Elec_AI!$N$3:$N$12</c:f>
              <c:numCache>
                <c:formatCode>General</c:formatCode>
                <c:ptCount val="10"/>
                <c:pt idx="0">
                  <c:v>2.4021538346683009</c:v>
                </c:pt>
                <c:pt idx="1">
                  <c:v>3.7438253721426338</c:v>
                </c:pt>
                <c:pt idx="2">
                  <c:v>4.5401232958026068</c:v>
                </c:pt>
                <c:pt idx="3">
                  <c:v>5.5723541690915557</c:v>
                </c:pt>
                <c:pt idx="4">
                  <c:v>6.8033285933617194</c:v>
                </c:pt>
                <c:pt idx="5">
                  <c:v>7.9539069119704289</c:v>
                </c:pt>
                <c:pt idx="6">
                  <c:v>9.7731288108564307</c:v>
                </c:pt>
                <c:pt idx="7">
                  <c:v>12.368375970113481</c:v>
                </c:pt>
                <c:pt idx="8">
                  <c:v>15.877250309821097</c:v>
                </c:pt>
                <c:pt idx="9">
                  <c:v>30.965552732171737</c:v>
                </c:pt>
              </c:numCache>
            </c:numRef>
          </c:val>
          <c:extLst>
            <c:ext xmlns:c16="http://schemas.microsoft.com/office/drawing/2014/chart" uri="{C3380CC4-5D6E-409C-BE32-E72D297353CC}">
              <c16:uniqueId val="{00000002-CB1D-42E1-B465-D07EA4F8343C}"/>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Fuels_Coverage!$I$2</c:f>
              <c:strCache>
                <c:ptCount val="1"/>
                <c:pt idx="0">
                  <c:v>vat</c:v>
                </c:pt>
              </c:strCache>
            </c:strRef>
          </c:tx>
          <c:spPr>
            <a:solidFill>
              <a:srgbClr val="FFA764">
                <a:alpha val="70000"/>
              </a:srgbClr>
            </a:solidFill>
            <a:ln>
              <a:noFill/>
            </a:ln>
            <a:effectLst/>
          </c:spPr>
          <c:invertIfNegative val="0"/>
          <c:cat>
            <c:strRef>
              <c:f>Fuels_Coverage!$H$3:$H$12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Fuels_Coverage!$I$3:$I$12</c:f>
              <c:numCache>
                <c:formatCode>0.000</c:formatCode>
                <c:ptCount val="10"/>
                <c:pt idx="0">
                  <c:v>13.477967004427599</c:v>
                </c:pt>
                <c:pt idx="1">
                  <c:v>21.363055530959649</c:v>
                </c:pt>
                <c:pt idx="2">
                  <c:v>32.619834231154208</c:v>
                </c:pt>
                <c:pt idx="3">
                  <c:v>35.869685821978457</c:v>
                </c:pt>
                <c:pt idx="4">
                  <c:v>49.67650125332959</c:v>
                </c:pt>
                <c:pt idx="5">
                  <c:v>62.357975448843717</c:v>
                </c:pt>
                <c:pt idx="6">
                  <c:v>66.509172265735089</c:v>
                </c:pt>
                <c:pt idx="7">
                  <c:v>79.335678441259063</c:v>
                </c:pt>
                <c:pt idx="8">
                  <c:v>89.41446559291299</c:v>
                </c:pt>
                <c:pt idx="9">
                  <c:v>91.524558568742066</c:v>
                </c:pt>
              </c:numCache>
            </c:numRef>
          </c:val>
          <c:extLst>
            <c:ext xmlns:c16="http://schemas.microsoft.com/office/drawing/2014/chart" uri="{C3380CC4-5D6E-409C-BE32-E72D297353CC}">
              <c16:uniqueId val="{00000000-EEE4-6342-B414-7A2B5D115DA0}"/>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Fuels_Coverage!$B$13</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Fuels_Coverage!$I$1</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Fuels_Coverage!$J$2</c:f>
              <c:strCache>
                <c:ptCount val="1"/>
                <c:pt idx="0">
                  <c:v>subsidies</c:v>
                </c:pt>
              </c:strCache>
            </c:strRef>
          </c:tx>
          <c:spPr>
            <a:solidFill>
              <a:srgbClr val="F58D98">
                <a:alpha val="70000"/>
              </a:srgbClr>
            </a:solidFill>
            <a:ln>
              <a:noFill/>
            </a:ln>
            <a:effectLst/>
          </c:spPr>
          <c:invertIfNegative val="0"/>
          <c:cat>
            <c:strRef>
              <c:f>Fuels_Coverage!$H$3:$H$12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Fuels_Coverage!$J$3:$J$12</c:f>
              <c:numCache>
                <c:formatCode>0.000</c:formatCode>
                <c:ptCount val="10"/>
                <c:pt idx="0">
                  <c:v>13.477967004427599</c:v>
                </c:pt>
                <c:pt idx="1">
                  <c:v>21.363055530959649</c:v>
                </c:pt>
                <c:pt idx="2">
                  <c:v>32.619834231154208</c:v>
                </c:pt>
                <c:pt idx="3">
                  <c:v>35.869685821978457</c:v>
                </c:pt>
                <c:pt idx="4">
                  <c:v>49.67650125332959</c:v>
                </c:pt>
                <c:pt idx="5">
                  <c:v>62.357975448843717</c:v>
                </c:pt>
                <c:pt idx="6">
                  <c:v>66.509172265735089</c:v>
                </c:pt>
                <c:pt idx="7">
                  <c:v>79.335678441259063</c:v>
                </c:pt>
                <c:pt idx="8">
                  <c:v>89.41446559291299</c:v>
                </c:pt>
                <c:pt idx="9">
                  <c:v>91.524558568742066</c:v>
                </c:pt>
              </c:numCache>
            </c:numRef>
          </c:val>
          <c:extLst>
            <c:ext xmlns:c16="http://schemas.microsoft.com/office/drawing/2014/chart" uri="{C3380CC4-5D6E-409C-BE32-E72D297353CC}">
              <c16:uniqueId val="{00000000-095B-5C4E-81F0-EA6BC8ABC75E}"/>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Fuels_Coverage!$B$13</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Fuels_Coverage!$K$1</c:f>
              <c:strCache>
                <c:ptCount val="1"/>
                <c:pt idx="0">
                  <c:v>Percentage of population receiving electricity subsidies</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Fuels_RI!$I$4:$I$13</c:f>
              <c:numCache>
                <c:formatCode>General</c:formatCode>
                <c:ptCount val="10"/>
                <c:pt idx="0">
                  <c:v>-0.11431216708780441</c:v>
                </c:pt>
                <c:pt idx="1">
                  <c:v>-0.15724054302865351</c:v>
                </c:pt>
                <c:pt idx="2">
                  <c:v>-0.13374558829975269</c:v>
                </c:pt>
                <c:pt idx="3">
                  <c:v>-0.1476931201748713</c:v>
                </c:pt>
                <c:pt idx="4">
                  <c:v>-0.18006216487414781</c:v>
                </c:pt>
                <c:pt idx="5">
                  <c:v>-0.20992710498374681</c:v>
                </c:pt>
                <c:pt idx="6">
                  <c:v>-0.22135519850541172</c:v>
                </c:pt>
                <c:pt idx="7">
                  <c:v>-0.29283044089443977</c:v>
                </c:pt>
                <c:pt idx="8">
                  <c:v>-0.30795705841950788</c:v>
                </c:pt>
                <c:pt idx="9">
                  <c:v>-0.3760178044334081</c:v>
                </c:pt>
              </c:numCache>
            </c:numRef>
          </c:val>
          <c:extLst>
            <c:ext xmlns:c16="http://schemas.microsoft.com/office/drawing/2014/chart" uri="{C3380CC4-5D6E-409C-BE32-E72D297353CC}">
              <c16:uniqueId val="{00000000-2296-1E42-9FA5-2D09EEEFCA2D}"/>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Fuels_RI!$K$4:$K$13</c:f>
              <c:numCache>
                <c:formatCode>General</c:formatCode>
                <c:ptCount val="10"/>
                <c:pt idx="0">
                  <c:v>0.8283126301119822</c:v>
                </c:pt>
                <c:pt idx="1">
                  <c:v>1.0146401437172039</c:v>
                </c:pt>
                <c:pt idx="2">
                  <c:v>1.0120553165857931</c:v>
                </c:pt>
                <c:pt idx="3">
                  <c:v>1.1080534018719022</c:v>
                </c:pt>
                <c:pt idx="4">
                  <c:v>1.2215931984548791</c:v>
                </c:pt>
                <c:pt idx="5">
                  <c:v>1.3180667152347629</c:v>
                </c:pt>
                <c:pt idx="6">
                  <c:v>1.4072481358391369</c:v>
                </c:pt>
                <c:pt idx="7">
                  <c:v>1.5969645798955692</c:v>
                </c:pt>
                <c:pt idx="8">
                  <c:v>1.6429904836781299</c:v>
                </c:pt>
                <c:pt idx="9">
                  <c:v>1.7635973780965259</c:v>
                </c:pt>
              </c:numCache>
            </c:numRef>
          </c:val>
          <c:extLst>
            <c:ext xmlns:c16="http://schemas.microsoft.com/office/drawing/2014/chart" uri="{C3380CC4-5D6E-409C-BE32-E72D297353CC}">
              <c16:uniqueId val="{00000000-4B01-FA4F-A585-2E872FDC1A49}"/>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77869756836407467"/>
        </c:manualLayout>
      </c:layout>
      <c:barChart>
        <c:barDir val="col"/>
        <c:grouping val="stacked"/>
        <c:varyColors val="0"/>
        <c:ser>
          <c:idx val="0"/>
          <c:order val="0"/>
          <c:tx>
            <c:strRef>
              <c:f>Fuels_RI!$M$3</c:f>
              <c:strCache>
                <c:ptCount val="1"/>
                <c:pt idx="0">
                  <c:v>Subsidies direct</c:v>
                </c:pt>
              </c:strCache>
            </c:strRef>
          </c:tx>
          <c:spPr>
            <a:solidFill>
              <a:schemeClr val="accent4">
                <a:lumMod val="60000"/>
                <a:lumOff val="40000"/>
                <a:alpha val="70000"/>
              </a:scheme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Fuels_RI!$M$4:$M$13</c:f>
              <c:numCache>
                <c:formatCode>General</c:formatCode>
                <c:ptCount val="10"/>
                <c:pt idx="0">
                  <c:v>0.23368629515077141</c:v>
                </c:pt>
                <c:pt idx="1">
                  <c:v>0.35898737519319179</c:v>
                </c:pt>
                <c:pt idx="2">
                  <c:v>0.35480133347532644</c:v>
                </c:pt>
                <c:pt idx="3">
                  <c:v>0.40885431836552638</c:v>
                </c:pt>
                <c:pt idx="4">
                  <c:v>0.50999532459968888</c:v>
                </c:pt>
                <c:pt idx="5">
                  <c:v>0.60723216641972677</c:v>
                </c:pt>
                <c:pt idx="6">
                  <c:v>0.68149702681589752</c:v>
                </c:pt>
                <c:pt idx="7">
                  <c:v>0.86465665795214752</c:v>
                </c:pt>
                <c:pt idx="8">
                  <c:v>0.91674334012949144</c:v>
                </c:pt>
                <c:pt idx="9">
                  <c:v>1.0050703420245219</c:v>
                </c:pt>
              </c:numCache>
            </c:numRef>
          </c:val>
          <c:extLst>
            <c:ext xmlns:c16="http://schemas.microsoft.com/office/drawing/2014/chart" uri="{C3380CC4-5D6E-409C-BE32-E72D297353CC}">
              <c16:uniqueId val="{00000000-8A42-FE49-94A2-4EADD00DAADE}"/>
            </c:ext>
          </c:extLst>
        </c:ser>
        <c:ser>
          <c:idx val="1"/>
          <c:order val="1"/>
          <c:tx>
            <c:strRef>
              <c:f>Fuels_RI!$N$3</c:f>
              <c:strCache>
                <c:ptCount val="1"/>
                <c:pt idx="0">
                  <c:v>Subsidies Indirect</c:v>
                </c:pt>
              </c:strCache>
            </c:strRef>
          </c:tx>
          <c:spPr>
            <a:solidFill>
              <a:schemeClr val="accent6">
                <a:lumMod val="60000"/>
                <a:lumOff val="40000"/>
              </a:scheme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Fuels_RI!$N$4:$N$13</c:f>
              <c:numCache>
                <c:formatCode>General</c:formatCode>
                <c:ptCount val="10"/>
                <c:pt idx="0">
                  <c:v>0.59462633040327462</c:v>
                </c:pt>
                <c:pt idx="1">
                  <c:v>0.65565276287179708</c:v>
                </c:pt>
                <c:pt idx="2">
                  <c:v>0.65725397556090448</c:v>
                </c:pt>
                <c:pt idx="3">
                  <c:v>0.6991990858149506</c:v>
                </c:pt>
                <c:pt idx="4">
                  <c:v>0.71159786634323585</c:v>
                </c:pt>
                <c:pt idx="5">
                  <c:v>0.7108345469528573</c:v>
                </c:pt>
                <c:pt idx="6">
                  <c:v>0.72575110744107185</c:v>
                </c:pt>
                <c:pt idx="7">
                  <c:v>0.73230792022985136</c:v>
                </c:pt>
                <c:pt idx="8">
                  <c:v>0.7262471489892639</c:v>
                </c:pt>
                <c:pt idx="9">
                  <c:v>0.75852702364757663</c:v>
                </c:pt>
              </c:numCache>
            </c:numRef>
          </c:val>
          <c:extLst>
            <c:ext xmlns:c16="http://schemas.microsoft.com/office/drawing/2014/chart" uri="{C3380CC4-5D6E-409C-BE32-E72D297353CC}">
              <c16:uniqueId val="{00000001-8A42-FE49-94A2-4EADD00DAADE}"/>
            </c:ext>
          </c:extLst>
        </c:ser>
        <c:ser>
          <c:idx val="2"/>
          <c:order val="2"/>
          <c:tx>
            <c:strRef>
              <c:f>Fuels_RI!$I$3</c:f>
              <c:strCache>
                <c:ptCount val="1"/>
                <c:pt idx="0">
                  <c:v>VAT</c:v>
                </c:pt>
              </c:strCache>
            </c:strRef>
          </c:tx>
          <c:spPr>
            <a:solidFill>
              <a:schemeClr val="accent3"/>
            </a:solidFill>
            <a:ln>
              <a:noFill/>
            </a:ln>
            <a:effectLst/>
          </c:spPr>
          <c:invertIfNegative val="0"/>
          <c:val>
            <c:numRef>
              <c:f>Fuels_RI!$I$4:$I$13</c:f>
              <c:numCache>
                <c:formatCode>General</c:formatCode>
                <c:ptCount val="10"/>
                <c:pt idx="0">
                  <c:v>-0.11431216708780441</c:v>
                </c:pt>
                <c:pt idx="1">
                  <c:v>-0.15724054302865351</c:v>
                </c:pt>
                <c:pt idx="2">
                  <c:v>-0.13374558829975269</c:v>
                </c:pt>
                <c:pt idx="3">
                  <c:v>-0.1476931201748713</c:v>
                </c:pt>
                <c:pt idx="4">
                  <c:v>-0.18006216487414781</c:v>
                </c:pt>
                <c:pt idx="5">
                  <c:v>-0.20992710498374681</c:v>
                </c:pt>
                <c:pt idx="6">
                  <c:v>-0.22135519850541172</c:v>
                </c:pt>
                <c:pt idx="7">
                  <c:v>-0.29283044089443977</c:v>
                </c:pt>
                <c:pt idx="8">
                  <c:v>-0.30795705841950788</c:v>
                </c:pt>
                <c:pt idx="9">
                  <c:v>-0.3760178044334081</c:v>
                </c:pt>
              </c:numCache>
            </c:numRef>
          </c:val>
          <c:extLst>
            <c:ext xmlns:c16="http://schemas.microsoft.com/office/drawing/2014/chart" uri="{C3380CC4-5D6E-409C-BE32-E72D297353CC}">
              <c16:uniqueId val="{00000001-9230-46E8-B720-6CBF6D1AD220}"/>
            </c:ext>
          </c:extLst>
        </c:ser>
        <c:dLbls>
          <c:showLegendKey val="0"/>
          <c:showVal val="0"/>
          <c:showCatName val="0"/>
          <c:showSerName val="0"/>
          <c:showPercent val="0"/>
          <c:showBubbleSize val="0"/>
        </c:dLbls>
        <c:gapWidth val="150"/>
        <c:overlap val="100"/>
        <c:axId val="1514774928"/>
        <c:axId val="1514580624"/>
      </c:barChart>
      <c:lineChart>
        <c:grouping val="stacked"/>
        <c:varyColors val="0"/>
        <c:ser>
          <c:idx val="3"/>
          <c:order val="3"/>
          <c:tx>
            <c:strRef>
              <c:f>Fuels_RI!$AA$3</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dLbls>
            <c:dLbl>
              <c:idx val="0"/>
              <c:layout>
                <c:manualLayout>
                  <c:x val="-4.0193334914241034E-2"/>
                  <c:y val="-8.58077186407697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230-46E8-B720-6CBF6D1AD220}"/>
                </c:ext>
              </c:extLst>
            </c:dLbl>
            <c:dLbl>
              <c:idx val="9"/>
              <c:layout>
                <c:manualLayout>
                  <c:x val="-4.5935239901989854E-2"/>
                  <c:y val="-0.13892678256124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30-46E8-B720-6CBF6D1AD220}"/>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Fuels_RI!$AA$4:$AA$13</c:f>
              <c:numCache>
                <c:formatCode>0.00</c:formatCode>
                <c:ptCount val="10"/>
                <c:pt idx="0">
                  <c:v>0.71400045846624161</c:v>
                </c:pt>
                <c:pt idx="1">
                  <c:v>0.85739959503633523</c:v>
                </c:pt>
                <c:pt idx="2">
                  <c:v>0.87830972073647828</c:v>
                </c:pt>
                <c:pt idx="3">
                  <c:v>0.9603602840056058</c:v>
                </c:pt>
                <c:pt idx="4">
                  <c:v>1.0415310260687769</c:v>
                </c:pt>
                <c:pt idx="5">
                  <c:v>1.1081396083888373</c:v>
                </c:pt>
                <c:pt idx="6">
                  <c:v>1.1858929357515577</c:v>
                </c:pt>
                <c:pt idx="7">
                  <c:v>1.3041341372875592</c:v>
                </c:pt>
                <c:pt idx="8">
                  <c:v>1.3350334306992475</c:v>
                </c:pt>
                <c:pt idx="9">
                  <c:v>1.3875795612386905</c:v>
                </c:pt>
              </c:numCache>
            </c:numRef>
          </c:val>
          <c:smooth val="0"/>
          <c:extLst>
            <c:ext xmlns:c16="http://schemas.microsoft.com/office/drawing/2014/chart" uri="{C3380CC4-5D6E-409C-BE32-E72D297353CC}">
              <c16:uniqueId val="{00000002-9230-46E8-B720-6CBF6D1AD220}"/>
            </c:ext>
          </c:extLst>
        </c:ser>
        <c:dLbls>
          <c:showLegendKey val="0"/>
          <c:showVal val="0"/>
          <c:showCatName val="0"/>
          <c:showSerName val="0"/>
          <c:showPercent val="0"/>
          <c:showBubbleSize val="0"/>
        </c:dLbls>
        <c:marker val="1"/>
        <c:smooth val="0"/>
        <c:axId val="1514774928"/>
        <c:axId val="1514580624"/>
      </c:line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5330470164041302"/>
              <c:y val="0.7872887579485762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1765095639134453"/>
          <c:y val="6.4961622585472625E-2"/>
          <c:w val="0.39099634214243617"/>
          <c:h val="0.1698867037326299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Fuels_RI_Con!$I$4:$I$13</c:f>
              <c:numCache>
                <c:formatCode>General</c:formatCode>
                <c:ptCount val="10"/>
                <c:pt idx="0">
                  <c:v>-0.84814102193789387</c:v>
                </c:pt>
                <c:pt idx="1">
                  <c:v>-0.73603957449241419</c:v>
                </c:pt>
                <c:pt idx="2">
                  <c:v>-0.41001308391695129</c:v>
                </c:pt>
                <c:pt idx="3">
                  <c:v>-0.4117491324230535</c:v>
                </c:pt>
                <c:pt idx="4">
                  <c:v>-0.36246949831652869</c:v>
                </c:pt>
                <c:pt idx="5">
                  <c:v>-0.33664836530166631</c:v>
                </c:pt>
                <c:pt idx="6">
                  <c:v>-0.3328190548229869</c:v>
                </c:pt>
                <c:pt idx="7">
                  <c:v>-0.36910309037220168</c:v>
                </c:pt>
                <c:pt idx="8">
                  <c:v>-0.34441525359171488</c:v>
                </c:pt>
                <c:pt idx="9">
                  <c:v>-0.41083815132633439</c:v>
                </c:pt>
              </c:numCache>
            </c:numRef>
          </c:val>
          <c:extLst>
            <c:ext xmlns:c16="http://schemas.microsoft.com/office/drawing/2014/chart" uri="{C3380CC4-5D6E-409C-BE32-E72D297353CC}">
              <c16:uniqueId val="{00000000-5329-BD42-BDF0-DFB45BA666EB}"/>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Fuels_RI_Con!$K$4:$K$13</c:f>
              <c:numCache>
                <c:formatCode>General</c:formatCode>
                <c:ptCount val="10"/>
                <c:pt idx="0">
                  <c:v>0.8283126301119822</c:v>
                </c:pt>
                <c:pt idx="1">
                  <c:v>1.0146401437172039</c:v>
                </c:pt>
                <c:pt idx="2">
                  <c:v>1.0120553165857931</c:v>
                </c:pt>
                <c:pt idx="3">
                  <c:v>1.1080534018719022</c:v>
                </c:pt>
                <c:pt idx="4">
                  <c:v>1.2215931984548791</c:v>
                </c:pt>
                <c:pt idx="5">
                  <c:v>1.3180667152347629</c:v>
                </c:pt>
                <c:pt idx="6">
                  <c:v>1.4072481358391369</c:v>
                </c:pt>
                <c:pt idx="7">
                  <c:v>1.5969645798955692</c:v>
                </c:pt>
                <c:pt idx="8">
                  <c:v>1.6429904836781299</c:v>
                </c:pt>
                <c:pt idx="9">
                  <c:v>1.7635973780965259</c:v>
                </c:pt>
              </c:numCache>
            </c:numRef>
          </c:val>
          <c:extLst>
            <c:ext xmlns:c16="http://schemas.microsoft.com/office/drawing/2014/chart" uri="{C3380CC4-5D6E-409C-BE32-E72D297353CC}">
              <c16:uniqueId val="{00000000-9277-E940-B06A-090556DC8C0C}"/>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Fuels_RI_Con!$M$3</c:f>
              <c:strCache>
                <c:ptCount val="1"/>
                <c:pt idx="0">
                  <c:v>Direct</c:v>
                </c:pt>
              </c:strCache>
            </c:strRef>
          </c:tx>
          <c:spPr>
            <a:solidFill>
              <a:srgbClr val="F58D98">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Fuels_RI_Con!$M$4:$M$13</c:f>
              <c:numCache>
                <c:formatCode>General</c:formatCode>
                <c:ptCount val="10"/>
                <c:pt idx="0">
                  <c:v>1.7338393473882521</c:v>
                </c:pt>
                <c:pt idx="1">
                  <c:v>1.6804121239723511</c:v>
                </c:pt>
                <c:pt idx="2">
                  <c:v>1.0876858875526301</c:v>
                </c:pt>
                <c:pt idx="3">
                  <c:v>1.1398324490341889</c:v>
                </c:pt>
                <c:pt idx="4">
                  <c:v>1.026632938577787</c:v>
                </c:pt>
                <c:pt idx="5">
                  <c:v>0.97378428669140893</c:v>
                </c:pt>
                <c:pt idx="6">
                  <c:v>1.0246662281301591</c:v>
                </c:pt>
                <c:pt idx="7">
                  <c:v>1.089871133568673</c:v>
                </c:pt>
                <c:pt idx="8">
                  <c:v>1.0252740807099929</c:v>
                </c:pt>
                <c:pt idx="9">
                  <c:v>1.098142791117245</c:v>
                </c:pt>
              </c:numCache>
            </c:numRef>
          </c:val>
          <c:extLst>
            <c:ext xmlns:c16="http://schemas.microsoft.com/office/drawing/2014/chart" uri="{C3380CC4-5D6E-409C-BE32-E72D297353CC}">
              <c16:uniqueId val="{00000000-7315-0E4F-8A91-791EEC0ACEDF}"/>
            </c:ext>
          </c:extLst>
        </c:ser>
        <c:ser>
          <c:idx val="1"/>
          <c:order val="1"/>
          <c:tx>
            <c:strRef>
              <c:f>Fuels_RI_Con!$N$3</c:f>
              <c:strCache>
                <c:ptCount val="1"/>
                <c:pt idx="0">
                  <c:v>Indirect</c:v>
                </c:pt>
              </c:strCache>
            </c:strRef>
          </c:tx>
          <c:spPr>
            <a:solidFill>
              <a:schemeClr val="accent2"/>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Fuels_RI_Con!$N$4:$N$13</c:f>
              <c:numCache>
                <c:formatCode>General</c:formatCode>
                <c:ptCount val="10"/>
                <c:pt idx="0">
                  <c:v>0.59462633040327462</c:v>
                </c:pt>
                <c:pt idx="1">
                  <c:v>0.65565276287179708</c:v>
                </c:pt>
                <c:pt idx="2">
                  <c:v>0.65725397556090448</c:v>
                </c:pt>
                <c:pt idx="3">
                  <c:v>0.6991990858149506</c:v>
                </c:pt>
                <c:pt idx="4">
                  <c:v>0.71159786634323585</c:v>
                </c:pt>
                <c:pt idx="5">
                  <c:v>0.7108345469528573</c:v>
                </c:pt>
                <c:pt idx="6">
                  <c:v>0.72575110744107185</c:v>
                </c:pt>
                <c:pt idx="7">
                  <c:v>0.73230792022985136</c:v>
                </c:pt>
                <c:pt idx="8">
                  <c:v>0.7262471489892639</c:v>
                </c:pt>
                <c:pt idx="9">
                  <c:v>0.75852702364757663</c:v>
                </c:pt>
              </c:numCache>
            </c:numRef>
          </c:val>
          <c:extLst>
            <c:ext xmlns:c16="http://schemas.microsoft.com/office/drawing/2014/chart" uri="{C3380CC4-5D6E-409C-BE32-E72D297353CC}">
              <c16:uniqueId val="{00000001-7315-0E4F-8A91-791EEC0ACEDF}"/>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5"/>
      </c:valAx>
      <c:spPr>
        <a:noFill/>
        <a:ln>
          <a:noFill/>
        </a:ln>
        <a:effectLst/>
      </c:spPr>
    </c:plotArea>
    <c:legend>
      <c:legendPos val="r"/>
      <c:layout>
        <c:manualLayout>
          <c:xMode val="edge"/>
          <c:yMode val="edge"/>
          <c:x val="0.52870742024094841"/>
          <c:y val="5.8214908381059235E-3"/>
          <c:w val="0.13957783772608273"/>
          <c:h val="0.14564688340787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Fuels_AI!$I$3:$I$12</c:f>
              <c:numCache>
                <c:formatCode>General</c:formatCode>
                <c:ptCount val="10"/>
                <c:pt idx="0">
                  <c:v>1.1204501820548709</c:v>
                </c:pt>
                <c:pt idx="1">
                  <c:v>2.302053364376456</c:v>
                </c:pt>
                <c:pt idx="2">
                  <c:v>2.366535124770496</c:v>
                </c:pt>
                <c:pt idx="3">
                  <c:v>3.1302103439312416</c:v>
                </c:pt>
                <c:pt idx="4">
                  <c:v>4.4433249944727802</c:v>
                </c:pt>
                <c:pt idx="5">
                  <c:v>6.0974335743840475</c:v>
                </c:pt>
                <c:pt idx="6">
                  <c:v>7.6891585129965998</c:v>
                </c:pt>
                <c:pt idx="7">
                  <c:v>12.299616569594914</c:v>
                </c:pt>
                <c:pt idx="8">
                  <c:v>16.886224295422405</c:v>
                </c:pt>
                <c:pt idx="9">
                  <c:v>43.664993037996176</c:v>
                </c:pt>
              </c:numCache>
            </c:numRef>
          </c:val>
          <c:extLst>
            <c:ext xmlns:c16="http://schemas.microsoft.com/office/drawing/2014/chart" uri="{C3380CC4-5D6E-409C-BE32-E72D297353CC}">
              <c16:uniqueId val="{00000000-3FC3-884F-B108-293826AE5273}"/>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overlay val="0"/>
          <c:txPr>
            <a:bodyPr/>
            <a:lstStyle/>
            <a:p>
              <a:pPr>
                <a:defRPr b="0"/>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Fuels_AI!$K$3:$K$12</c:f>
              <c:numCache>
                <c:formatCode>General</c:formatCode>
                <c:ptCount val="10"/>
                <c:pt idx="0">
                  <c:v>1.5664477689381191</c:v>
                </c:pt>
                <c:pt idx="1">
                  <c:v>2.7938349242820153</c:v>
                </c:pt>
                <c:pt idx="2">
                  <c:v>3.3681041294023277</c:v>
                </c:pt>
                <c:pt idx="3">
                  <c:v>4.4069519190201722</c:v>
                </c:pt>
                <c:pt idx="4">
                  <c:v>5.6722597296347912</c:v>
                </c:pt>
                <c:pt idx="5">
                  <c:v>7.1950206531062344</c:v>
                </c:pt>
                <c:pt idx="6">
                  <c:v>9.2196725760618978</c:v>
                </c:pt>
                <c:pt idx="7">
                  <c:v>12.676872858899294</c:v>
                </c:pt>
                <c:pt idx="8">
                  <c:v>16.950388260435734</c:v>
                </c:pt>
                <c:pt idx="9">
                  <c:v>36.15044718021943</c:v>
                </c:pt>
              </c:numCache>
            </c:numRef>
          </c:val>
          <c:extLst>
            <c:ext xmlns:c16="http://schemas.microsoft.com/office/drawing/2014/chart" uri="{C3380CC4-5D6E-409C-BE32-E72D297353CC}">
              <c16:uniqueId val="{00000000-30C9-4E43-93DF-98E5F765DCE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4195553593480123"/>
          <c:y val="4.4788259256373829E-2"/>
          <c:w val="0.81835337905330763"/>
          <c:h val="0.66738770313815976"/>
        </c:manualLayout>
      </c:layout>
      <c:barChart>
        <c:barDir val="col"/>
        <c:grouping val="clustered"/>
        <c:varyColors val="0"/>
        <c:ser>
          <c:idx val="1"/>
          <c:order val="0"/>
          <c:tx>
            <c:strRef>
              <c:f>Fuels_AI!$M$2</c:f>
              <c:strCache>
                <c:ptCount val="1"/>
                <c:pt idx="0">
                  <c:v>direct</c:v>
                </c:pt>
              </c:strCache>
            </c:strRef>
          </c:tx>
          <c:spPr>
            <a:solidFill>
              <a:srgbClr val="F58D98">
                <a:alpha val="70000"/>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Fuels_AI!$M$3:$M$12</c:f>
              <c:numCache>
                <c:formatCode>General</c:formatCode>
                <c:ptCount val="10"/>
                <c:pt idx="0">
                  <c:v>0.82952946326494226</c:v>
                </c:pt>
                <c:pt idx="1">
                  <c:v>1.913655040372827</c:v>
                </c:pt>
                <c:pt idx="2">
                  <c:v>2.279840742260995</c:v>
                </c:pt>
                <c:pt idx="3">
                  <c:v>3.1436281567612947</c:v>
                </c:pt>
                <c:pt idx="4">
                  <c:v>4.5730905581772987</c:v>
                </c:pt>
                <c:pt idx="5">
                  <c:v>6.4140788379241735</c:v>
                </c:pt>
                <c:pt idx="6">
                  <c:v>8.6170748159730657</c:v>
                </c:pt>
                <c:pt idx="7">
                  <c:v>13.233095439424675</c:v>
                </c:pt>
                <c:pt idx="8">
                  <c:v>18.273103139404913</c:v>
                </c:pt>
                <c:pt idx="9">
                  <c:v>40.722903806435809</c:v>
                </c:pt>
              </c:numCache>
            </c:numRef>
          </c:val>
          <c:extLst>
            <c:ext xmlns:c16="http://schemas.microsoft.com/office/drawing/2014/chart" uri="{C3380CC4-5D6E-409C-BE32-E72D297353CC}">
              <c16:uniqueId val="{00000000-4D9F-0A4F-B9F9-65B247D326A7}"/>
            </c:ext>
          </c:extLst>
        </c:ser>
        <c:ser>
          <c:idx val="0"/>
          <c:order val="1"/>
          <c:tx>
            <c:strRef>
              <c:f>Fuels_AI!$N$2</c:f>
              <c:strCache>
                <c:ptCount val="1"/>
                <c:pt idx="0">
                  <c:v> indirect</c:v>
                </c:pt>
              </c:strCache>
            </c:strRef>
          </c:tx>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Fuels_AI!$N$3:$N$12</c:f>
              <c:numCache>
                <c:formatCode>General</c:formatCode>
                <c:ptCount val="10"/>
                <c:pt idx="0">
                  <c:v>2.3571490260037726</c:v>
                </c:pt>
                <c:pt idx="1">
                  <c:v>3.7382535048627021</c:v>
                </c:pt>
                <c:pt idx="2">
                  <c:v>4.5357928861173393</c:v>
                </c:pt>
                <c:pt idx="3">
                  <c:v>5.7624776603399104</c:v>
                </c:pt>
                <c:pt idx="4">
                  <c:v>6.8516502206158627</c:v>
                </c:pt>
                <c:pt idx="5">
                  <c:v>8.0329585025182748</c:v>
                </c:pt>
                <c:pt idx="6">
                  <c:v>9.8662501576414723</c:v>
                </c:pt>
                <c:pt idx="7">
                  <c:v>12.080055239441876</c:v>
                </c:pt>
                <c:pt idx="8">
                  <c:v>15.53113704402813</c:v>
                </c:pt>
                <c:pt idx="9">
                  <c:v>31.244275758430664</c:v>
                </c:pt>
              </c:numCache>
            </c:numRef>
          </c:val>
          <c:extLst>
            <c:ext xmlns:c16="http://schemas.microsoft.com/office/drawing/2014/chart" uri="{C3380CC4-5D6E-409C-BE32-E72D297353CC}">
              <c16:uniqueId val="{00000001-4D9F-0A4F-B9F9-65B247D326A7}"/>
            </c:ext>
          </c:extLst>
        </c:ser>
        <c:dLbls>
          <c:showLegendKey val="0"/>
          <c:showVal val="0"/>
          <c:showCatName val="0"/>
          <c:showSerName val="0"/>
          <c:showPercent val="0"/>
          <c:showBubbleSize val="0"/>
        </c:dLbls>
        <c:gapWidth val="150"/>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legend>
      <c:legendPos val="r"/>
      <c:layout>
        <c:manualLayout>
          <c:xMode val="edge"/>
          <c:yMode val="edge"/>
          <c:x val="0.36605775079698016"/>
          <c:y val="0.17392944999568788"/>
          <c:w val="7.0909470705015576E-2"/>
          <c:h val="0.1471650668722401"/>
        </c:manualLayout>
      </c:layout>
      <c:overlay val="0"/>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Total_RI!$J$4:$J$13</c:f>
              <c:numCache>
                <c:formatCode>General</c:formatCode>
                <c:ptCount val="10"/>
                <c:pt idx="0">
                  <c:v>1.309198437003432</c:v>
                </c:pt>
                <c:pt idx="1">
                  <c:v>1.6403779104078329</c:v>
                </c:pt>
                <c:pt idx="2">
                  <c:v>1.7641960122983251</c:v>
                </c:pt>
                <c:pt idx="3">
                  <c:v>2.0112689783938489</c:v>
                </c:pt>
                <c:pt idx="4">
                  <c:v>2.1653014181591561</c:v>
                </c:pt>
                <c:pt idx="5">
                  <c:v>2.4670362501130971</c:v>
                </c:pt>
                <c:pt idx="6">
                  <c:v>2.7147099362614462</c:v>
                </c:pt>
                <c:pt idx="7">
                  <c:v>2.9967582648781002</c:v>
                </c:pt>
                <c:pt idx="8">
                  <c:v>3.134825091956873</c:v>
                </c:pt>
                <c:pt idx="9">
                  <c:v>3.2617564865171311</c:v>
                </c:pt>
              </c:numCache>
            </c:numRef>
          </c:val>
          <c:extLst>
            <c:ext xmlns:c16="http://schemas.microsoft.com/office/drawing/2014/chart" uri="{C3380CC4-5D6E-409C-BE32-E72D297353CC}">
              <c16:uniqueId val="{00000000-1418-6146-B22E-C05EEF2EE28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Total_RI!$B$17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8"/>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Total_RI!$L$3</c:f>
              <c:strCache>
                <c:ptCount val="1"/>
                <c:pt idx="0">
                  <c:v>all_policies</c:v>
                </c:pt>
              </c:strCache>
            </c:strRef>
          </c:tx>
          <c:spPr>
            <a:solidFill>
              <a:srgbClr val="9BB5FF"/>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Total_RI!$L$4:$L$13</c:f>
              <c:numCache>
                <c:formatCode>General</c:formatCode>
                <c:ptCount val="10"/>
                <c:pt idx="0">
                  <c:v>1.1937372473651051</c:v>
                </c:pt>
                <c:pt idx="1">
                  <c:v>1.474577349227983</c:v>
                </c:pt>
                <c:pt idx="2">
                  <c:v>1.6193194340678909</c:v>
                </c:pt>
                <c:pt idx="3">
                  <c:v>1.8578629773333539</c:v>
                </c:pt>
                <c:pt idx="4">
                  <c:v>1.9809954338280891</c:v>
                </c:pt>
                <c:pt idx="5">
                  <c:v>2.239344379552318</c:v>
                </c:pt>
                <c:pt idx="6">
                  <c:v>2.4728497086932339</c:v>
                </c:pt>
                <c:pt idx="7">
                  <c:v>2.6789847807168412</c:v>
                </c:pt>
                <c:pt idx="8">
                  <c:v>2.7968281327296549</c:v>
                </c:pt>
                <c:pt idx="9">
                  <c:v>2.8208284299095063</c:v>
                </c:pt>
              </c:numCache>
            </c:numRef>
          </c:val>
          <c:extLst>
            <c:ext xmlns:c16="http://schemas.microsoft.com/office/drawing/2014/chart" uri="{C3380CC4-5D6E-409C-BE32-E72D297353CC}">
              <c16:uniqueId val="{00000000-E7AF-3948-BA77-D02D5FFD199E}"/>
            </c:ext>
          </c:extLst>
        </c:ser>
        <c:ser>
          <c:idx val="1"/>
          <c:order val="1"/>
          <c:tx>
            <c:strRef>
              <c:f>Total_RI!$M$3</c:f>
              <c:strCache>
                <c:ptCount val="1"/>
              </c:strCache>
            </c:strRef>
          </c:tx>
          <c:spPr>
            <a:solidFill>
              <a:srgbClr val="9BB5FF">
                <a:alpha val="62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Total_RI!$M$4:$M$13</c:f>
              <c:numCache>
                <c:formatCode>General</c:formatCode>
                <c:ptCount val="10"/>
              </c:numCache>
            </c:numRef>
          </c:val>
          <c:extLst>
            <c:ext xmlns:c16="http://schemas.microsoft.com/office/drawing/2014/chart" uri="{C3380CC4-5D6E-409C-BE32-E72D297353CC}">
              <c16:uniqueId val="{00000001-E7AF-3948-BA77-D02D5FFD199E}"/>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557873311772059"/>
              <c:y val="0.8424142638992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Total_RI!$B$17</c:f>
              <c:strCache>
                <c:ptCount val="1"/>
                <c:pt idx="0">
                  <c:v>Percentage of disposable income</c:v>
                </c:pt>
              </c:strCache>
            </c:strRef>
          </c:tx>
          <c:layout>
            <c:manualLayout>
              <c:xMode val="edge"/>
              <c:yMode val="edge"/>
              <c:x val="3.3672868406047156E-2"/>
              <c:y val="0.138955308876325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5"/>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Total_RI!$I$4:$I$13</c:f>
              <c:numCache>
                <c:formatCode>General</c:formatCode>
                <c:ptCount val="10"/>
                <c:pt idx="0">
                  <c:v>0.11546119560293441</c:v>
                </c:pt>
                <c:pt idx="1">
                  <c:v>0.16580056131036741</c:v>
                </c:pt>
                <c:pt idx="2">
                  <c:v>0.14487658146622509</c:v>
                </c:pt>
                <c:pt idx="3">
                  <c:v>0.15340599089933921</c:v>
                </c:pt>
                <c:pt idx="4">
                  <c:v>0.18430597180473479</c:v>
                </c:pt>
                <c:pt idx="5">
                  <c:v>0.22769186653664739</c:v>
                </c:pt>
                <c:pt idx="6">
                  <c:v>0.24186022872094431</c:v>
                </c:pt>
                <c:pt idx="7">
                  <c:v>0.3177735064760045</c:v>
                </c:pt>
                <c:pt idx="8">
                  <c:v>0.33799696612554009</c:v>
                </c:pt>
                <c:pt idx="9">
                  <c:v>0.4409280623471114</c:v>
                </c:pt>
              </c:numCache>
            </c:numRef>
          </c:val>
          <c:extLst>
            <c:ext xmlns:c16="http://schemas.microsoft.com/office/drawing/2014/chart" uri="{C3380CC4-5D6E-409C-BE32-E72D297353CC}">
              <c16:uniqueId val="{00000000-DF55-594D-AB39-7C7165E2144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[1]Total_RI!$B$14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1"/>
          <c:min val="0"/>
        </c:scaling>
        <c:delete val="0"/>
        <c:axPos val="l"/>
        <c:title>
          <c:tx>
            <c:strRef>
              <c:f>[1]Total_RI!$B$17</c:f>
              <c:strCache>
                <c:ptCount val="1"/>
                <c:pt idx="0">
                  <c:v>Percentage of disposable income</c:v>
                </c:pt>
              </c:strCache>
            </c:strRef>
          </c:tx>
          <c:layout>
            <c:manualLayout>
              <c:xMode val="edge"/>
              <c:yMode val="edge"/>
              <c:x val="3.2339418236783618E-3"/>
              <c:y val="0.15244196348646005"/>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Total_AI!$I$3:$I$12</c:f>
              <c:numCache>
                <c:formatCode>General</c:formatCode>
                <c:ptCount val="10"/>
                <c:pt idx="0">
                  <c:v>0.98764750303763316</c:v>
                </c:pt>
                <c:pt idx="1">
                  <c:v>2.1190336767679212</c:v>
                </c:pt>
                <c:pt idx="2">
                  <c:v>2.2304376555625054</c:v>
                </c:pt>
                <c:pt idx="3">
                  <c:v>2.8344312933493669</c:v>
                </c:pt>
                <c:pt idx="4">
                  <c:v>3.967143903891571</c:v>
                </c:pt>
                <c:pt idx="5">
                  <c:v>5.7644159188130732</c:v>
                </c:pt>
                <c:pt idx="6">
                  <c:v>7.3612563381522458</c:v>
                </c:pt>
                <c:pt idx="7">
                  <c:v>11.63404946609147</c:v>
                </c:pt>
                <c:pt idx="8">
                  <c:v>16.16657102589183</c:v>
                </c:pt>
                <c:pt idx="9">
                  <c:v>46.935013218442364</c:v>
                </c:pt>
              </c:numCache>
            </c:numRef>
          </c:val>
          <c:extLst>
            <c:ext xmlns:c16="http://schemas.microsoft.com/office/drawing/2014/chart" uri="{C3380CC4-5D6E-409C-BE32-E72D297353CC}">
              <c16:uniqueId val="{00000000-5169-404D-8CEB-BCF175D140A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overlay val="0"/>
          <c:txPr>
            <a:bodyPr/>
            <a:lstStyle/>
            <a:p>
              <a:pPr>
                <a:defRPr b="0">
                  <a:solidFill>
                    <a:schemeClr val="bg1">
                      <a:lumMod val="50000"/>
                    </a:schemeClr>
                  </a:solidFill>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Total_AI!$K$3:$K$12</c:f>
              <c:numCache>
                <c:formatCode>General</c:formatCode>
                <c:ptCount val="10"/>
                <c:pt idx="0">
                  <c:v>1.336245540256829</c:v>
                </c:pt>
                <c:pt idx="1">
                  <c:v>2.4363121298500103</c:v>
                </c:pt>
                <c:pt idx="2">
                  <c:v>3.1572762690285527</c:v>
                </c:pt>
                <c:pt idx="3">
                  <c:v>4.3047080922905918</c:v>
                </c:pt>
                <c:pt idx="4">
                  <c:v>5.4028063867638698</c:v>
                </c:pt>
                <c:pt idx="5">
                  <c:v>7.2453930660542509</c:v>
                </c:pt>
                <c:pt idx="6">
                  <c:v>9.585662172529128</c:v>
                </c:pt>
                <c:pt idx="7">
                  <c:v>12.796566658371098</c:v>
                </c:pt>
                <c:pt idx="8">
                  <c:v>17.407002151698808</c:v>
                </c:pt>
                <c:pt idx="9">
                  <c:v>36.328027533156856</c:v>
                </c:pt>
              </c:numCache>
            </c:numRef>
          </c:val>
          <c:extLst>
            <c:ext xmlns:c16="http://schemas.microsoft.com/office/drawing/2014/chart" uri="{C3380CC4-5D6E-409C-BE32-E72D297353CC}">
              <c16:uniqueId val="{00000000-14DD-B542-A7AF-48CD2525323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Total_AI!$M$3:$M$12</c:f>
              <c:numCache>
                <c:formatCode>General</c:formatCode>
                <c:ptCount val="10"/>
                <c:pt idx="0">
                  <c:v>1.336245540256829</c:v>
                </c:pt>
                <c:pt idx="1">
                  <c:v>2.4363121298500103</c:v>
                </c:pt>
                <c:pt idx="2">
                  <c:v>3.1572762690285527</c:v>
                </c:pt>
                <c:pt idx="3">
                  <c:v>4.3047080922905918</c:v>
                </c:pt>
                <c:pt idx="4">
                  <c:v>5.4028063867638698</c:v>
                </c:pt>
                <c:pt idx="5">
                  <c:v>7.2453930660542509</c:v>
                </c:pt>
                <c:pt idx="6">
                  <c:v>9.585662172529128</c:v>
                </c:pt>
                <c:pt idx="7">
                  <c:v>12.796566658371098</c:v>
                </c:pt>
                <c:pt idx="8">
                  <c:v>17.407002151698808</c:v>
                </c:pt>
                <c:pt idx="9">
                  <c:v>36.328027533156856</c:v>
                </c:pt>
              </c:numCache>
            </c:numRef>
          </c:val>
          <c:extLst>
            <c:ext xmlns:c16="http://schemas.microsoft.com/office/drawing/2014/chart" uri="{C3380CC4-5D6E-409C-BE32-E72D297353CC}">
              <c16:uniqueId val="{00000000-92FF-034F-BE40-6E4F0344D7C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Relationships xmlns="http://schemas.openxmlformats.org/package/2006/relationships"><Relationship Target="../charts/chart1.xml" Type="http://schemas.openxmlformats.org/officeDocument/2006/relationships/chart" Id="rId1"/></Relationships>
</file>

<file path=xl/drawings/_rels/drawing2.xml.rels><?xml version="1.0" encoding="UTF-8"?><Relationships xmlns="http://schemas.openxmlformats.org/package/2006/relationships"><Relationship Target="../charts/chart3.xml" Type="http://schemas.openxmlformats.org/officeDocument/2006/relationships/chart" Id="rId2"/><Relationship Target="../charts/chart2.xml" Type="http://schemas.openxmlformats.org/officeDocument/2006/relationships/chart" Id="rId1"/></Relationships>
</file>

<file path=xl/drawings/_rels/drawing3.xml.rels><?xml version="1.0" encoding="UTF-8"?><Relationships xmlns="http://schemas.openxmlformats.org/package/2006/relationships"><Relationship Target="../charts/chart6.xml" Type="http://schemas.openxmlformats.org/officeDocument/2006/relationships/chart" Id="rId3"/><Relationship Target="../charts/chart5.xml" Type="http://schemas.openxmlformats.org/officeDocument/2006/relationships/chart" Id="rId2"/><Relationship Target="../charts/chart4.xml" Type="http://schemas.openxmlformats.org/officeDocument/2006/relationships/chart" Id="rId1"/><Relationship Target="../charts/chart7.xml" Type="http://schemas.openxmlformats.org/officeDocument/2006/relationships/chart" Id="rId4"/></Relationships>
</file>

<file path=xl/drawings/_rels/drawing4.xml.rels><?xml version="1.0" encoding="UTF-8"?><Relationships xmlns="http://schemas.openxmlformats.org/package/2006/relationships"><Relationship Target="../charts/chart10.xml" Type="http://schemas.openxmlformats.org/officeDocument/2006/relationships/chart" Id="rId3"/><Relationship Target="../charts/chart9.xml" Type="http://schemas.openxmlformats.org/officeDocument/2006/relationships/chart" Id="rId2"/><Relationship Target="../charts/chart8.xml" Type="http://schemas.openxmlformats.org/officeDocument/2006/relationships/chart" Id="rId1"/></Relationships>
</file>

<file path=xl/drawings/_rels/drawing5.xml.rels><?xml version="1.0" encoding="UTF-8"?><Relationships xmlns="http://schemas.openxmlformats.org/package/2006/relationships"><Relationship Target="../charts/chart13.xml" Type="http://schemas.openxmlformats.org/officeDocument/2006/relationships/chart" Id="rId3"/><Relationship Target="../charts/chart12.xml" Type="http://schemas.openxmlformats.org/officeDocument/2006/relationships/chart" Id="rId2"/><Relationship Target="../charts/chart11.xml" Type="http://schemas.openxmlformats.org/officeDocument/2006/relationships/chart" Id="rId1"/></Relationships>
</file>

<file path=xl/drawings/_rels/drawing6.xml.rels><?xml version="1.0" encoding="UTF-8"?><Relationships xmlns="http://schemas.openxmlformats.org/package/2006/relationships"><Relationship Target="../charts/chart15.xml" Type="http://schemas.openxmlformats.org/officeDocument/2006/relationships/chart" Id="rId2"/><Relationship Target="../charts/chart14.xml" Type="http://schemas.openxmlformats.org/officeDocument/2006/relationships/chart" Id="rId1"/></Relationships>
</file>

<file path=xl/drawings/_rels/drawing7.xml.rels><?xml version="1.0" encoding="UTF-8"?><Relationships xmlns="http://schemas.openxmlformats.org/package/2006/relationships"><Relationship Target="../charts/chart18.xml" Type="http://schemas.openxmlformats.org/officeDocument/2006/relationships/chart" Id="rId3"/><Relationship Target="../charts/chart17.xml" Type="http://schemas.openxmlformats.org/officeDocument/2006/relationships/chart" Id="rId2"/><Relationship Target="../charts/chart16.xml" Type="http://schemas.openxmlformats.org/officeDocument/2006/relationships/chart" Id="rId1"/></Relationships>
</file>

<file path=xl/drawings/_rels/drawing8.xml.rels><?xml version="1.0" encoding="UTF-8"?><Relationships xmlns="http://schemas.openxmlformats.org/package/2006/relationships"><Relationship Target="../charts/chart21.xml" Type="http://schemas.openxmlformats.org/officeDocument/2006/relationships/chart" Id="rId3"/><Relationship Target="../charts/chart20.xml" Type="http://schemas.openxmlformats.org/officeDocument/2006/relationships/chart" Id="rId2"/><Relationship Target="../charts/chart19.xml" Type="http://schemas.openxmlformats.org/officeDocument/2006/relationships/chart" Id="rId1"/></Relationships>
</file>

<file path=xl/drawings/_rels/drawing9.xml.rels><?xml version="1.0" encoding="UTF-8"?><Relationships xmlns="http://schemas.openxmlformats.org/package/2006/relationships"><Relationship Target="../charts/chart24.xml" Type="http://schemas.openxmlformats.org/officeDocument/2006/relationships/chart" Id="rId3"/><Relationship Target="../charts/chart23.xml" Type="http://schemas.openxmlformats.org/officeDocument/2006/relationships/chart" Id="rId2"/><Relationship Target="../charts/chart22.xml" Type="http://schemas.openxmlformats.org/officeDocument/2006/relationships/chart" Id="rId1"/></Relationships>
</file>

<file path=xl/drawings/_rels/drawing10.xml.rels><?xml version="1.0" encoding="UTF-8"?><Relationships xmlns="http://schemas.openxmlformats.org/package/2006/relationships"><Relationship Target="../charts/chart27.xml" Type="http://schemas.openxmlformats.org/officeDocument/2006/relationships/chart" Id="rId3"/><Relationship Target="../charts/chart26.xml" Type="http://schemas.openxmlformats.org/officeDocument/2006/relationships/chart" Id="rId2"/><Relationship Target="../charts/chart25.xml" Type="http://schemas.openxmlformats.org/officeDocument/2006/relationships/chart" Id="rId1"/></Relationships>
</file>

<file path=xl/drawings/_rels/drawing11.xml.rels><?xml version="1.0" encoding="UTF-8"?><Relationships xmlns="http://schemas.openxmlformats.org/package/2006/relationships"><Relationship Target="../charts/chart30.xml" Type="http://schemas.openxmlformats.org/officeDocument/2006/relationships/chart" Id="rId3"/><Relationship Target="../charts/chart29.xml" Type="http://schemas.openxmlformats.org/officeDocument/2006/relationships/chart" Id="rId2"/><Relationship Target="../charts/chart28.xml" Type="http://schemas.openxmlformats.org/officeDocument/2006/relationships/chart"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11</xdr:col>
      <xdr:colOff>402590</xdr:colOff>
      <xdr:row>6</xdr:row>
      <xdr:rowOff>87630</xdr:rowOff>
    </xdr:from>
    <xdr:to>
      <xdr:col>16</xdr:col>
      <xdr:colOff>285115</xdr:colOff>
      <xdr:row>20</xdr:row>
      <xdr:rowOff>172720</xdr:rowOff>
    </xdr:to>
    <xdr:graphicFrame macro="">
      <xdr:nvGraphicFramePr>
        <xdr:cNvPr id="2" name="Gráfico 1">
          <a:extLst>
            <a:ext xmlns:a16="http://schemas.microsoft.com/office/drawing/2014/main" uri="{FF2B5EF4-FFF2-40B4-BE49-F238E27FC236}">
              <a16:creationId xmlns:a16="http://schemas.microsoft.com/office/drawing/2014/main" id="{BD65B690-D2AA-493C-84BA-C08B20395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xdr:from>
      <xdr:col>5</xdr:col>
      <xdr:colOff>16510</xdr:colOff>
      <xdr:row>15</xdr:row>
      <xdr:rowOff>39370</xdr:rowOff>
    </xdr:from>
    <xdr:to>
      <xdr:col>9</xdr:col>
      <xdr:colOff>141388</xdr:colOff>
      <xdr:row>30</xdr:row>
      <xdr:rowOff>88900</xdr:rowOff>
    </xdr:to>
    <xdr:graphicFrame macro="">
      <xdr:nvGraphicFramePr>
        <xdr:cNvPr id="2" name="Gráfico 1">
          <a:extLst>
            <a:ext xmlns:a16="http://schemas.microsoft.com/office/drawing/2014/main" uri="{FF2B5EF4-FFF2-40B4-BE49-F238E27FC236}">
              <a16:creationId xmlns:a16="http://schemas.microsoft.com/office/drawing/2014/main" id="{94D2CBE7-B337-4615-9D09-3609DCB97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386715</xdr:colOff>
      <xdr:row>14</xdr:row>
      <xdr:rowOff>121284</xdr:rowOff>
    </xdr:from>
    <xdr:to>
      <xdr:col>14</xdr:col>
      <xdr:colOff>390525</xdr:colOff>
      <xdr:row>30</xdr:row>
      <xdr:rowOff>62229</xdr:rowOff>
    </xdr:to>
    <xdr:graphicFrame macro="">
      <xdr:nvGraphicFramePr>
        <xdr:cNvPr id="4" name="Gráfico 1">
          <a:extLst>
            <a:ext xmlns:a16="http://schemas.microsoft.com/office/drawing/2014/main" uri="{FF2B5EF4-FFF2-40B4-BE49-F238E27FC236}">
              <a16:creationId xmlns:a16="http://schemas.microsoft.com/office/drawing/2014/main" id="{875EA9AF-CAAD-4750-8304-1C1FE91FC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9</xdr:col>
      <xdr:colOff>950259</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3FFFB12F-5AD2-4902-8E2D-92310353F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538854</xdr:colOff>
      <xdr:row>30</xdr:row>
      <xdr:rowOff>56701</xdr:rowOff>
    </xdr:from>
    <xdr:to>
      <xdr:col>10</xdr:col>
      <xdr:colOff>134471</xdr:colOff>
      <xdr:row>46</xdr:row>
      <xdr:rowOff>13596</xdr:rowOff>
    </xdr:to>
    <xdr:graphicFrame macro="">
      <xdr:nvGraphicFramePr>
        <xdr:cNvPr id="3" name="Chart 2">
          <a:extLst>
            <a:ext xmlns:a16="http://schemas.microsoft.com/office/drawing/2014/main" uri="{FF2B5EF4-FFF2-40B4-BE49-F238E27FC236}">
              <a16:creationId xmlns:a16="http://schemas.microsoft.com/office/drawing/2014/main" id="{874CAE67-E733-422B-A25C-6653F3139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887505</xdr:colOff>
      <xdr:row>16</xdr:row>
      <xdr:rowOff>160232</xdr:rowOff>
    </xdr:from>
    <xdr:to>
      <xdr:col>18</xdr:col>
      <xdr:colOff>340659</xdr:colOff>
      <xdr:row>33</xdr:row>
      <xdr:rowOff>11953</xdr:rowOff>
    </xdr:to>
    <xdr:graphicFrame macro="">
      <xdr:nvGraphicFramePr>
        <xdr:cNvPr id="4" name="Chart 3">
          <a:extLst>
            <a:ext xmlns:a16="http://schemas.microsoft.com/office/drawing/2014/main" uri="{FF2B5EF4-FFF2-40B4-BE49-F238E27FC236}">
              <a16:creationId xmlns:a16="http://schemas.microsoft.com/office/drawing/2014/main" id="{BB2774F8-1878-4832-8552-C0204554F9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1058172</xdr:colOff>
      <xdr:row>33</xdr:row>
      <xdr:rowOff>88638</xdr:rowOff>
    </xdr:from>
    <xdr:to>
      <xdr:col>18</xdr:col>
      <xdr:colOff>251012</xdr:colOff>
      <xdr:row>49</xdr:row>
      <xdr:rowOff>28387</xdr:rowOff>
    </xdr:to>
    <xdr:graphicFrame macro="">
      <xdr:nvGraphicFramePr>
        <xdr:cNvPr id="5" name="Chart 4">
          <a:extLst>
            <a:ext xmlns:a16="http://schemas.microsoft.com/office/drawing/2014/main" uri="{FF2B5EF4-FFF2-40B4-BE49-F238E27FC236}">
              <a16:creationId xmlns:a16="http://schemas.microsoft.com/office/drawing/2014/main" id="{2110BC81-FE46-4535-B5CF-B469E82E7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10</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49C908EB-E95B-4A21-AE27-617D5AB96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D1FDF309-FE53-4DA6-9AA2-FA7805FA1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718017</xdr:colOff>
      <xdr:row>14</xdr:row>
      <xdr:rowOff>53526</xdr:rowOff>
    </xdr:from>
    <xdr:to>
      <xdr:col>14</xdr:col>
      <xdr:colOff>740229</xdr:colOff>
      <xdr:row>30</xdr:row>
      <xdr:rowOff>145143</xdr:rowOff>
    </xdr:to>
    <xdr:graphicFrame macro="">
      <xdr:nvGraphicFramePr>
        <xdr:cNvPr id="4" name="Chart 3">
          <a:extLst>
            <a:ext xmlns:a16="http://schemas.microsoft.com/office/drawing/2014/main" uri="{FF2B5EF4-FFF2-40B4-BE49-F238E27FC236}">
              <a16:creationId xmlns:a16="http://schemas.microsoft.com/office/drawing/2014/main" id="{D2C84B43-EF5D-4E6B-8652-B0675CB09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dr:twoCellAnchor>
    <xdr:from>
      <xdr:col>4</xdr:col>
      <xdr:colOff>242050</xdr:colOff>
      <xdr:row>17</xdr:row>
      <xdr:rowOff>160307</xdr:rowOff>
    </xdr:from>
    <xdr:to>
      <xdr:col>9</xdr:col>
      <xdr:colOff>118534</xdr:colOff>
      <xdr:row>33</xdr:row>
      <xdr:rowOff>183169</xdr:rowOff>
    </xdr:to>
    <xdr:graphicFrame macro="">
      <xdr:nvGraphicFramePr>
        <xdr:cNvPr id="2" name="Gráfico 1">
          <a:extLst>
            <a:ext xmlns:a16="http://schemas.microsoft.com/office/drawing/2014/main" uri="{FF2B5EF4-FFF2-40B4-BE49-F238E27FC236}">
              <a16:creationId xmlns:a16="http://schemas.microsoft.com/office/drawing/2014/main" id="{507CF226-085D-4CD8-8494-B8A0096E5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730422</xdr:colOff>
      <xdr:row>18</xdr:row>
      <xdr:rowOff>1</xdr:rowOff>
    </xdr:from>
    <xdr:to>
      <xdr:col>13</xdr:col>
      <xdr:colOff>762000</xdr:colOff>
      <xdr:row>34</xdr:row>
      <xdr:rowOff>26672</xdr:rowOff>
    </xdr:to>
    <xdr:graphicFrame macro="">
      <xdr:nvGraphicFramePr>
        <xdr:cNvPr id="3" name="Gráfico 1">
          <a:extLst>
            <a:ext xmlns:a16="http://schemas.microsoft.com/office/drawing/2014/main" uri="{FF2B5EF4-FFF2-40B4-BE49-F238E27FC236}">
              <a16:creationId xmlns:a16="http://schemas.microsoft.com/office/drawing/2014/main" id="{E3093EDD-DD4E-3948-AFDE-DC564D5D5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186265</xdr:colOff>
      <xdr:row>17</xdr:row>
      <xdr:rowOff>33867</xdr:rowOff>
    </xdr:from>
    <xdr:to>
      <xdr:col>16</xdr:col>
      <xdr:colOff>1303866</xdr:colOff>
      <xdr:row>33</xdr:row>
      <xdr:rowOff>62443</xdr:rowOff>
    </xdr:to>
    <xdr:graphicFrame macro="">
      <xdr:nvGraphicFramePr>
        <xdr:cNvPr id="4" name="Gráfico 1">
          <a:extLst>
            <a:ext xmlns:a16="http://schemas.microsoft.com/office/drawing/2014/main" uri="{FF2B5EF4-FFF2-40B4-BE49-F238E27FC236}">
              <a16:creationId xmlns:a16="http://schemas.microsoft.com/office/drawing/2014/main" id="{1E6B183C-92AB-4989-AF3E-193F54141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dr:twoCellAnchor>
    <xdr:from>
      <xdr:col>5</xdr:col>
      <xdr:colOff>355600</xdr:colOff>
      <xdr:row>13</xdr:row>
      <xdr:rowOff>39370</xdr:rowOff>
    </xdr:from>
    <xdr:to>
      <xdr:col>9</xdr:col>
      <xdr:colOff>306488</xdr:colOff>
      <xdr:row>28</xdr:row>
      <xdr:rowOff>88900</xdr:rowOff>
    </xdr:to>
    <xdr:graphicFrame macro="">
      <xdr:nvGraphicFramePr>
        <xdr:cNvPr id="2" name="Gráfico 1">
          <a:extLst>
            <a:ext xmlns:a16="http://schemas.microsoft.com/office/drawing/2014/main" uri="{FF2B5EF4-FFF2-40B4-BE49-F238E27FC236}">
              <a16:creationId xmlns:a16="http://schemas.microsoft.com/office/drawing/2014/main" id="{4822AB8D-2A9C-9D41-AC6A-33D9D5DB8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310515</xdr:colOff>
      <xdr:row>13</xdr:row>
      <xdr:rowOff>9524</xdr:rowOff>
    </xdr:from>
    <xdr:to>
      <xdr:col>15</xdr:col>
      <xdr:colOff>1905</xdr:colOff>
      <xdr:row>28</xdr:row>
      <xdr:rowOff>133349</xdr:rowOff>
    </xdr:to>
    <xdr:graphicFrame macro="">
      <xdr:nvGraphicFramePr>
        <xdr:cNvPr id="3" name="Gráfico 1">
          <a:extLst>
            <a:ext xmlns:a16="http://schemas.microsoft.com/office/drawing/2014/main" uri="{FF2B5EF4-FFF2-40B4-BE49-F238E27FC236}">
              <a16:creationId xmlns:a16="http://schemas.microsoft.com/office/drawing/2014/main" id="{4F4C54DF-2F79-674A-B135-713E9752EF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10</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8883864C-E5C0-DD40-A9CB-7FD28A5FA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A7952AC4-7F85-CB48-874A-2D8BADE34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590339</xdr:colOff>
      <xdr:row>15</xdr:row>
      <xdr:rowOff>95313</xdr:rowOff>
    </xdr:from>
    <xdr:to>
      <xdr:col>22</xdr:col>
      <xdr:colOff>112059</xdr:colOff>
      <xdr:row>41</xdr:row>
      <xdr:rowOff>63426</xdr:rowOff>
    </xdr:to>
    <xdr:graphicFrame macro="">
      <xdr:nvGraphicFramePr>
        <xdr:cNvPr id="4" name="Chart 3">
          <a:extLst>
            <a:ext xmlns:a16="http://schemas.microsoft.com/office/drawing/2014/main" uri="{FF2B5EF4-FFF2-40B4-BE49-F238E27FC236}">
              <a16:creationId xmlns:a16="http://schemas.microsoft.com/office/drawing/2014/main" id="{3A565481-DB2E-0F4E-8298-EBF412E65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dr:twoCellAnchor>
    <xdr:from>
      <xdr:col>5</xdr:col>
      <xdr:colOff>106373</xdr:colOff>
      <xdr:row>14</xdr:row>
      <xdr:rowOff>56243</xdr:rowOff>
    </xdr:from>
    <xdr:to>
      <xdr:col>10</xdr:col>
      <xdr:colOff>925285</xdr:colOff>
      <xdr:row>29</xdr:row>
      <xdr:rowOff>175623</xdr:rowOff>
    </xdr:to>
    <xdr:graphicFrame macro="">
      <xdr:nvGraphicFramePr>
        <xdr:cNvPr id="2" name="Chart 1">
          <a:extLst>
            <a:ext xmlns:a16="http://schemas.microsoft.com/office/drawing/2014/main" uri="{FF2B5EF4-FFF2-40B4-BE49-F238E27FC236}">
              <a16:creationId xmlns:a16="http://schemas.microsoft.com/office/drawing/2014/main" id="{23F3019F-AB83-CD49-B903-6195CA7A4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6CFA4B1A-C40E-214B-9628-5587354A6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553915</xdr:colOff>
      <xdr:row>20</xdr:row>
      <xdr:rowOff>16062</xdr:rowOff>
    </xdr:from>
    <xdr:to>
      <xdr:col>27</xdr:col>
      <xdr:colOff>190500</xdr:colOff>
      <xdr:row>36</xdr:row>
      <xdr:rowOff>94524</xdr:rowOff>
    </xdr:to>
    <xdr:graphicFrame macro="">
      <xdr:nvGraphicFramePr>
        <xdr:cNvPr id="4" name="Chart 3">
          <a:extLst>
            <a:ext xmlns:a16="http://schemas.microsoft.com/office/drawing/2014/main" uri="{FF2B5EF4-FFF2-40B4-BE49-F238E27FC236}">
              <a16:creationId xmlns:a16="http://schemas.microsoft.com/office/drawing/2014/main" id="{686A8FF4-A72B-5D4F-ADC9-1C289ED70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dr:twoCellAnchor>
    <xdr:from>
      <xdr:col>5</xdr:col>
      <xdr:colOff>142241</xdr:colOff>
      <xdr:row>16</xdr:row>
      <xdr:rowOff>145278</xdr:rowOff>
    </xdr:from>
    <xdr:to>
      <xdr:col>9</xdr:col>
      <xdr:colOff>1</xdr:colOff>
      <xdr:row>32</xdr:row>
      <xdr:rowOff>164331</xdr:rowOff>
    </xdr:to>
    <xdr:graphicFrame macro="">
      <xdr:nvGraphicFramePr>
        <xdr:cNvPr id="2" name="Gráfico 1">
          <a:extLst>
            <a:ext xmlns:a16="http://schemas.microsoft.com/office/drawing/2014/main" uri="{FF2B5EF4-FFF2-40B4-BE49-F238E27FC236}">
              <a16:creationId xmlns:a16="http://schemas.microsoft.com/office/drawing/2014/main" id="{4C834131-0F49-904E-8E2A-410FA2DEB8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105792</xdr:colOff>
      <xdr:row>17</xdr:row>
      <xdr:rowOff>118535</xdr:rowOff>
    </xdr:from>
    <xdr:to>
      <xdr:col>16</xdr:col>
      <xdr:colOff>1117599</xdr:colOff>
      <xdr:row>33</xdr:row>
      <xdr:rowOff>147111</xdr:rowOff>
    </xdr:to>
    <xdr:graphicFrame macro="">
      <xdr:nvGraphicFramePr>
        <xdr:cNvPr id="3" name="Gráfico 1">
          <a:extLst>
            <a:ext xmlns:a16="http://schemas.microsoft.com/office/drawing/2014/main" uri="{FF2B5EF4-FFF2-40B4-BE49-F238E27FC236}">
              <a16:creationId xmlns:a16="http://schemas.microsoft.com/office/drawing/2014/main" id="{E3E3E4D3-E68C-764A-A1BB-F8C1AAB4DF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1270001</xdr:colOff>
      <xdr:row>16</xdr:row>
      <xdr:rowOff>135890</xdr:rowOff>
    </xdr:from>
    <xdr:to>
      <xdr:col>23</xdr:col>
      <xdr:colOff>571501</xdr:colOff>
      <xdr:row>36</xdr:row>
      <xdr:rowOff>127000</xdr:rowOff>
    </xdr:to>
    <xdr:graphicFrame macro="">
      <xdr:nvGraphicFramePr>
        <xdr:cNvPr id="4" name="Gráfico 1">
          <a:extLst>
            <a:ext xmlns:a16="http://schemas.microsoft.com/office/drawing/2014/main" uri="{FF2B5EF4-FFF2-40B4-BE49-F238E27FC236}">
              <a16:creationId xmlns:a16="http://schemas.microsoft.com/office/drawing/2014/main" id="{16640543-3FF5-444B-A49A-3BD1229B5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dr:twoCellAnchor>
    <xdr:from>
      <xdr:col>5</xdr:col>
      <xdr:colOff>440242</xdr:colOff>
      <xdr:row>30</xdr:row>
      <xdr:rowOff>47737</xdr:rowOff>
    </xdr:from>
    <xdr:to>
      <xdr:col>10</xdr:col>
      <xdr:colOff>336177</xdr:colOff>
      <xdr:row>45</xdr:row>
      <xdr:rowOff>183926</xdr:rowOff>
    </xdr:to>
    <xdr:graphicFrame macro="">
      <xdr:nvGraphicFramePr>
        <xdr:cNvPr id="3" name="Chart 2">
          <a:extLst>
            <a:ext xmlns:a16="http://schemas.microsoft.com/office/drawing/2014/main" uri="{FF2B5EF4-FFF2-40B4-BE49-F238E27FC236}">
              <a16:creationId xmlns:a16="http://schemas.microsoft.com/office/drawing/2014/main" id="{4BE3FF93-86A4-664C-88F3-0F9CCB3E2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315385</xdr:colOff>
      <xdr:row>16</xdr:row>
      <xdr:rowOff>30916</xdr:rowOff>
    </xdr:from>
    <xdr:to>
      <xdr:col>14</xdr:col>
      <xdr:colOff>728382</xdr:colOff>
      <xdr:row>32</xdr:row>
      <xdr:rowOff>63836</xdr:rowOff>
    </xdr:to>
    <xdr:graphicFrame macro="">
      <xdr:nvGraphicFramePr>
        <xdr:cNvPr id="4" name="Chart 3">
          <a:extLst>
            <a:ext xmlns:a16="http://schemas.microsoft.com/office/drawing/2014/main" uri="{FF2B5EF4-FFF2-40B4-BE49-F238E27FC236}">
              <a16:creationId xmlns:a16="http://schemas.microsoft.com/office/drawing/2014/main" id="{F4667509-6818-1047-9C1B-393DD060F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597647</xdr:colOff>
      <xdr:row>15</xdr:row>
      <xdr:rowOff>14941</xdr:rowOff>
    </xdr:from>
    <xdr:to>
      <xdr:col>10</xdr:col>
      <xdr:colOff>156883</xdr:colOff>
      <xdr:row>30</xdr:row>
      <xdr:rowOff>151130</xdr:rowOff>
    </xdr:to>
    <xdr:graphicFrame macro="">
      <xdr:nvGraphicFramePr>
        <xdr:cNvPr id="6" name="Chart 5">
          <a:extLst>
            <a:ext xmlns:a16="http://schemas.microsoft.com/office/drawing/2014/main" uri="{FF2B5EF4-FFF2-40B4-BE49-F238E27FC236}">
              <a16:creationId xmlns:a16="http://schemas.microsoft.com/office/drawing/2014/main" id="{CF383F16-BCBC-9E41-A037-66EF43B70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dr:twoCellAnchor>
    <xdr:from>
      <xdr:col>6</xdr:col>
      <xdr:colOff>159172</xdr:colOff>
      <xdr:row>15</xdr:row>
      <xdr:rowOff>77545</xdr:rowOff>
    </xdr:from>
    <xdr:to>
      <xdr:col>12</xdr:col>
      <xdr:colOff>237066</xdr:colOff>
      <xdr:row>32</xdr:row>
      <xdr:rowOff>16935</xdr:rowOff>
    </xdr:to>
    <xdr:graphicFrame macro="">
      <xdr:nvGraphicFramePr>
        <xdr:cNvPr id="2" name="Gráfico 1">
          <a:extLst>
            <a:ext xmlns:a16="http://schemas.microsoft.com/office/drawing/2014/main" uri="{FF2B5EF4-FFF2-40B4-BE49-F238E27FC236}">
              <a16:creationId xmlns:a16="http://schemas.microsoft.com/office/drawing/2014/main" id="{DCAAA61B-A14C-2845-81D1-701936227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681525</xdr:colOff>
      <xdr:row>15</xdr:row>
      <xdr:rowOff>118534</xdr:rowOff>
    </xdr:from>
    <xdr:to>
      <xdr:col>16</xdr:col>
      <xdr:colOff>745067</xdr:colOff>
      <xdr:row>31</xdr:row>
      <xdr:rowOff>147110</xdr:rowOff>
    </xdr:to>
    <xdr:graphicFrame macro="">
      <xdr:nvGraphicFramePr>
        <xdr:cNvPr id="3" name="Gráfico 1">
          <a:extLst>
            <a:ext xmlns:a16="http://schemas.microsoft.com/office/drawing/2014/main" uri="{FF2B5EF4-FFF2-40B4-BE49-F238E27FC236}">
              <a16:creationId xmlns:a16="http://schemas.microsoft.com/office/drawing/2014/main" id="{00EE9037-42A3-934C-BD16-11075FB90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1464734</xdr:colOff>
      <xdr:row>16</xdr:row>
      <xdr:rowOff>21167</xdr:rowOff>
    </xdr:from>
    <xdr:to>
      <xdr:col>20</xdr:col>
      <xdr:colOff>38142</xdr:colOff>
      <xdr:row>32</xdr:row>
      <xdr:rowOff>49743</xdr:rowOff>
    </xdr:to>
    <xdr:graphicFrame macro="">
      <xdr:nvGraphicFramePr>
        <xdr:cNvPr id="6" name="Gráfico 1">
          <a:extLst>
            <a:ext xmlns:a16="http://schemas.microsoft.com/office/drawing/2014/main" uri="{FF2B5EF4-FFF2-40B4-BE49-F238E27FC236}">
              <a16:creationId xmlns:a16="http://schemas.microsoft.com/office/drawing/2014/main" id="{6162C651-AB76-C34F-9648-4FDC481DE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Relationships xmlns="http://schemas.openxmlformats.org/package/2006/relationships"><Relationship TargetMode="External" Target="simul_results_scenario2.xlsx" Type="http://schemas.openxmlformats.org/officeDocument/2006/relationships/externalLinkPath" Id="rId1"/></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ctricity -BaU Reform"/>
      <sheetName val="Carburants - BaU Reform"/>
      <sheetName val="Fuels_pmts_info"/>
      <sheetName val="elec_pmts_info"/>
      <sheetName val="labels"/>
      <sheetName val="single_policy"/>
      <sheetName val="policies"/>
      <sheetName val="Branches_Dist"/>
      <sheetName val="Elec_Coverage"/>
      <sheetName val="Elec_RI"/>
      <sheetName val="Elec_RI_Con"/>
      <sheetName val="Elec_AI"/>
      <sheetName val="Fuels_Coverage"/>
      <sheetName val="Fuels_RI"/>
      <sheetName val="Fuels_RI_Con"/>
      <sheetName val="Fuels_AI"/>
      <sheetName val="Total_RI"/>
      <sheetName val="Total_AI"/>
      <sheetName val="Marginal Contributions"/>
      <sheetName val="sta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14">
          <cell r="B14" t="str">
            <v>Deciles of per capita disposable income</v>
          </cell>
        </row>
        <row r="17">
          <cell r="B17" t="str">
            <v>Percentage of disposable income</v>
          </cell>
        </row>
      </sheetData>
      <sheetData sheetId="17" refreshError="1"/>
      <sheetData sheetId="18" refreshError="1"/>
      <sheetData sheetId="19" refreshError="1"/>
    </sheetDataSet>
  </externalBook>
</externalLink>
</file>

<file path=xl/persons/person.xml><?xml version="1.0" encoding="utf-8"?>
<personList xmlns="http://schemas.microsoft.com/office/spreadsheetml/2018/threadedcomments" xmlns:x="http://schemas.openxmlformats.org/spreadsheetml/2006/main">
  <person displayName="Daniel Valderrama" id="{73D3AA35-DA8D-4188-B37F-4E6CE52604E5}" userId="e08b1edb8b040875" providerId="Windows Live"/>
</personList>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L6" dT="2023-01-23T00:24:44.42" personId="{73D3AA35-DA8D-4188-B37F-4E6CE52604E5}" id="{577D623A-89EA-4F15-98C9-04B516F9E851}">
    <text>sum of MARGE GROSSISTE and MARGE DETAILLANT for 9Kg</text>
  </threadedComment>
  <threadedComment ref="L13" dT="2023-01-23T00:24:44.42" personId="{73D3AA35-DA8D-4188-B37F-4E6CE52604E5}" id="{18AF46AE-D1FA-4097-94B4-FF8C4422B76A}">
    <text>sum of MARGE GROSSISTE and MARGE DETAILLANT for 9Kg</text>
  </threadedComment>
  <threadedComment ref="F14" dT="2023-01-23T00:12:20.18" personId="{73D3AA35-DA8D-4188-B37F-4E6CE52604E5}" id="{A7B1648E-052E-4801-A4E0-AAA1E8138B77}">
    <text>Original price in Jun</text>
  </threadedComment>
  <threadedComment ref="L20" dT="2023-01-23T00:24:44.42" personId="{73D3AA35-DA8D-4188-B37F-4E6CE52604E5}" id="{A48CD1A1-B31C-4AAD-A095-4DCB2741597C}">
    <text>sum of MARGE GROSSISTE and MARGE DETAILLANT for 9Kg</text>
  </threadedComment>
  <threadedComment ref="F21" dT="2023-01-23T00:12:20.18" personId="{73D3AA35-DA8D-4188-B37F-4E6CE52604E5}" id="{CABDAA1B-10D0-4C73-B410-F0B2BD9731F0}">
    <text>Original price in Jun</text>
  </threadedComment>
  <threadedComment ref="G39" dT="2023-01-26T01:15:57.50" personId="{73D3AA35-DA8D-4188-B37F-4E6CE52604E5}" id="{4F3930C8-1A9E-4FD3-873F-C2110ACBA69D}">
    <text>Assume as fixed tax. It is proportional to the taxable base. This assumption is minor because as tax rate it represents less than 1 percent of raw price</text>
  </threadedComment>
  <threadedComment ref="L41" dT="2023-01-23T00:24:44.42" personId="{73D3AA35-DA8D-4188-B37F-4E6CE52604E5}" id="{37F6BDE9-F642-4E8E-9B02-4D3B89EA52B0}">
    <text>sum of MARGE GROSSISTE and MARGE DETAILLANT for 9Kg</text>
  </threadedComment>
  <threadedComment ref="L48" dT="2023-01-23T00:24:44.42" personId="{73D3AA35-DA8D-4188-B37F-4E6CE52604E5}" id="{BA25D26C-7DCB-4FB2-B58F-D62CE6B2BDE0}">
    <text>sum of MARGE GROSSISTE and MARGE DETAILLANT for 9Kg</text>
  </threadedComment>
  <threadedComment ref="F49" dT="2023-01-23T00:12:20.18" personId="{73D3AA35-DA8D-4188-B37F-4E6CE52604E5}" id="{32AE551E-EF3D-4A1E-9F69-DF9290FCD4CF}">
    <text>Original price in Jun</text>
  </threadedComment>
</ThreadedComments>
</file>

<file path=xl/threadedComments/threadedComment2.xml><?xml version="1.0" encoding="utf-8"?>
<ThreadedComments xmlns="http://schemas.microsoft.com/office/spreadsheetml/2018/threadedcomments" xmlns:x="http://schemas.openxmlformats.org/spreadsheetml/2006/main">
  <threadedComment ref="L5" dT="2023-02-02T15:46:21.42" personId="{73D3AA35-DA8D-4188-B37F-4E6CE52604E5}" id="{8A3B447C-8F23-4212-9916-B9C4DB68EDED}">
    <text>Based on 2021 data</text>
  </threadedComment>
  <threadedComment ref="AG5" dT="2023-01-31T02:41:50.74" personId="{73D3AA35-DA8D-4188-B37F-4E6CE52604E5}" id="{0FCF541A-9B9E-40FB-B715-7148AE16D8F6}">
    <text>this data is inconsistent with the tariffs itself. Therefore we use Petra data for 2022 which is stable for 2020 as well</text>
  </threadedComment>
  <threadedComment ref="AI5" dT="2023-01-31T03:49:53.39" personId="{73D3AA35-DA8D-4188-B37F-4E6CE52604E5}" id="{F7C3CC7F-E3AE-41F8-B144-1358DC6474E3}">
    <text>Obtain as the average of Petra files</text>
  </threadedComment>
  <threadedComment ref="W12" dT="2023-01-31T02:16:44.46" personId="{73D3AA35-DA8D-4188-B37F-4E6CE52604E5}" id="{136BBBBF-568F-46B1-8CFB-D70AFE07C268}">
    <text>exlcuded DGP, PGP and High Voltage from the sum of the IMF of special clientele</text>
  </threadedComment>
</ThreadedComments>
</file>

<file path=xl/threadedComments/threadedComment3.xml><?xml version="1.0" encoding="utf-8"?>
<ThreadedComments xmlns="http://schemas.microsoft.com/office/spreadsheetml/2018/threadedcomments" xmlns:x="http://schemas.openxmlformats.org/spreadsheetml/2006/main">
  <threadedComment ref="C26" dT="2023-02-03T00:15:27.34" personId="{73D3AA35-DA8D-4188-B37F-4E6CE52604E5}" id="{1B1575B1-0225-4272-A958-1F0192041F98}">
    <text>Add 1.13 if data is no uprated. Add 1 if data is uprated</text>
  </threadedComment>
  <threadedComment ref="C30" dT="2023-02-02T16:40:39.44" personId="{73D3AA35-DA8D-4188-B37F-4E6CE52604E5}" id="{F36306AB-A15E-4AE3-8C96-3FBCF5221474}">
    <text>Using weights from 2022 was 141.5. Weights were
Low  0.286 
 Medium 0.565 
 HIgh 0.150</text>
  </threadedComment>
</ThreadedComments>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comments1.xml" Type="http://schemas.openxmlformats.org/officeDocument/2006/relationships/comments" Id="rId3"/><Relationship Target="../drawings/vmlDrawing1.vml" Type="http://schemas.openxmlformats.org/officeDocument/2006/relationships/vmlDrawing" Id="rId2"/><Relationship Target="../printerSettings/printerSettings3.bin" Type="http://schemas.openxmlformats.org/officeDocument/2006/relationships/printerSettings" Id="rId1"/><Relationship Target="../threadedComments/threadedComment1.xml" Type="http://schemas.microsoft.com/office/2017/10/relationships/threadedComment" Id="rId4"/></Relationships>
</file>

<file path=xl/worksheets/_rels/sheet4.xml.rels><?xml version="1.0" encoding="UTF-8"?><Relationships xmlns="http://schemas.openxmlformats.org/package/2006/relationships"><Relationship Target="../comments2.xml" Type="http://schemas.openxmlformats.org/officeDocument/2006/relationships/comments" Id="rId3"/><Relationship Target="../drawings/vmlDrawing2.vml" Type="http://schemas.openxmlformats.org/officeDocument/2006/relationships/vmlDrawing" Id="rId2"/><Relationship Target="../printerSettings/printerSettings4.bin" Type="http://schemas.openxmlformats.org/officeDocument/2006/relationships/printerSettings" Id="rId1"/><Relationship Target="../threadedComments/threadedComment2.xml" Type="http://schemas.microsoft.com/office/2017/10/relationships/threadedComment" Id="rId4"/></Relationships>
</file>

<file path=xl/worksheets/_rels/sheet5.xml.rels><?xml version="1.0" encoding="UTF-8"?><Relationships xmlns="http://schemas.openxmlformats.org/package/2006/relationships"><Relationship Target="../printerSettings/printerSettings5.bin" Type="http://schemas.openxmlformats.org/officeDocument/2006/relationships/printerSettings" Id="rId1"/></Relationships>
</file>

<file path=xl/worksheets/_rels/sheet6.xml.rels><?xml version="1.0" encoding="UTF-8"?><Relationships xmlns="http://schemas.openxmlformats.org/package/2006/relationships"><Relationship Target="../printerSettings/printerSettings6.bin" Type="http://schemas.openxmlformats.org/officeDocument/2006/relationships/printerSettings" Id="rId1"/></Relationships>
</file>

<file path=xl/worksheets/_rels/sheet7.xml.rels><?xml version="1.0" encoding="UTF-8"?><Relationships xmlns="http://schemas.openxmlformats.org/package/2006/relationships"><Relationship Target="../comments3.xml" Type="http://schemas.openxmlformats.org/officeDocument/2006/relationships/comments" Id="rId3"/><Relationship Target="../drawings/vmlDrawing3.vml" Type="http://schemas.openxmlformats.org/officeDocument/2006/relationships/vmlDrawing" Id="rId2"/><Relationship Target="../printerSettings/printerSettings7.bin" Type="http://schemas.openxmlformats.org/officeDocument/2006/relationships/printerSettings" Id="rId1"/><Relationship Target="../threadedComments/threadedComment3.xml" Type="http://schemas.microsoft.com/office/2017/10/relationships/threadedComment" Id="rId4"/></Relationships>
</file>

<file path=xl/worksheets/_rels/sheet8.xml.rels><?xml version="1.0" encoding="UTF-8"?><Relationships xmlns="http://schemas.openxmlformats.org/package/2006/relationships"><Relationship Target="../drawings/drawing1.xml" Type="http://schemas.openxmlformats.org/officeDocument/2006/relationships/drawing" Id="rId2"/><Relationship Target="../printerSettings/printerSettings8.bin" Type="http://schemas.openxmlformats.org/officeDocument/2006/relationships/printerSettings" Id="rId1"/></Relationships>
</file>

<file path=xl/worksheets/_rels/sheet9.xml.rels><?xml version="1.0" encoding="UTF-8"?><Relationships xmlns="http://schemas.openxmlformats.org/package/2006/relationships"><Relationship Target="../drawings/drawing2.xml" Type="http://schemas.openxmlformats.org/officeDocument/2006/relationships/drawing" Id="rId2"/><Relationship Target="../printerSettings/printerSettings9.bin" Type="http://schemas.openxmlformats.org/officeDocument/2006/relationships/printerSettings" Id="rId1"/></Relationships>
</file>

<file path=xl/worksheets/_rels/sheet10.xml.rels><?xml version="1.0" encoding="UTF-8"?><Relationships xmlns="http://schemas.openxmlformats.org/package/2006/relationships"><Relationship Target="../drawings/drawing3.xml" Type="http://schemas.openxmlformats.org/officeDocument/2006/relationships/drawing" Id="rId2"/><Relationship Target="../printerSettings/printerSettings10.bin" Type="http://schemas.openxmlformats.org/officeDocument/2006/relationships/printerSettings" Id="rId1"/></Relationships>
</file>

<file path=xl/worksheets/_rels/sheet11.xml.rels><?xml version="1.0" encoding="UTF-8"?><Relationships xmlns="http://schemas.openxmlformats.org/package/2006/relationships"><Relationship Target="../drawings/drawing4.xml" Type="http://schemas.openxmlformats.org/officeDocument/2006/relationships/drawing" Id="rId2"/><Relationship Target="../printerSettings/printerSettings11.bin" Type="http://schemas.openxmlformats.org/officeDocument/2006/relationships/printerSettings" Id="rId1"/></Relationships>
</file>

<file path=xl/worksheets/_rels/sheet12.xml.rels><?xml version="1.0" encoding="UTF-8"?><Relationships xmlns="http://schemas.openxmlformats.org/package/2006/relationships"><Relationship Target="../drawings/drawing5.xml" Type="http://schemas.openxmlformats.org/officeDocument/2006/relationships/drawing" Id="rId2"/><Relationship Target="../printerSettings/printerSettings12.bin" Type="http://schemas.openxmlformats.org/officeDocument/2006/relationships/printerSettings" Id="rId1"/></Relationships>
</file>

<file path=xl/worksheets/_rels/sheet13.xml.rels><?xml version="1.0" encoding="UTF-8"?><Relationships xmlns="http://schemas.openxmlformats.org/package/2006/relationships"><Relationship Target="../drawings/drawing6.xml" Type="http://schemas.openxmlformats.org/officeDocument/2006/relationships/drawing" Id="rId2"/><Relationship Target="../printerSettings/printerSettings13.bin" Type="http://schemas.openxmlformats.org/officeDocument/2006/relationships/printerSettings" Id="rId1"/></Relationships>
</file>

<file path=xl/worksheets/_rels/sheet14.xml.rels><?xml version="1.0" encoding="UTF-8"?><Relationships xmlns="http://schemas.openxmlformats.org/package/2006/relationships"><Relationship Target="../drawings/drawing7.xml" Type="http://schemas.openxmlformats.org/officeDocument/2006/relationships/drawing" Id="rId2"/><Relationship Target="../printerSettings/printerSettings14.bin" Type="http://schemas.openxmlformats.org/officeDocument/2006/relationships/printerSettings" Id="rId1"/></Relationships>
</file>

<file path=xl/worksheets/_rels/sheet15.xml.rels><?xml version="1.0" encoding="UTF-8"?><Relationships xmlns="http://schemas.openxmlformats.org/package/2006/relationships"><Relationship Target="../drawings/drawing8.xml" Type="http://schemas.openxmlformats.org/officeDocument/2006/relationships/drawing" Id="rId2"/><Relationship Target="../printerSettings/printerSettings15.bin" Type="http://schemas.openxmlformats.org/officeDocument/2006/relationships/printerSettings" Id="rId1"/></Relationships>
</file>

<file path=xl/worksheets/_rels/sheet16.xml.rels><?xml version="1.0" encoding="UTF-8"?><Relationships xmlns="http://schemas.openxmlformats.org/package/2006/relationships"><Relationship Target="../drawings/drawing9.xml" Type="http://schemas.openxmlformats.org/officeDocument/2006/relationships/drawing" Id="rId2"/><Relationship Target="../printerSettings/printerSettings16.bin" Type="http://schemas.openxmlformats.org/officeDocument/2006/relationships/printerSettings" Id="rId1"/></Relationships>
</file>

<file path=xl/worksheets/_rels/sheet17.xml.rels><?xml version="1.0" encoding="UTF-8"?><Relationships xmlns="http://schemas.openxmlformats.org/package/2006/relationships"><Relationship Target="../drawings/drawing10.xml" Type="http://schemas.openxmlformats.org/officeDocument/2006/relationships/drawing" Id="rId2"/><Relationship Target="../printerSettings/printerSettings17.bin" Type="http://schemas.openxmlformats.org/officeDocument/2006/relationships/printerSettings" Id="rId1"/></Relationships>
</file>

<file path=xl/worksheets/_rels/sheet18.xml.rels><?xml version="1.0" encoding="UTF-8"?><Relationships xmlns="http://schemas.openxmlformats.org/package/2006/relationships"><Relationship Target="../drawings/drawing11.xml" Type="http://schemas.openxmlformats.org/officeDocument/2006/relationships/drawing" Id="rId2"/><Relationship Target="../printerSettings/printerSettings18.bin" Type="http://schemas.openxmlformats.org/officeDocument/2006/relationships/printerSettings" Id="rId1"/></Relationships>
</file>

<file path=xl/worksheets/_rels/sheet19.xml.rels><?xml version="1.0" encoding="UTF-8"?><Relationships xmlns="http://schemas.openxmlformats.org/package/2006/relationships"><Relationship Target="../printerSettings/printerSettings19.bin" Type="http://schemas.openxmlformats.org/officeDocument/2006/relationships/printerSettings" Id="rId1"/></Relationships>
</file>

<file path=xl/worksheets/_rels/sheet20.xml.rels><?xml version="1.0" encoding="UTF-8"?><Relationships xmlns="http://schemas.openxmlformats.org/package/2006/relationships"><Relationship Target="../printerSettings/printerSettings20.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46C2-446C-0E47-8316-E8CA5296BE07}">
  <dimension ref="A1:Q35"/>
  <sheetViews>
    <sheetView topLeftCell="A12" workbookViewId="0">
      <selection activeCell="D18" sqref="D18"/>
    </sheetView>
  </sheetViews>
  <sheetFormatPr defaultColWidth="11.42578125" defaultRowHeight="15"/>
  <cols>
    <col min="1" max="1" width="11.42578125" style="10"/>
    <col min="2" max="2" width="27.7109375" style="10" customWidth="true"/>
    <col min="3" max="3" width="13.42578125" style="10" customWidth="true"/>
    <col min="4" max="4" width="18.140625" style="10" customWidth="true"/>
    <col min="5" max="5" width="11.42578125" style="10"/>
    <col min="6" max="6" width="18.28515625" style="10" customWidth="true"/>
    <col min="7" max="7" width="11.42578125" style="10"/>
    <col min="8" max="8" width="18.140625" style="10" customWidth="true"/>
    <col min="9" max="9" width="9.140625" style="10" customWidth="true"/>
    <col min="10" max="10" width="15.7109375" style="10" customWidth="true"/>
    <col min="11" max="11" width="13.85546875" style="10" customWidth="true"/>
    <col min="12" max="12" width="14.140625" style="10" customWidth="true"/>
    <col min="13" max="13" width="11.42578125" style="10"/>
    <col min="14" max="14" width="30.140625" style="10" customWidth="true"/>
    <col min="15" max="15" width="13.7109375" style="10" customWidth="true"/>
    <col min="16" max="16" width="12.140625" style="10" customWidth="true"/>
    <col min="17" max="16384" width="11.42578125" style="10"/>
  </cols>
  <sheetData>
    <row r="1" hidden="true">
      <c r="E1" s="10" t="s">
        <v>141</v>
      </c>
      <c r="K1" s="10" t="s">
        <v>58</v>
      </c>
      <c r="L1" s="10">
        <v>1.13868685</v>
      </c>
    </row>
    <row r="2" s="144" customFormat="true" ht="35.1" hidden="true" customHeight="true" thickTop="true" thickBot="true">
      <c r="A2" s="15" t="s">
        <v>51</v>
      </c>
      <c r="B2" s="15" t="s">
        <v>52</v>
      </c>
      <c r="C2" s="15" t="s">
        <v>53</v>
      </c>
      <c r="E2" s="15"/>
      <c r="F2" s="15" t="s">
        <v>49</v>
      </c>
      <c r="G2" s="15" t="s">
        <v>50</v>
      </c>
      <c r="H2" s="15" t="s">
        <v>51</v>
      </c>
      <c r="I2" s="15" t="s">
        <v>52</v>
      </c>
      <c r="J2" s="15" t="s">
        <v>53</v>
      </c>
    </row>
    <row r="3" hidden="true">
      <c r="C3" s="12"/>
      <c r="E3" s="9" t="s">
        <v>48</v>
      </c>
      <c r="G3" s="11"/>
      <c r="J3" s="12"/>
    </row>
    <row r="4" hidden="true">
      <c r="A4" s="12" t="e">
        <f>#REF!</f>
        <v>#REF!</v>
      </c>
      <c r="B4" s="11" t="e">
        <f>#REF!</f>
        <v>#REF!</v>
      </c>
      <c r="C4" s="11" t="e">
        <f>#REF!</f>
        <v>#REF!</v>
      </c>
      <c r="E4" s="10" t="s">
        <v>43</v>
      </c>
      <c r="F4" s="12" t="e">
        <f>#REF!/$L$1</f>
        <v>#REF!</v>
      </c>
      <c r="G4" s="12" t="e">
        <f>#REF!/$L$1</f>
        <v>#REF!</v>
      </c>
      <c r="H4" s="12" t="e">
        <f>#REF!/$L$1</f>
        <v>#REF!</v>
      </c>
      <c r="I4" s="11" t="e">
        <f>#REF!</f>
        <v>#REF!</v>
      </c>
      <c r="J4" s="11" t="e">
        <f>#REF!</f>
        <v>#REF!</v>
      </c>
    </row>
    <row r="5" hidden="true">
      <c r="A5" s="12" t="e">
        <f>#REF!</f>
        <v>#REF!</v>
      </c>
      <c r="B5" s="11" t="e">
        <f>#REF!</f>
        <v>#REF!</v>
      </c>
      <c r="C5" s="11" t="e">
        <f>#REF!</f>
        <v>#REF!</v>
      </c>
      <c r="E5" s="13" t="s">
        <v>44</v>
      </c>
      <c r="F5" s="12" t="e">
        <f>#REF!/$L$1</f>
        <v>#REF!</v>
      </c>
      <c r="G5" s="12" t="e">
        <f>#REF!/$L$1</f>
        <v>#REF!</v>
      </c>
      <c r="H5" s="12" t="e">
        <f>#REF!/$L$1</f>
        <v>#REF!</v>
      </c>
      <c r="I5" s="11" t="e">
        <f>#REF!</f>
        <v>#REF!</v>
      </c>
      <c r="J5" s="11" t="e">
        <f>#REF!</f>
        <v>#REF!</v>
      </c>
    </row>
    <row r="6" hidden="true">
      <c r="A6" s="12"/>
      <c r="B6" s="11"/>
      <c r="C6" s="11"/>
      <c r="E6" s="14" t="s">
        <v>46</v>
      </c>
      <c r="F6" s="12"/>
      <c r="G6" s="12"/>
      <c r="H6" s="12"/>
    </row>
    <row r="7" hidden="true">
      <c r="A7" s="12" t="e">
        <f>#REF!</f>
        <v>#REF!</v>
      </c>
      <c r="B7" s="11" t="e">
        <f>#REF!</f>
        <v>#REF!</v>
      </c>
      <c r="C7" s="11" t="e">
        <f>#REF!</f>
        <v>#REF!</v>
      </c>
      <c r="E7" s="10" t="s">
        <v>43</v>
      </c>
      <c r="F7" s="12" t="e">
        <f>#REF!/$L$1</f>
        <v>#REF!</v>
      </c>
      <c r="G7" s="12" t="e">
        <f>#REF!/$L$1</f>
        <v>#REF!</v>
      </c>
      <c r="H7" s="12" t="e">
        <f>#REF!/$L$1</f>
        <v>#REF!</v>
      </c>
      <c r="I7" s="11" t="e">
        <f>#REF!</f>
        <v>#REF!</v>
      </c>
      <c r="J7" s="11" t="e">
        <f>#REF!</f>
        <v>#REF!</v>
      </c>
    </row>
    <row r="8" hidden="true">
      <c r="A8" s="18" t="e">
        <f>#REF!</f>
        <v>#REF!</v>
      </c>
      <c r="B8" s="17" t="e">
        <f>#REF!</f>
        <v>#REF!</v>
      </c>
      <c r="C8" s="17" t="e">
        <f>#REF!</f>
        <v>#REF!</v>
      </c>
      <c r="E8" s="13" t="s">
        <v>44</v>
      </c>
      <c r="F8" s="18" t="e">
        <f>#REF!/$L$1</f>
        <v>#REF!</v>
      </c>
      <c r="G8" s="18" t="e">
        <f>#REF!/$L$1</f>
        <v>#REF!</v>
      </c>
      <c r="H8" s="18" t="e">
        <f>#REF!/$L$1</f>
        <v>#REF!</v>
      </c>
      <c r="I8" s="17" t="e">
        <f>#REF!</f>
        <v>#REF!</v>
      </c>
      <c r="J8" s="17" t="e">
        <f>#REF!</f>
        <v>#REF!</v>
      </c>
    </row>
    <row r="9" hidden="true">
      <c r="A9" s="376"/>
      <c r="B9" s="376"/>
      <c r="C9" s="376"/>
      <c r="E9" s="16" t="s">
        <v>45</v>
      </c>
      <c r="F9" s="376" t="e">
        <f>#REF!/$L$1</f>
        <v>#REF!</v>
      </c>
      <c r="G9" s="376"/>
      <c r="H9" s="376"/>
      <c r="I9" s="376"/>
      <c r="J9" s="376"/>
    </row>
    <row r="10" hidden="true">
      <c r="A10" s="377"/>
      <c r="B10" s="377"/>
      <c r="C10" s="377"/>
      <c r="E10" s="9" t="s">
        <v>54</v>
      </c>
      <c r="F10" s="377" t="e">
        <f>#REF!</f>
        <v>#REF!</v>
      </c>
      <c r="G10" s="377"/>
      <c r="H10" s="377"/>
      <c r="I10" s="377"/>
      <c r="J10" s="377"/>
    </row>
    <row r="11" hidden="true">
      <c r="A11" s="378"/>
      <c r="B11" s="378"/>
      <c r="C11" s="378"/>
      <c r="E11" s="14" t="s">
        <v>47</v>
      </c>
      <c r="F11" s="378" t="e">
        <f>+#REF!/$L$1</f>
        <v>#REF!</v>
      </c>
      <c r="G11" s="378"/>
      <c r="H11" s="378"/>
      <c r="I11" s="378"/>
      <c r="J11" s="378"/>
    </row>
    <row r="12" ht="15.75" thickBot="true"/>
    <row r="13" ht="16.5" thickTop="true" thickBot="true">
      <c r="B13" s="145"/>
      <c r="C13" s="374" t="s">
        <v>249</v>
      </c>
      <c r="D13" s="374"/>
      <c r="E13" s="374" t="s">
        <v>128</v>
      </c>
      <c r="F13" s="374"/>
      <c r="J13" s="16"/>
      <c r="K13" s="16"/>
      <c r="L13" s="16"/>
    </row>
    <row r="14" ht="39.75" thickTop="true" thickBot="true">
      <c r="B14" s="146"/>
      <c r="C14" s="147" t="s">
        <v>175</v>
      </c>
      <c r="D14" s="147" t="s">
        <v>174</v>
      </c>
      <c r="E14" s="147" t="s">
        <v>175</v>
      </c>
      <c r="F14" s="147" t="s">
        <v>174</v>
      </c>
      <c r="I14" s="188" t="s">
        <v>173</v>
      </c>
      <c r="J14" s="188"/>
      <c r="K14" s="188"/>
      <c r="L14" s="188"/>
      <c r="M14" s="188"/>
    </row>
    <row r="15" ht="19.5" thickTop="true">
      <c r="B15" s="375" t="s">
        <v>173</v>
      </c>
      <c r="C15" s="375"/>
      <c r="D15" s="375"/>
      <c r="E15" s="375"/>
      <c r="F15" s="375"/>
      <c r="I15" s="136"/>
      <c r="J15" s="136"/>
      <c r="K15" s="136" t="s">
        <v>249</v>
      </c>
      <c r="L15" s="136" t="s">
        <v>128</v>
      </c>
      <c r="M15" s="148"/>
      <c r="N15" s="136"/>
      <c r="O15" s="136" t="s">
        <v>249</v>
      </c>
      <c r="P15" s="136" t="s">
        <v>128</v>
      </c>
      <c r="Q15" s="149"/>
    </row>
    <row r="16" ht="17.1" customHeight="true">
      <c r="B16" s="150" t="s">
        <v>46</v>
      </c>
      <c r="C16" s="151"/>
      <c r="D16" s="151"/>
      <c r="I16" s="370" t="s">
        <v>46</v>
      </c>
      <c r="J16" s="174" t="s">
        <v>169</v>
      </c>
      <c r="K16" s="137">
        <v>91.17</v>
      </c>
      <c r="L16" s="138">
        <v>91.17</v>
      </c>
      <c r="M16" s="152"/>
      <c r="N16" s="186" t="s">
        <v>251</v>
      </c>
      <c r="O16" s="182">
        <f>+elec_pmts_info!E9</f>
        <v>142.89477113000001</v>
      </c>
      <c r="P16" s="185">
        <f>+elec_pmts_info!E9</f>
        <v>142.89477113000001</v>
      </c>
    </row>
    <row r="17" ht="18.75">
      <c r="B17" s="154" t="s">
        <v>169</v>
      </c>
      <c r="C17" s="133">
        <v>91.17</v>
      </c>
      <c r="D17" s="151">
        <v>300</v>
      </c>
      <c r="E17" s="10">
        <v>91.17</v>
      </c>
      <c r="F17" s="151">
        <v>300</v>
      </c>
      <c r="I17" s="370"/>
      <c r="J17" s="174" t="s">
        <v>168</v>
      </c>
      <c r="K17" s="137">
        <v>112.5</v>
      </c>
      <c r="L17" s="139">
        <v>131.19999999999999</v>
      </c>
      <c r="N17" s="187" t="s">
        <v>252</v>
      </c>
      <c r="O17" s="183">
        <f>+elec_pmts_info!H9</f>
        <v>120.321197096478</v>
      </c>
      <c r="P17" s="184">
        <f>+elec_pmts_info!I9</f>
        <v>141.92821043429794</v>
      </c>
    </row>
    <row r="18" ht="18.75">
      <c r="B18" s="154" t="s">
        <v>168</v>
      </c>
      <c r="C18" s="133">
        <v>112.5</v>
      </c>
      <c r="D18" s="151">
        <v>500</v>
      </c>
      <c r="E18" s="155">
        <v>131.19999999999999</v>
      </c>
      <c r="F18" s="151">
        <v>500</v>
      </c>
      <c r="I18" s="371"/>
      <c r="J18" s="175" t="s">
        <v>167</v>
      </c>
      <c r="K18" s="140">
        <v>112.5</v>
      </c>
      <c r="L18" s="141">
        <v>131.19999999999999</v>
      </c>
    </row>
    <row r="19" ht="18.75">
      <c r="B19" s="157" t="s">
        <v>167</v>
      </c>
      <c r="C19" s="134">
        <v>112.5</v>
      </c>
      <c r="D19" s="158"/>
      <c r="E19" s="159">
        <v>131.19999999999999</v>
      </c>
      <c r="F19" s="158"/>
      <c r="I19" s="372" t="s">
        <v>48</v>
      </c>
      <c r="J19" s="174" t="s">
        <v>169</v>
      </c>
      <c r="K19" s="137">
        <v>91.17</v>
      </c>
      <c r="L19" s="138">
        <v>91.17</v>
      </c>
    </row>
    <row r="20" ht="18.75">
      <c r="B20" s="150" t="s">
        <v>48</v>
      </c>
      <c r="C20" s="151"/>
      <c r="D20" s="151"/>
      <c r="F20" s="151"/>
      <c r="I20" s="370"/>
      <c r="J20" s="174" t="s">
        <v>168</v>
      </c>
      <c r="K20" s="137">
        <v>112.5</v>
      </c>
      <c r="L20" s="139">
        <v>131.19999999999999</v>
      </c>
    </row>
    <row r="21" ht="19.5" thickBot="true">
      <c r="B21" s="154" t="s">
        <v>169</v>
      </c>
      <c r="C21" s="133">
        <v>91.17</v>
      </c>
      <c r="D21" s="151">
        <v>150</v>
      </c>
      <c r="E21" s="10">
        <v>91.17</v>
      </c>
      <c r="F21" s="151">
        <v>150</v>
      </c>
      <c r="I21" s="373"/>
      <c r="J21" s="176" t="s">
        <v>167</v>
      </c>
      <c r="K21" s="142">
        <v>124.62</v>
      </c>
      <c r="L21" s="143">
        <v>145.30000000000001</v>
      </c>
      <c r="N21" s="150"/>
    </row>
    <row r="22" ht="20.25" thickTop="true" thickBot="true">
      <c r="B22" s="154" t="s">
        <v>168</v>
      </c>
      <c r="C22" s="133">
        <v>112.5</v>
      </c>
      <c r="D22" s="151">
        <v>250</v>
      </c>
      <c r="E22" s="155">
        <v>131.19999999999999</v>
      </c>
      <c r="F22" s="151">
        <v>250</v>
      </c>
      <c r="I22" s="379" t="s">
        <v>253</v>
      </c>
      <c r="J22" s="379"/>
      <c r="K22" s="380">
        <f>elec_pmts_info!E6</f>
        <v>158.4</v>
      </c>
      <c r="L22" s="380"/>
    </row>
    <row r="23" ht="16.5" thickTop="true" thickBot="true">
      <c r="B23" s="160" t="s">
        <v>167</v>
      </c>
      <c r="C23" s="135">
        <v>124.62</v>
      </c>
      <c r="D23" s="161"/>
      <c r="E23" s="162">
        <v>145.30000000000001</v>
      </c>
      <c r="F23" s="163"/>
      <c r="J23" s="150"/>
      <c r="K23" s="151"/>
    </row>
    <row r="24" ht="17.1" customHeight="true" thickTop="true" thickBot="true">
      <c r="B24" s="381" t="s">
        <v>172</v>
      </c>
      <c r="C24" s="381"/>
      <c r="D24" s="381"/>
      <c r="E24" s="381"/>
      <c r="F24" s="381"/>
      <c r="I24" s="152" t="s">
        <v>270</v>
      </c>
      <c r="J24" s="152"/>
      <c r="K24" s="152"/>
      <c r="L24" s="152"/>
      <c r="M24" s="152"/>
    </row>
    <row r="25" ht="15.95" customHeight="true" thickTop="true">
      <c r="B25" s="150" t="s">
        <v>171</v>
      </c>
      <c r="C25" s="151"/>
      <c r="D25" s="151"/>
      <c r="I25" s="136"/>
      <c r="J25" s="136"/>
      <c r="K25" s="136" t="s">
        <v>249</v>
      </c>
      <c r="L25" s="136" t="s">
        <v>128</v>
      </c>
      <c r="M25" s="150"/>
    </row>
    <row r="26" ht="18.75">
      <c r="A26" s="164"/>
      <c r="B26" s="154" t="s">
        <v>169</v>
      </c>
      <c r="C26" s="165">
        <v>96.72</v>
      </c>
      <c r="D26" s="151">
        <v>300</v>
      </c>
      <c r="E26" s="10">
        <v>96.7</v>
      </c>
      <c r="F26" s="151">
        <v>300</v>
      </c>
      <c r="I26" s="370" t="s">
        <v>46</v>
      </c>
      <c r="J26" s="174" t="s">
        <v>169</v>
      </c>
      <c r="K26" s="189">
        <v>96.72</v>
      </c>
      <c r="L26" s="195">
        <v>96.7</v>
      </c>
      <c r="M26" s="164"/>
    </row>
    <row r="27" ht="18.75">
      <c r="A27" s="164"/>
      <c r="B27" s="154" t="s">
        <v>168</v>
      </c>
      <c r="C27" s="166">
        <v>113.38</v>
      </c>
      <c r="D27" s="151">
        <v>500</v>
      </c>
      <c r="E27" s="155">
        <v>132.19999999999999</v>
      </c>
      <c r="F27" s="151">
        <v>500</v>
      </c>
      <c r="I27" s="370"/>
      <c r="J27" s="174" t="s">
        <v>168</v>
      </c>
      <c r="K27" s="190">
        <v>113.38</v>
      </c>
      <c r="L27" s="196">
        <v>132.19999999999999</v>
      </c>
      <c r="M27" s="164"/>
    </row>
    <row r="28" ht="18.75">
      <c r="B28" s="157" t="s">
        <v>167</v>
      </c>
      <c r="C28" s="167">
        <v>113.38</v>
      </c>
      <c r="D28" s="158"/>
      <c r="E28" s="159">
        <v>132.19999999999999</v>
      </c>
      <c r="F28" s="158"/>
      <c r="I28" s="371"/>
      <c r="J28" s="175" t="s">
        <v>167</v>
      </c>
      <c r="K28" s="191">
        <v>113.38</v>
      </c>
      <c r="L28" s="197">
        <v>132.19999999999999</v>
      </c>
      <c r="M28" s="164"/>
    </row>
    <row r="29" ht="18.75">
      <c r="B29" s="150" t="s">
        <v>170</v>
      </c>
      <c r="C29" s="151"/>
      <c r="D29" s="151"/>
      <c r="F29" s="151"/>
      <c r="I29" s="372" t="s">
        <v>48</v>
      </c>
      <c r="J29" s="174" t="s">
        <v>169</v>
      </c>
      <c r="K29" s="192">
        <v>96.72</v>
      </c>
      <c r="L29" s="195">
        <v>96.7</v>
      </c>
      <c r="M29" s="164"/>
    </row>
    <row r="30" ht="18.75">
      <c r="B30" s="154" t="s">
        <v>169</v>
      </c>
      <c r="C30" s="168">
        <v>96.72</v>
      </c>
      <c r="D30" s="151">
        <v>150</v>
      </c>
      <c r="E30" s="10">
        <v>96.7</v>
      </c>
      <c r="F30" s="151">
        <v>150</v>
      </c>
      <c r="I30" s="370"/>
      <c r="J30" s="174" t="s">
        <v>168</v>
      </c>
      <c r="K30" s="193">
        <v>113.38</v>
      </c>
      <c r="L30" s="196">
        <v>132.19999999999999</v>
      </c>
      <c r="M30" s="164"/>
    </row>
    <row r="31" ht="19.5" thickBot="true">
      <c r="B31" s="154" t="s">
        <v>168</v>
      </c>
      <c r="C31" s="169">
        <v>113.38</v>
      </c>
      <c r="D31" s="151">
        <v>250</v>
      </c>
      <c r="E31" s="155">
        <v>132.19999999999999</v>
      </c>
      <c r="F31" s="151">
        <v>250</v>
      </c>
      <c r="I31" s="373"/>
      <c r="J31" s="176" t="s">
        <v>167</v>
      </c>
      <c r="K31" s="194">
        <v>123.92</v>
      </c>
      <c r="L31" s="198">
        <v>144.5</v>
      </c>
      <c r="M31" s="164"/>
    </row>
    <row r="32" ht="16.5" thickTop="true" thickBot="true">
      <c r="B32" s="160" t="s">
        <v>167</v>
      </c>
      <c r="C32" s="170">
        <v>123.92</v>
      </c>
      <c r="D32" s="161"/>
      <c r="E32" s="159">
        <v>144.5</v>
      </c>
      <c r="F32" s="163"/>
      <c r="I32" s="164"/>
      <c r="J32" s="171"/>
      <c r="K32" s="153"/>
      <c r="L32" s="164"/>
      <c r="M32" s="164"/>
    </row>
    <row r="33" ht="18.95" customHeight="true" thickTop="true" thickBot="true">
      <c r="B33" s="172" t="s">
        <v>166</v>
      </c>
      <c r="C33" s="173">
        <v>114</v>
      </c>
      <c r="D33" s="172"/>
      <c r="E33" s="172"/>
      <c r="F33" s="172"/>
      <c r="J33" s="156"/>
      <c r="K33" s="153"/>
      <c r="M33" s="164"/>
    </row>
    <row r="34" ht="15.75" thickTop="true">
      <c r="J34" s="156"/>
      <c r="K34" s="153"/>
    </row>
    <row r="35">
      <c r="J35" s="156"/>
      <c r="K35" s="153"/>
    </row>
  </sheetData>
  <protectedRanges>
    <protectedRange sqref="C30 C17:D19 C21 C26 F17:F19 D26:D28 F26:F28 K16:K19 K26 K29" name="Range1_2_1"/>
    <protectedRange sqref="D21 C22:D23 F21:F22 D30:D31 F30:F31 K20:K21" name="Range2_2_1"/>
  </protectedRanges>
  <mergeCells count="16">
    <mergeCell ref="I26:I28"/>
    <mergeCell ref="I29:I31"/>
    <mergeCell ref="I22:J22"/>
    <mergeCell ref="K22:L22"/>
    <mergeCell ref="B24:F24"/>
    <mergeCell ref="F9:J9"/>
    <mergeCell ref="F10:J10"/>
    <mergeCell ref="F11:J11"/>
    <mergeCell ref="A9:C9"/>
    <mergeCell ref="A10:C10"/>
    <mergeCell ref="A11:C11"/>
    <mergeCell ref="I16:I18"/>
    <mergeCell ref="I19:I21"/>
    <mergeCell ref="C13:D13"/>
    <mergeCell ref="E13:F13"/>
    <mergeCell ref="B15:F15"/>
  </mergeCells>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4CB34-025E-C844-910A-3234253B3B34}">
  <dimension ref="A1:L19"/>
  <sheetViews>
    <sheetView workbookViewId="0">
      <selection activeCell="D5" sqref="D5"/>
    </sheetView>
  </sheetViews>
  <sheetFormatPr defaultColWidth="11.42578125" defaultRowHeight="15"/>
  <cols>
    <col min="1" max="1" width="29.42578125" style="39" customWidth="true"/>
    <col min="2" max="7" width="11.42578125" style="39"/>
    <col min="8" max="8" width="14.140625" style="39" customWidth="true"/>
    <col min="9" max="9" width="14" style="39" customWidth="true"/>
    <col min="10" max="16384" width="11.42578125" style="39"/>
  </cols>
  <sheetData>
    <row r="1">
      <c r="A1" s="49" t="s">
        <v>57</v>
      </c>
      <c r="B1" s="49"/>
      <c r="K1" s="49" t="s">
        <v>58</v>
      </c>
      <c r="L1" s="39">
        <v>1.13868685</v>
      </c>
    </row>
    <row r="2" ht="15.75" thickBot="true">
      <c r="A2" s="10"/>
      <c r="B2" s="10"/>
      <c r="C2" s="10"/>
      <c r="D2" s="10"/>
    </row>
    <row r="3" ht="48" thickTop="true">
      <c r="A3" s="15"/>
      <c r="B3" s="15" t="s">
        <v>142</v>
      </c>
      <c r="C3" s="15" t="s">
        <v>250</v>
      </c>
    </row>
    <row r="4">
      <c r="A4" s="178" t="s">
        <v>151</v>
      </c>
      <c r="B4" s="38">
        <f>+Fuels_pmts_info!M13</f>
        <v>476.06700000000001</v>
      </c>
      <c r="C4" s="38">
        <f>+Fuels_pmts_info!M20</f>
        <v>476.06700000000001</v>
      </c>
    </row>
    <row r="5">
      <c r="A5" s="199" t="s">
        <v>254</v>
      </c>
      <c r="B5" s="121">
        <f>+Fuels_pmts_info!M14</f>
        <v>890.03994000000012</v>
      </c>
      <c r="C5" s="121">
        <f>+Fuels_pmts_info!M21</f>
        <v>989.98594000000003</v>
      </c>
    </row>
    <row r="6">
      <c r="A6" s="199" t="s">
        <v>146</v>
      </c>
      <c r="B6" s="38">
        <f>+Fuels_pmts_info!M15</f>
        <v>664.9997800000001</v>
      </c>
      <c r="C6" s="38">
        <f>+Fuels_pmts_info!M22</f>
        <v>664.9997800000001</v>
      </c>
    </row>
    <row r="7">
      <c r="A7" s="200" t="s">
        <v>145</v>
      </c>
      <c r="B7" s="38">
        <f>+Fuels_pmts_info!M16</f>
        <v>496.99964</v>
      </c>
      <c r="C7" s="38">
        <f>+Fuels_pmts_info!M23</f>
        <v>496.99964</v>
      </c>
    </row>
    <row r="8">
      <c r="A8" s="178" t="s">
        <v>150</v>
      </c>
      <c r="B8" s="38">
        <f>+Fuels_pmts_info!M17</f>
        <v>409.99941999999999</v>
      </c>
      <c r="C8" s="38">
        <f>+Fuels_pmts_info!M24</f>
        <v>409.99941999999999</v>
      </c>
    </row>
    <row r="9">
      <c r="A9" s="180" t="s">
        <v>149</v>
      </c>
      <c r="B9" s="122">
        <f>+Fuels_pmts_info!M18</f>
        <v>655.00045999999998</v>
      </c>
      <c r="C9" s="122">
        <f>+Fuels_pmts_info!M25</f>
        <v>755.00900000000001</v>
      </c>
    </row>
    <row r="16">
      <c r="D16" s="50"/>
    </row>
    <row r="17">
      <c r="D17" s="50"/>
    </row>
    <row r="19" ht="17.1" customHeight="true"/>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F2B08-FE2A-4B21-AF3D-C31DA4D8F072}">
  <dimension ref="C3:N56"/>
  <sheetViews>
    <sheetView topLeftCell="A19" zoomScaleNormal="100" workbookViewId="0">
      <selection activeCell="C38" sqref="C38:M65"/>
    </sheetView>
  </sheetViews>
  <sheetFormatPr defaultColWidth="9.140625" defaultRowHeight="15"/>
  <cols>
    <col min="1" max="2" width="9.140625" style="52"/>
    <col min="3" max="3" width="20.42578125" style="52" customWidth="true"/>
    <col min="4" max="5" width="17.42578125" style="52" customWidth="true"/>
    <col min="6" max="13" width="13.28515625" style="52" customWidth="true"/>
    <col min="14" max="15" width="12" style="52" bestFit="true" customWidth="true"/>
    <col min="16" max="16" width="9.140625" style="52"/>
    <col min="17" max="17" width="11" style="52" bestFit="true" customWidth="true"/>
    <col min="18" max="16384" width="9.140625" style="52"/>
  </cols>
  <sheetData>
    <row r="3" ht="16.5" thickBot="true">
      <c r="C3" s="102" t="s">
        <v>193</v>
      </c>
      <c r="G3" s="74"/>
      <c r="H3" s="74"/>
      <c r="I3" s="74"/>
      <c r="J3" s="74"/>
      <c r="K3" s="74"/>
      <c r="L3" s="74"/>
      <c r="M3" s="74"/>
    </row>
    <row r="4" s="103" customFormat="true" ht="62.25" customHeight="true" thickTop="true">
      <c r="C4" s="104"/>
      <c r="D4" s="105" t="s">
        <v>178</v>
      </c>
      <c r="E4" s="106" t="s">
        <v>179</v>
      </c>
      <c r="F4" s="105" t="s">
        <v>180</v>
      </c>
      <c r="G4" s="107" t="s">
        <v>181</v>
      </c>
      <c r="H4" s="71" t="s">
        <v>182</v>
      </c>
      <c r="I4" s="71" t="s">
        <v>183</v>
      </c>
      <c r="J4" s="71" t="s">
        <v>184</v>
      </c>
      <c r="K4" s="71" t="s">
        <v>185</v>
      </c>
      <c r="L4" s="71" t="s">
        <v>186</v>
      </c>
      <c r="M4" s="71" t="s">
        <v>187</v>
      </c>
    </row>
    <row r="5" ht="42" customHeight="true" thickBot="true">
      <c r="C5" s="382" t="s">
        <v>194</v>
      </c>
      <c r="D5" s="382"/>
      <c r="E5" s="382"/>
      <c r="F5" s="382"/>
      <c r="G5" s="382"/>
      <c r="H5" s="382"/>
      <c r="I5" s="382"/>
      <c r="J5" s="382"/>
      <c r="K5" s="382"/>
      <c r="L5" s="382"/>
      <c r="M5" s="382"/>
    </row>
    <row r="6" ht="15.75" thickTop="true">
      <c r="C6" s="52" t="s">
        <v>129</v>
      </c>
      <c r="D6" s="108">
        <v>655877.13850000012</v>
      </c>
      <c r="E6" s="109">
        <v>1</v>
      </c>
      <c r="F6" s="68">
        <f>+D6/E6/1000</f>
        <v>655.87713850000011</v>
      </c>
      <c r="G6" s="55">
        <f>6395/1000</f>
        <v>6.3949999999999996</v>
      </c>
      <c r="H6" s="55"/>
      <c r="I6" s="55">
        <f>122630/1000</f>
        <v>122.63</v>
      </c>
      <c r="J6" s="55"/>
      <c r="K6" s="55">
        <f>+(F6+SUM(G6:I6))*0</f>
        <v>0</v>
      </c>
      <c r="L6" s="55">
        <f>23.3+12</f>
        <v>35.299999999999997</v>
      </c>
      <c r="M6" s="55">
        <f>+SUM(F6:I6,K6,L6)</f>
        <v>820.20213850000005</v>
      </c>
    </row>
    <row r="7">
      <c r="C7" s="52" t="s">
        <v>130</v>
      </c>
      <c r="D7" s="108">
        <v>732465.14504000009</v>
      </c>
      <c r="E7" s="109">
        <v>1.353</v>
      </c>
      <c r="F7" s="68">
        <f t="shared" ref="F7:F8" si="0">+D7/E7/1000</f>
        <v>541.36374356245392</v>
      </c>
      <c r="G7" s="55">
        <f>54333/1000</f>
        <v>54.332999999999998</v>
      </c>
      <c r="H7" s="55">
        <f>216650/1000</f>
        <v>216.65</v>
      </c>
      <c r="I7" s="55">
        <f>69700/1000</f>
        <v>69.7</v>
      </c>
      <c r="J7" s="55">
        <f>20000/1000</f>
        <v>20</v>
      </c>
      <c r="K7" s="55">
        <f>+(F7+SUM(G7:I7))*0.18</f>
        <v>158.76841384124171</v>
      </c>
      <c r="L7" s="55">
        <f>14500/1000</f>
        <v>14.5</v>
      </c>
      <c r="M7" s="55">
        <f>+SUM(F7:I7,K7,L7)</f>
        <v>1055.3151574036956</v>
      </c>
    </row>
    <row r="8">
      <c r="C8" s="52" t="s">
        <v>131</v>
      </c>
      <c r="D8" s="52">
        <v>723771</v>
      </c>
      <c r="E8" s="109">
        <v>1.373</v>
      </c>
      <c r="F8" s="68">
        <f t="shared" si="0"/>
        <v>527.14566642388934</v>
      </c>
      <c r="G8" s="55">
        <f>52819/1000</f>
        <v>52.819000000000003</v>
      </c>
      <c r="H8" s="55">
        <f>198470/1000</f>
        <v>198.47</v>
      </c>
      <c r="I8" s="55">
        <f>69700/1000</f>
        <v>69.7</v>
      </c>
      <c r="J8" s="55">
        <f>20000/1000</f>
        <v>20</v>
      </c>
      <c r="K8" s="55">
        <f>+(F8+SUM(G8:I8))*0.18</f>
        <v>152.66423995630007</v>
      </c>
      <c r="L8" s="55">
        <f>14500/1000</f>
        <v>14.5</v>
      </c>
      <c r="M8" s="55">
        <f>+SUM(F8:I8,K8,L8)</f>
        <v>1015.2989063801895</v>
      </c>
    </row>
    <row r="9">
      <c r="C9" s="52" t="s">
        <v>132</v>
      </c>
      <c r="D9" s="108">
        <v>703176.29934000003</v>
      </c>
      <c r="E9" s="109">
        <v>1.373</v>
      </c>
      <c r="F9" s="68">
        <f>+D9/E9/1000</f>
        <v>512.14588444282595</v>
      </c>
      <c r="G9" s="55">
        <f>52819/1000</f>
        <v>52.819000000000003</v>
      </c>
      <c r="H9" s="55">
        <f>38560/1000</f>
        <v>38.56</v>
      </c>
      <c r="I9" s="55">
        <f>100775/1000</f>
        <v>100.77500000000001</v>
      </c>
      <c r="J9" s="55">
        <f>20000/1000</f>
        <v>20</v>
      </c>
      <c r="K9" s="55">
        <f>+(F9+SUM(G9:I9))*0.18</f>
        <v>126.77397919970866</v>
      </c>
      <c r="L9" s="55">
        <f>14500/1000</f>
        <v>14.5</v>
      </c>
      <c r="M9" s="55">
        <f t="shared" ref="M9" si="1">+SUM(F9:I9,K9,L9)</f>
        <v>845.57386364253443</v>
      </c>
    </row>
    <row r="10">
      <c r="C10" s="52" t="s">
        <v>189</v>
      </c>
      <c r="D10" s="108">
        <v>773385.09934000007</v>
      </c>
      <c r="E10" s="109">
        <v>1.2350000000000001</v>
      </c>
      <c r="F10" s="68">
        <f>+D10/E10/1000</f>
        <v>626.22275250202426</v>
      </c>
      <c r="G10" s="55">
        <f>35432/1000</f>
        <v>35.432000000000002</v>
      </c>
      <c r="H10" s="55">
        <v>0</v>
      </c>
      <c r="I10" s="55">
        <f>69700/1000</f>
        <v>69.7</v>
      </c>
      <c r="J10" s="55">
        <f>20000/1000</f>
        <v>20</v>
      </c>
      <c r="K10" s="55">
        <f>+(F10+SUM(G10:I10))*0.18</f>
        <v>131.64385545036436</v>
      </c>
      <c r="L10" s="55">
        <f>14500/1000</f>
        <v>14.5</v>
      </c>
      <c r="M10" s="55">
        <f>+SUM(F10:I10,K10,L10)</f>
        <v>877.49860795238874</v>
      </c>
    </row>
    <row r="11">
      <c r="C11" s="52" t="s">
        <v>134</v>
      </c>
      <c r="D11" s="108">
        <v>726552.23043999996</v>
      </c>
      <c r="E11" s="109">
        <v>1.1599999999999999</v>
      </c>
      <c r="F11" s="68">
        <f>+D11/E11/1000</f>
        <v>626.33812968965515</v>
      </c>
      <c r="G11" s="55">
        <f>62900/1000</f>
        <v>62.9</v>
      </c>
      <c r="H11" s="55">
        <f>103950/1000</f>
        <v>103.95</v>
      </c>
      <c r="I11" s="55">
        <f>69700/1000</f>
        <v>69.7</v>
      </c>
      <c r="J11" s="55">
        <f>20000/1000</f>
        <v>20</v>
      </c>
      <c r="K11" s="55">
        <f>+(F11+SUM(G11:I11))*0.18</f>
        <v>155.31986334413793</v>
      </c>
      <c r="L11" s="55">
        <f>14500/1000</f>
        <v>14.5</v>
      </c>
      <c r="M11" s="55">
        <f>+SUM(F11:I11,K11,L11)</f>
        <v>1032.7079930337932</v>
      </c>
    </row>
    <row r="12" ht="25.5" customHeight="true">
      <c r="C12" s="383" t="s">
        <v>195</v>
      </c>
      <c r="D12" s="383"/>
      <c r="E12" s="383"/>
      <c r="F12" s="383"/>
      <c r="G12" s="383"/>
      <c r="H12" s="383"/>
      <c r="I12" s="383"/>
      <c r="J12" s="383"/>
      <c r="K12" s="383"/>
      <c r="L12" s="383"/>
      <c r="M12" s="383"/>
    </row>
    <row r="13">
      <c r="C13" s="52" t="s">
        <v>129</v>
      </c>
      <c r="F13" s="68">
        <f>311742/1000</f>
        <v>311.74200000000002</v>
      </c>
      <c r="G13" s="55">
        <f>6395/1000</f>
        <v>6.3949999999999996</v>
      </c>
      <c r="H13" s="55"/>
      <c r="I13" s="55">
        <f>122630/1000</f>
        <v>122.63</v>
      </c>
      <c r="J13" s="55"/>
      <c r="K13" s="55">
        <f>+(F13+SUM(G13:I13))*0</f>
        <v>0</v>
      </c>
      <c r="L13" s="55">
        <f>23.3+12</f>
        <v>35.299999999999997</v>
      </c>
      <c r="M13" s="55">
        <f>+SUM(F13:I13,K13,L13)</f>
        <v>476.06700000000001</v>
      </c>
    </row>
    <row r="14">
      <c r="C14" s="52" t="s">
        <v>130</v>
      </c>
      <c r="F14" s="68">
        <f>401300/1000</f>
        <v>401.3</v>
      </c>
      <c r="G14" s="55">
        <f>54333/1000</f>
        <v>54.332999999999998</v>
      </c>
      <c r="H14" s="55">
        <f>216650/1000</f>
        <v>216.65</v>
      </c>
      <c r="I14" s="55">
        <f>69700/1000</f>
        <v>69.7</v>
      </c>
      <c r="J14" s="55">
        <f>20000/1000</f>
        <v>20</v>
      </c>
      <c r="K14" s="55">
        <f>+(F14+SUM(G14:I14))*0.18</f>
        <v>133.55694</v>
      </c>
      <c r="L14" s="55">
        <f>14500/1000</f>
        <v>14.5</v>
      </c>
      <c r="M14" s="66">
        <f>+SUM(F14:I14,K14,L14)</f>
        <v>890.03994000000012</v>
      </c>
    </row>
    <row r="15">
      <c r="C15" s="52" t="s">
        <v>131</v>
      </c>
      <c r="F15" s="68">
        <f>230282/1000</f>
        <v>230.28200000000001</v>
      </c>
      <c r="G15" s="55">
        <f>52819/1000</f>
        <v>52.819000000000003</v>
      </c>
      <c r="H15" s="55">
        <f>198470/1000</f>
        <v>198.47</v>
      </c>
      <c r="I15" s="55">
        <f>69700/1000</f>
        <v>69.7</v>
      </c>
      <c r="J15" s="55">
        <f>20000/1000</f>
        <v>20</v>
      </c>
      <c r="K15" s="55">
        <f>+(F15+SUM(G15:I15))*0.18</f>
        <v>99.228779999999986</v>
      </c>
      <c r="L15" s="55">
        <f>14500/1000</f>
        <v>14.5</v>
      </c>
      <c r="M15" s="55">
        <f t="shared" ref="M15:M18" si="2">+SUM(F15:I15,K15,L15)</f>
        <v>664.9997800000001</v>
      </c>
    </row>
    <row r="16">
      <c r="C16" s="52" t="s">
        <v>132</v>
      </c>
      <c r="F16" s="68">
        <f>216744/1000</f>
        <v>216.744</v>
      </c>
      <c r="G16" s="55">
        <f>52819/1000</f>
        <v>52.819000000000003</v>
      </c>
      <c r="H16" s="55">
        <f>38560/1000</f>
        <v>38.56</v>
      </c>
      <c r="I16" s="55">
        <f>100775/1000</f>
        <v>100.77500000000001</v>
      </c>
      <c r="J16" s="55">
        <f>20000/1000</f>
        <v>20</v>
      </c>
      <c r="K16" s="55">
        <f>+(F16+SUM(G16:I16))*0.18</f>
        <v>73.601640000000003</v>
      </c>
      <c r="L16" s="55">
        <f>14500/1000</f>
        <v>14.5</v>
      </c>
      <c r="M16" s="55">
        <f t="shared" si="2"/>
        <v>496.99964</v>
      </c>
    </row>
    <row r="17">
      <c r="C17" s="52" t="s">
        <v>133</v>
      </c>
      <c r="F17" s="68">
        <f>230037/1000</f>
        <v>230.03700000000001</v>
      </c>
      <c r="G17" s="55">
        <f>35432/1000</f>
        <v>35.432000000000002</v>
      </c>
      <c r="H17" s="55">
        <v>0</v>
      </c>
      <c r="I17" s="55">
        <f>69700/1000</f>
        <v>69.7</v>
      </c>
      <c r="J17" s="55">
        <f>20000/1000</f>
        <v>20</v>
      </c>
      <c r="K17" s="55">
        <f>+(F17+SUM(G17:I17))*0.18</f>
        <v>60.330419999999997</v>
      </c>
      <c r="L17" s="55">
        <f>14500/1000</f>
        <v>14.5</v>
      </c>
      <c r="M17" s="55">
        <f t="shared" si="2"/>
        <v>409.99941999999999</v>
      </c>
    </row>
    <row r="18">
      <c r="C18" s="52" t="s">
        <v>134</v>
      </c>
      <c r="F18" s="68">
        <f>306247/1000</f>
        <v>306.24700000000001</v>
      </c>
      <c r="G18" s="55">
        <f>62900/1000</f>
        <v>62.9</v>
      </c>
      <c r="H18" s="55">
        <f>103950/1000</f>
        <v>103.95</v>
      </c>
      <c r="I18" s="55">
        <f>69700/1000</f>
        <v>69.7</v>
      </c>
      <c r="J18" s="55">
        <f>20000/1000</f>
        <v>20</v>
      </c>
      <c r="K18" s="55">
        <f>+(F18+SUM(G18:I18))*0.18</f>
        <v>97.703460000000007</v>
      </c>
      <c r="L18" s="55">
        <f>14500/1000</f>
        <v>14.5</v>
      </c>
      <c r="M18" s="66">
        <f t="shared" si="2"/>
        <v>655.00045999999998</v>
      </c>
    </row>
    <row r="19" ht="25.5" customHeight="true">
      <c r="C19" s="383" t="s">
        <v>196</v>
      </c>
      <c r="D19" s="383"/>
      <c r="E19" s="383"/>
      <c r="F19" s="383"/>
      <c r="G19" s="383"/>
      <c r="H19" s="383"/>
      <c r="I19" s="383"/>
      <c r="J19" s="383"/>
      <c r="K19" s="383"/>
      <c r="L19" s="383"/>
      <c r="M19" s="383"/>
    </row>
    <row r="20">
      <c r="C20" s="52" t="s">
        <v>129</v>
      </c>
      <c r="F20" s="82">
        <f>311742/1000</f>
        <v>311.74200000000002</v>
      </c>
      <c r="G20" s="55">
        <f>6395/1000</f>
        <v>6.3949999999999996</v>
      </c>
      <c r="I20" s="52">
        <f>122630/1000</f>
        <v>122.63</v>
      </c>
      <c r="K20" s="52">
        <f>+(F20+SUM(G20:I20))*0</f>
        <v>0</v>
      </c>
      <c r="L20" s="52">
        <f>23.3+12</f>
        <v>35.299999999999997</v>
      </c>
      <c r="M20" s="55">
        <f>+SUM(F20:I20,K20,L20)</f>
        <v>476.06700000000001</v>
      </c>
      <c r="N20" s="55"/>
    </row>
    <row r="21">
      <c r="C21" s="52" t="s">
        <v>130</v>
      </c>
      <c r="F21" s="82">
        <f>486000/1000</f>
        <v>486</v>
      </c>
      <c r="G21" s="113">
        <f>54333/1000</f>
        <v>54.332999999999998</v>
      </c>
      <c r="H21" s="113">
        <f>216650/1000</f>
        <v>216.65</v>
      </c>
      <c r="I21" s="113">
        <f>69700/1000</f>
        <v>69.7</v>
      </c>
      <c r="J21" s="113">
        <f>20000/1000</f>
        <v>20</v>
      </c>
      <c r="K21" s="52">
        <f>+(F21+SUM(G21:I21))*0.18</f>
        <v>148.80294000000001</v>
      </c>
      <c r="L21" s="52">
        <f>14500/1000</f>
        <v>14.5</v>
      </c>
      <c r="M21" s="66">
        <f>+SUM(F21:I21,K21,L21)</f>
        <v>989.98594000000003</v>
      </c>
      <c r="N21" s="55"/>
    </row>
    <row r="22">
      <c r="C22" s="52" t="s">
        <v>131</v>
      </c>
      <c r="F22" s="82">
        <f>230282/1000</f>
        <v>230.28200000000001</v>
      </c>
      <c r="G22" s="113">
        <f>52819/1000</f>
        <v>52.819000000000003</v>
      </c>
      <c r="H22" s="113">
        <f>198470/1000</f>
        <v>198.47</v>
      </c>
      <c r="I22" s="113">
        <f>69700/1000</f>
        <v>69.7</v>
      </c>
      <c r="J22" s="113">
        <f>20000/1000</f>
        <v>20</v>
      </c>
      <c r="K22" s="52">
        <f>+(F22+SUM(G22:I22))*0.18</f>
        <v>99.228779999999986</v>
      </c>
      <c r="L22" s="52">
        <f>14500/1000</f>
        <v>14.5</v>
      </c>
      <c r="M22" s="55">
        <f t="shared" ref="M22:M25" si="3">+SUM(F22:I22,K22,L22)</f>
        <v>664.9997800000001</v>
      </c>
      <c r="N22" s="55"/>
    </row>
    <row r="23">
      <c r="C23" s="52" t="s">
        <v>132</v>
      </c>
      <c r="F23" s="82">
        <f>216744/1000</f>
        <v>216.744</v>
      </c>
      <c r="G23" s="113">
        <f>52819/1000</f>
        <v>52.819000000000003</v>
      </c>
      <c r="H23" s="113">
        <f>38560/1000</f>
        <v>38.56</v>
      </c>
      <c r="I23" s="113">
        <f>100775/1000</f>
        <v>100.77500000000001</v>
      </c>
      <c r="J23" s="113">
        <f>20000/1000</f>
        <v>20</v>
      </c>
      <c r="K23" s="52">
        <f>+(F23+SUM(G23:I23))*0.18</f>
        <v>73.601640000000003</v>
      </c>
      <c r="L23" s="52">
        <f>14500/1000</f>
        <v>14.5</v>
      </c>
      <c r="M23" s="55">
        <f t="shared" si="3"/>
        <v>496.99964</v>
      </c>
      <c r="N23" s="55"/>
    </row>
    <row r="24">
      <c r="C24" s="52" t="s">
        <v>133</v>
      </c>
      <c r="F24" s="82">
        <f>230037/1000</f>
        <v>230.03700000000001</v>
      </c>
      <c r="G24" s="113">
        <f>35432/1000</f>
        <v>35.432000000000002</v>
      </c>
      <c r="H24" s="113">
        <v>0</v>
      </c>
      <c r="I24" s="113">
        <f>69700/1000</f>
        <v>69.7</v>
      </c>
      <c r="J24" s="113">
        <f>20000/1000</f>
        <v>20</v>
      </c>
      <c r="K24" s="52">
        <f>+(F24+SUM(G24:I24))*0.18</f>
        <v>60.330419999999997</v>
      </c>
      <c r="L24" s="52">
        <f>14500/1000</f>
        <v>14.5</v>
      </c>
      <c r="M24" s="55">
        <f t="shared" si="3"/>
        <v>409.99941999999999</v>
      </c>
      <c r="N24" s="55"/>
    </row>
    <row r="25" ht="15.75" thickBot="true">
      <c r="C25" s="74" t="s">
        <v>134</v>
      </c>
      <c r="D25" s="74"/>
      <c r="E25" s="74"/>
      <c r="F25" s="88">
        <f>391000/1000</f>
        <v>391</v>
      </c>
      <c r="G25" s="114">
        <f>62900/1000</f>
        <v>62.9</v>
      </c>
      <c r="H25" s="114">
        <f>103950/1000</f>
        <v>103.95</v>
      </c>
      <c r="I25" s="114">
        <f>69700/1000</f>
        <v>69.7</v>
      </c>
      <c r="J25" s="114">
        <f>20000/1000</f>
        <v>20</v>
      </c>
      <c r="K25" s="74">
        <f>+(F25+SUM(G25:I25))*0.18</f>
        <v>112.95899999999999</v>
      </c>
      <c r="L25" s="74">
        <f>14500/1000</f>
        <v>14.5</v>
      </c>
      <c r="M25" s="115">
        <f t="shared" si="3"/>
        <v>755.00900000000001</v>
      </c>
      <c r="N25" s="55"/>
    </row>
    <row r="26" ht="15.75" thickTop="true">
      <c r="F26" s="82"/>
    </row>
    <row r="27">
      <c r="C27" s="52" t="s">
        <v>197</v>
      </c>
    </row>
    <row r="28">
      <c r="C28" s="112" t="s">
        <v>198</v>
      </c>
    </row>
    <row r="30">
      <c r="C30" s="52" t="s">
        <v>199</v>
      </c>
    </row>
    <row r="31">
      <c r="C31" s="52" t="s">
        <v>200</v>
      </c>
    </row>
    <row r="32">
      <c r="C32" s="52" t="s">
        <v>201</v>
      </c>
    </row>
    <row r="33">
      <c r="C33" s="52" t="s">
        <v>202</v>
      </c>
    </row>
    <row r="38" ht="16.5" thickBot="true">
      <c r="C38" s="102" t="s">
        <v>177</v>
      </c>
      <c r="G38" s="74"/>
      <c r="H38" s="74"/>
      <c r="I38" s="74"/>
      <c r="J38" s="74"/>
      <c r="K38" s="74"/>
      <c r="L38" s="74"/>
      <c r="M38" s="74"/>
    </row>
    <row r="39" ht="60.75" thickTop="true">
      <c r="C39" s="104"/>
      <c r="D39" s="105" t="s">
        <v>178</v>
      </c>
      <c r="E39" s="106" t="s">
        <v>179</v>
      </c>
      <c r="F39" s="105" t="s">
        <v>180</v>
      </c>
      <c r="G39" s="107" t="s">
        <v>181</v>
      </c>
      <c r="H39" s="71" t="s">
        <v>182</v>
      </c>
      <c r="I39" s="71" t="s">
        <v>183</v>
      </c>
      <c r="J39" s="71" t="s">
        <v>184</v>
      </c>
      <c r="K39" s="71" t="s">
        <v>185</v>
      </c>
      <c r="L39" s="71" t="s">
        <v>186</v>
      </c>
      <c r="M39" s="71" t="s">
        <v>187</v>
      </c>
    </row>
    <row r="40" ht="15.75" thickBot="true">
      <c r="C40" s="382" t="s">
        <v>188</v>
      </c>
      <c r="D40" s="382"/>
      <c r="E40" s="382"/>
      <c r="F40" s="382"/>
      <c r="G40" s="382"/>
      <c r="H40" s="382"/>
      <c r="I40" s="382"/>
      <c r="J40" s="382"/>
      <c r="K40" s="382"/>
      <c r="L40" s="382"/>
      <c r="M40" s="382"/>
    </row>
    <row r="41" ht="15.75" thickTop="true">
      <c r="C41" s="52" t="s">
        <v>129</v>
      </c>
      <c r="D41" s="108">
        <v>371064</v>
      </c>
      <c r="E41" s="109">
        <v>1</v>
      </c>
      <c r="F41" s="68">
        <f t="shared" ref="F41:F46" si="4">+D41/E41/1000</f>
        <v>371.06400000000002</v>
      </c>
      <c r="G41" s="55">
        <f>3611/1000</f>
        <v>3.6110000000000002</v>
      </c>
      <c r="H41" s="55"/>
      <c r="I41" s="55">
        <f>122630/1000</f>
        <v>122.63</v>
      </c>
      <c r="J41" s="55"/>
      <c r="K41" s="55">
        <f>+(F41+SUM(G41:I41))*0</f>
        <v>0</v>
      </c>
      <c r="L41" s="55">
        <f>(1000*0.21/9  + 1000*0.11/9)/1000</f>
        <v>3.5555555555555556E-2</v>
      </c>
      <c r="M41" s="55">
        <f t="shared" ref="M41:M46" si="5">+SUM(F41:I41,K41,L41)</f>
        <v>497.34055555555557</v>
      </c>
    </row>
    <row r="42">
      <c r="C42" s="52" t="s">
        <v>130</v>
      </c>
      <c r="D42" s="108">
        <v>443185</v>
      </c>
      <c r="E42" s="109">
        <v>1.353</v>
      </c>
      <c r="F42" s="68">
        <f t="shared" si="4"/>
        <v>327.55728011825573</v>
      </c>
      <c r="G42" s="55">
        <f>30585/1000</f>
        <v>30.585000000000001</v>
      </c>
      <c r="H42" s="55">
        <f>216650/1000</f>
        <v>216.65</v>
      </c>
      <c r="I42" s="55">
        <f>69700/1000</f>
        <v>69.7</v>
      </c>
      <c r="J42" s="55">
        <f>20000/1000</f>
        <v>20</v>
      </c>
      <c r="K42" s="55">
        <f>+(F42+SUM(G42:I42))*0.18</f>
        <v>116.00861042128602</v>
      </c>
      <c r="L42" s="55">
        <f>14500/1000</f>
        <v>14.5</v>
      </c>
      <c r="M42" s="55">
        <f t="shared" si="5"/>
        <v>775.00089053954173</v>
      </c>
    </row>
    <row r="43">
      <c r="C43" s="52" t="s">
        <v>131</v>
      </c>
      <c r="D43" s="52">
        <v>415526</v>
      </c>
      <c r="E43" s="109">
        <v>1.373</v>
      </c>
      <c r="F43" s="68">
        <f t="shared" si="4"/>
        <v>302.64093226511289</v>
      </c>
      <c r="G43" s="55">
        <f>29425/1000</f>
        <v>29.425000000000001</v>
      </c>
      <c r="H43" s="55">
        <f>198470/1000</f>
        <v>198.47</v>
      </c>
      <c r="I43" s="55">
        <f>69700/1000</f>
        <v>69.7</v>
      </c>
      <c r="J43" s="55">
        <f>20000/1000</f>
        <v>20</v>
      </c>
      <c r="K43" s="55">
        <f>+(F43+SUM(G43:I43))*0.18</f>
        <v>108.04246780772033</v>
      </c>
      <c r="L43" s="55">
        <f>14500/1000</f>
        <v>14.5</v>
      </c>
      <c r="M43" s="55">
        <f t="shared" si="5"/>
        <v>722.77840007283328</v>
      </c>
    </row>
    <row r="44">
      <c r="C44" s="52" t="s">
        <v>132</v>
      </c>
      <c r="D44" s="108">
        <v>394931</v>
      </c>
      <c r="E44" s="109">
        <v>1.373</v>
      </c>
      <c r="F44" s="68">
        <f t="shared" si="4"/>
        <v>287.64093226511289</v>
      </c>
      <c r="G44" s="55">
        <f>29425/1000</f>
        <v>29.425000000000001</v>
      </c>
      <c r="H44" s="55">
        <f>38560/1000</f>
        <v>38.56</v>
      </c>
      <c r="I44" s="55">
        <f>100775/1000</f>
        <v>100.77500000000001</v>
      </c>
      <c r="J44" s="55">
        <f>20000/1000</f>
        <v>20</v>
      </c>
      <c r="K44" s="55">
        <f>+(F44+SUM(G44:I44))*0.18</f>
        <v>82.152167807720318</v>
      </c>
      <c r="L44" s="55">
        <f>14500/1000</f>
        <v>14.5</v>
      </c>
      <c r="M44" s="55">
        <f t="shared" si="5"/>
        <v>553.05310007283322</v>
      </c>
    </row>
    <row r="45">
      <c r="C45" s="52" t="s">
        <v>189</v>
      </c>
      <c r="D45" s="108">
        <v>412480</v>
      </c>
      <c r="E45" s="109">
        <v>1.2350000000000001</v>
      </c>
      <c r="F45" s="68">
        <f t="shared" si="4"/>
        <v>333.9919028340081</v>
      </c>
      <c r="G45" s="55">
        <f>18735/1000</f>
        <v>18.734999999999999</v>
      </c>
      <c r="H45" s="55">
        <v>0</v>
      </c>
      <c r="I45" s="55">
        <f>69700/1000</f>
        <v>69.7</v>
      </c>
      <c r="J45" s="55">
        <f>20000/1000</f>
        <v>20</v>
      </c>
      <c r="K45" s="55">
        <f>+(F45+SUM(G45:I45))*0.18</f>
        <v>76.03684251012146</v>
      </c>
      <c r="L45" s="55">
        <f>14500/1000</f>
        <v>14.5</v>
      </c>
      <c r="M45" s="55">
        <f t="shared" si="5"/>
        <v>512.96374534412962</v>
      </c>
    </row>
    <row r="46">
      <c r="C46" s="52" t="s">
        <v>134</v>
      </c>
      <c r="D46" s="108">
        <v>408255</v>
      </c>
      <c r="E46" s="109">
        <v>1.1599999999999999</v>
      </c>
      <c r="F46" s="68">
        <f t="shared" si="4"/>
        <v>351.94396551724139</v>
      </c>
      <c r="G46" s="55">
        <f>34188/1000</f>
        <v>34.188000000000002</v>
      </c>
      <c r="H46" s="55">
        <f>103950/1000</f>
        <v>103.95</v>
      </c>
      <c r="I46" s="55">
        <f>69700/1000</f>
        <v>69.7</v>
      </c>
      <c r="J46" s="55">
        <f>20000/1000</f>
        <v>20</v>
      </c>
      <c r="K46" s="55">
        <f>+(F46+SUM(G46:I46))*0.18</f>
        <v>100.76075379310345</v>
      </c>
      <c r="L46" s="55">
        <f>14500/1000</f>
        <v>14.5</v>
      </c>
      <c r="M46" s="55">
        <f t="shared" si="5"/>
        <v>675.04271931034486</v>
      </c>
    </row>
    <row r="47">
      <c r="C47" s="383" t="s">
        <v>190</v>
      </c>
      <c r="D47" s="383"/>
      <c r="E47" s="383"/>
      <c r="F47" s="383"/>
      <c r="G47" s="383"/>
      <c r="H47" s="383"/>
      <c r="I47" s="383"/>
      <c r="J47" s="383"/>
      <c r="K47" s="383"/>
      <c r="L47" s="383"/>
      <c r="M47" s="383"/>
    </row>
    <row r="48">
      <c r="C48" s="52" t="s">
        <v>129</v>
      </c>
      <c r="F48" s="68">
        <f>314526/1000</f>
        <v>314.52600000000001</v>
      </c>
      <c r="G48" s="55">
        <v>3.6110000000000002</v>
      </c>
      <c r="H48" s="55"/>
      <c r="I48" s="55">
        <v>122.63</v>
      </c>
      <c r="J48" s="55"/>
      <c r="K48" s="55">
        <f>+(F48+SUM(G48:I48))*0</f>
        <v>0</v>
      </c>
      <c r="L48" s="55">
        <f>(1000*0.21/9  + 1000*0.11/9)/1000</f>
        <v>3.5555555555555556E-2</v>
      </c>
      <c r="M48" s="55">
        <f t="shared" ref="M48:M53" si="6">+SUM(F48:I48,K48,L48)</f>
        <v>440.80255555555556</v>
      </c>
    </row>
    <row r="49">
      <c r="C49" s="52" t="s">
        <v>130</v>
      </c>
      <c r="F49" s="68">
        <f>327557/1000</f>
        <v>327.55700000000002</v>
      </c>
      <c r="G49" s="55">
        <v>30.585000000000001</v>
      </c>
      <c r="H49" s="55">
        <v>216.65</v>
      </c>
      <c r="I49" s="55">
        <v>69.7</v>
      </c>
      <c r="J49" s="55">
        <f>20000/1000</f>
        <v>20</v>
      </c>
      <c r="K49" s="55">
        <f>+(F49+SUM(G49:I49))*0.18</f>
        <v>116.00855999999999</v>
      </c>
      <c r="L49" s="55">
        <v>14.5</v>
      </c>
      <c r="M49" s="55">
        <f t="shared" si="6"/>
        <v>775.00056000000006</v>
      </c>
    </row>
    <row r="50">
      <c r="C50" s="52" t="s">
        <v>131</v>
      </c>
      <c r="F50" s="68">
        <f>253676/1000</f>
        <v>253.67599999999999</v>
      </c>
      <c r="G50" s="55">
        <v>29.425000000000001</v>
      </c>
      <c r="H50" s="55">
        <v>198.47</v>
      </c>
      <c r="I50" s="55">
        <v>69.7</v>
      </c>
      <c r="J50" s="55">
        <f>20000/1000</f>
        <v>20</v>
      </c>
      <c r="K50" s="55">
        <f>+(F50+SUM(G50:I50))*0.18</f>
        <v>99.228779999999986</v>
      </c>
      <c r="L50" s="55">
        <v>14.5</v>
      </c>
      <c r="M50" s="55">
        <f t="shared" si="6"/>
        <v>664.9997800000001</v>
      </c>
    </row>
    <row r="51">
      <c r="C51" s="52" t="s">
        <v>132</v>
      </c>
      <c r="F51" s="68">
        <f>240138/1000</f>
        <v>240.13800000000001</v>
      </c>
      <c r="G51" s="55">
        <v>29.425000000000001</v>
      </c>
      <c r="H51" s="55">
        <v>38.56</v>
      </c>
      <c r="I51" s="55">
        <v>100.77500000000001</v>
      </c>
      <c r="J51" s="55">
        <f>20000/1000</f>
        <v>20</v>
      </c>
      <c r="K51" s="55">
        <f>+(F51+SUM(G51:I51))*0.18</f>
        <v>73.601640000000003</v>
      </c>
      <c r="L51" s="55">
        <v>14.5</v>
      </c>
      <c r="M51" s="55">
        <f t="shared" si="6"/>
        <v>496.99964</v>
      </c>
    </row>
    <row r="52">
      <c r="C52" s="52" t="s">
        <v>133</v>
      </c>
      <c r="F52" s="68">
        <f>246734/1000</f>
        <v>246.73400000000001</v>
      </c>
      <c r="G52" s="55">
        <v>18.734999999999999</v>
      </c>
      <c r="H52" s="55">
        <v>0</v>
      </c>
      <c r="I52" s="55">
        <v>69.7</v>
      </c>
      <c r="J52" s="55">
        <f>20000/1000</f>
        <v>20</v>
      </c>
      <c r="K52" s="55">
        <f>+(F52+SUM(G52:I52))*0.18</f>
        <v>60.330419999999997</v>
      </c>
      <c r="L52" s="55">
        <v>14.5</v>
      </c>
      <c r="M52" s="55">
        <f t="shared" si="6"/>
        <v>409.99941999999999</v>
      </c>
    </row>
    <row r="53">
      <c r="C53" s="72" t="s">
        <v>134</v>
      </c>
      <c r="D53" s="72"/>
      <c r="E53" s="72"/>
      <c r="F53" s="110">
        <f>334959/1000</f>
        <v>334.959</v>
      </c>
      <c r="G53" s="111">
        <v>34.188000000000002</v>
      </c>
      <c r="H53" s="111">
        <v>103.95</v>
      </c>
      <c r="I53" s="111">
        <v>69.7</v>
      </c>
      <c r="J53" s="111">
        <f>20000/1000</f>
        <v>20</v>
      </c>
      <c r="K53" s="111">
        <f>+(F53+SUM(G53:I53))*0.18</f>
        <v>97.703460000000007</v>
      </c>
      <c r="L53" s="111">
        <v>14.5</v>
      </c>
      <c r="M53" s="111">
        <f t="shared" si="6"/>
        <v>655.00045999999998</v>
      </c>
    </row>
    <row r="54">
      <c r="F54" s="82"/>
    </row>
    <row r="55">
      <c r="C55" s="52" t="s">
        <v>191</v>
      </c>
    </row>
    <row r="56">
      <c r="C56" s="112" t="s">
        <v>192</v>
      </c>
    </row>
  </sheetData>
  <mergeCells count="5">
    <mergeCell ref="C5:M5"/>
    <mergeCell ref="C12:M12"/>
    <mergeCell ref="C19:M19"/>
    <mergeCell ref="C40:M40"/>
    <mergeCell ref="C47:M4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8FF5-4251-4C67-B529-16ABFA1C39AE}">
  <dimension ref="B1:AP46"/>
  <sheetViews>
    <sheetView zoomScaleNormal="100" workbookViewId="0">
      <selection activeCell="E10" sqref="E10"/>
    </sheetView>
  </sheetViews>
  <sheetFormatPr defaultColWidth="9.140625" defaultRowHeight="15"/>
  <cols>
    <col min="1" max="1" width="9.140625" style="178"/>
    <col min="2" max="2" width="14.140625" style="178" customWidth="true"/>
    <col min="3" max="3" width="15.7109375" style="178" customWidth="true"/>
    <col min="4" max="4" width="10.7109375" style="178" customWidth="true"/>
    <col min="5" max="5" width="11.7109375" style="178" customWidth="true"/>
    <col min="6" max="6" width="2.140625" style="178" customWidth="true"/>
    <col min="7" max="7" width="11" style="178" customWidth="true"/>
    <col min="8" max="8" width="12.42578125" style="178" customWidth="true"/>
    <col min="9" max="9" width="14.42578125" style="178" customWidth="true"/>
    <col min="10" max="10" width="2.42578125" style="178" customWidth="true"/>
    <col min="11" max="14" width="7.7109375" style="178" customWidth="true"/>
    <col min="15" max="27" width="7.7109375" style="178" hidden="true" customWidth="true"/>
    <col min="28" max="28" width="15.7109375" style="178" hidden="true" customWidth="true"/>
    <col min="29" max="29" width="10.85546875" style="178" hidden="true" customWidth="true"/>
    <col min="30" max="38" width="7.7109375" style="178" hidden="true" customWidth="true"/>
    <col min="39" max="40" width="7.7109375" style="178" customWidth="true"/>
    <col min="41" max="41" width="15" style="178" customWidth="true"/>
    <col min="42" max="42" width="11.7109375" style="178" customWidth="true"/>
    <col min="43" max="44" width="7.7109375" style="178" customWidth="true"/>
    <col min="45" max="16384" width="9.140625" style="178"/>
  </cols>
  <sheetData>
    <row r="1">
      <c r="AB1" s="178" t="s">
        <v>203</v>
      </c>
    </row>
    <row r="2">
      <c r="B2" s="178" t="s">
        <v>264</v>
      </c>
      <c r="E2" s="171"/>
      <c r="F2" s="171"/>
      <c r="G2" s="171"/>
      <c r="H2" s="171"/>
      <c r="I2" s="171"/>
      <c r="J2" s="245"/>
      <c r="K2" s="171"/>
      <c r="L2" s="171"/>
      <c r="M2" s="171"/>
      <c r="N2" s="171"/>
      <c r="O2" s="171"/>
      <c r="P2" s="171"/>
      <c r="Q2" s="171"/>
      <c r="R2" s="171"/>
      <c r="S2" s="171"/>
      <c r="T2" s="171"/>
      <c r="U2" s="171"/>
      <c r="W2" s="171" t="s">
        <v>204</v>
      </c>
      <c r="X2" s="246"/>
      <c r="AF2" s="171"/>
    </row>
    <row r="3">
      <c r="E3" s="171"/>
      <c r="F3" s="171"/>
      <c r="G3" s="171"/>
      <c r="H3" s="171"/>
      <c r="I3" s="171"/>
      <c r="J3" s="245"/>
      <c r="K3" s="171"/>
      <c r="L3" s="171"/>
      <c r="M3" s="171"/>
      <c r="N3" s="171"/>
      <c r="O3" s="171"/>
      <c r="P3" s="171"/>
      <c r="Q3" s="171"/>
      <c r="R3" s="171"/>
      <c r="S3" s="171"/>
      <c r="T3" s="171"/>
      <c r="U3" s="171"/>
      <c r="W3" s="171"/>
      <c r="X3" s="246"/>
      <c r="AF3" s="171"/>
    </row>
    <row r="4">
      <c r="B4" s="247"/>
      <c r="C4" s="247"/>
      <c r="D4" s="384" t="s">
        <v>265</v>
      </c>
      <c r="E4" s="384"/>
      <c r="F4" s="248"/>
      <c r="G4" s="384" t="s">
        <v>266</v>
      </c>
      <c r="H4" s="384"/>
      <c r="I4" s="384"/>
      <c r="J4" s="245"/>
      <c r="K4" s="249" t="s">
        <v>291</v>
      </c>
      <c r="L4" s="249"/>
      <c r="M4" s="171"/>
      <c r="N4" s="171"/>
      <c r="O4" s="171"/>
      <c r="P4" s="171"/>
      <c r="Q4" s="171"/>
      <c r="R4" s="171"/>
      <c r="S4" s="171"/>
      <c r="T4" s="171"/>
      <c r="U4" s="171"/>
      <c r="W4" s="171"/>
      <c r="X4" s="246"/>
      <c r="AF4" s="171"/>
    </row>
    <row r="5" ht="46.5" customHeight="true">
      <c r="B5" s="179"/>
      <c r="C5" s="214" t="s">
        <v>205</v>
      </c>
      <c r="D5" s="181">
        <v>2019</v>
      </c>
      <c r="E5" s="181">
        <v>2022</v>
      </c>
      <c r="F5" s="215"/>
      <c r="G5" s="181">
        <v>2019</v>
      </c>
      <c r="H5" s="181">
        <v>2022</v>
      </c>
      <c r="I5" s="181">
        <v>2022</v>
      </c>
      <c r="J5" s="250" t="s">
        <v>204</v>
      </c>
      <c r="K5" s="180">
        <v>2019</v>
      </c>
      <c r="L5" s="251">
        <v>2022</v>
      </c>
      <c r="M5" s="252"/>
      <c r="N5" s="252"/>
      <c r="O5" s="252"/>
      <c r="P5" s="252"/>
      <c r="Q5" s="252"/>
      <c r="R5" s="252"/>
      <c r="S5" s="252"/>
      <c r="V5" s="253"/>
      <c r="W5" s="254" t="s">
        <v>208</v>
      </c>
      <c r="X5" s="254" t="s">
        <v>209</v>
      </c>
      <c r="Y5" s="254" t="s">
        <v>210</v>
      </c>
      <c r="Z5" s="254" t="s">
        <v>211</v>
      </c>
      <c r="AA5" s="254" t="s">
        <v>212</v>
      </c>
      <c r="AB5" s="255" t="s">
        <v>213</v>
      </c>
      <c r="AC5" s="255" t="s">
        <v>214</v>
      </c>
      <c r="AD5" s="256" t="s">
        <v>206</v>
      </c>
      <c r="AE5" s="256" t="s">
        <v>207</v>
      </c>
      <c r="AF5" s="256" t="s">
        <v>215</v>
      </c>
      <c r="AG5" s="256" t="s">
        <v>216</v>
      </c>
      <c r="AH5" s="256" t="s">
        <v>217</v>
      </c>
      <c r="AI5" s="178" t="s">
        <v>218</v>
      </c>
    </row>
    <row r="6">
      <c r="B6" s="178" t="s">
        <v>246</v>
      </c>
      <c r="C6" s="216">
        <v>738.726</v>
      </c>
      <c r="D6" s="217">
        <f>+AD6</f>
        <v>139.5</v>
      </c>
      <c r="E6" s="217">
        <f>+AE6</f>
        <v>158.4</v>
      </c>
      <c r="F6" s="218"/>
      <c r="G6" s="217">
        <v>137.24653370861282</v>
      </c>
      <c r="H6" s="281">
        <v>143.09020000000001</v>
      </c>
      <c r="I6" s="219">
        <f>+H6*1.1662</f>
        <v>166.87179123999999</v>
      </c>
      <c r="K6" s="257"/>
      <c r="L6" s="178">
        <v>0.36229869999999997</v>
      </c>
      <c r="M6" s="258">
        <v>0.28551838488935438</v>
      </c>
      <c r="N6" s="259"/>
      <c r="O6" s="259">
        <f>+AD6*AH6</f>
        <v>39.829814692064936</v>
      </c>
      <c r="P6" s="259">
        <f>+AE6*AH6</f>
        <v>45.226112166473733</v>
      </c>
      <c r="Q6" s="259">
        <f>+AF6*AH6</f>
        <v>42.745103986973426</v>
      </c>
      <c r="R6" s="259">
        <f>+AH6*AI6</f>
        <v>39.186408636145465</v>
      </c>
      <c r="S6" s="259"/>
      <c r="T6" s="257"/>
      <c r="U6" s="257"/>
      <c r="V6" s="247" t="s">
        <v>219</v>
      </c>
      <c r="W6" s="260">
        <f>+SUM(W7:W11)</f>
        <v>738.726</v>
      </c>
      <c r="X6" s="261">
        <f>SUM(X7:X11)</f>
        <v>71576.173799999873</v>
      </c>
      <c r="Y6" s="262">
        <f>SUM(Y7:Y11)</f>
        <v>10715705.726817988</v>
      </c>
      <c r="Z6" s="260">
        <f>+SUM(Z7:Z10)</f>
        <v>399.16700000000003</v>
      </c>
      <c r="AA6" s="178">
        <f>+SUM(AA7:AA11)</f>
        <v>111088.79</v>
      </c>
      <c r="AB6" s="263">
        <v>2270.1</v>
      </c>
      <c r="AC6" s="263">
        <v>2957.3</v>
      </c>
      <c r="AD6" s="264">
        <v>139.5</v>
      </c>
      <c r="AE6" s="265">
        <v>158.4</v>
      </c>
      <c r="AF6" s="266">
        <f t="shared" ref="AF6:AF13" si="0">+Y6/X6</f>
        <v>149.71051340017294</v>
      </c>
      <c r="AG6" s="267">
        <f t="shared" ref="AG6:AG13" si="1">+AA6/W6</f>
        <v>150.37888202120948</v>
      </c>
      <c r="AH6" s="268">
        <f>W6/SUM($W$6,$W$12,$W$13)</f>
        <v>0.28551838488935438</v>
      </c>
      <c r="AI6" s="178">
        <f>+SUM(AK7:AK11)</f>
        <v>137.24653370861282</v>
      </c>
    </row>
    <row r="7" ht="16.5">
      <c r="B7" s="178" t="s">
        <v>247</v>
      </c>
      <c r="C7" s="216">
        <v>1460.806</v>
      </c>
      <c r="D7" s="218">
        <f>+AD12</f>
        <v>120.8</v>
      </c>
      <c r="E7" s="218">
        <f>+AE12</f>
        <v>137.19999999999999</v>
      </c>
      <c r="F7" s="218"/>
      <c r="G7" s="218">
        <v>109.48878631229468</v>
      </c>
      <c r="H7" s="281">
        <v>114.2822</v>
      </c>
      <c r="I7" s="219">
        <f>+H7*1.1945</f>
        <v>136.5100879</v>
      </c>
      <c r="K7" s="257"/>
      <c r="L7" s="178">
        <v>0.48610120000000001</v>
      </c>
      <c r="M7" s="258">
        <v>0.56460307306995861</v>
      </c>
      <c r="N7" s="259"/>
      <c r="O7" s="259">
        <f>+AD12*AH12</f>
        <v>68.204051226850993</v>
      </c>
      <c r="P7" s="259">
        <f>+AE12*AH12</f>
        <v>77.463541625198317</v>
      </c>
      <c r="Q7" s="259">
        <f>+AF12*AH12</f>
        <v>65.994561642665232</v>
      </c>
      <c r="R7" s="259">
        <f>+AH12*AI12</f>
        <v>61.817705218621597</v>
      </c>
      <c r="S7" s="259"/>
      <c r="T7" s="257"/>
      <c r="U7" s="257"/>
      <c r="V7" s="156" t="s">
        <v>220</v>
      </c>
      <c r="W7" s="269">
        <v>152.03700000000001</v>
      </c>
      <c r="X7" s="270">
        <v>11813.911</v>
      </c>
      <c r="Y7" s="270">
        <v>1791262.4580000001</v>
      </c>
      <c r="Z7" s="269">
        <f>127457/1000</f>
        <v>127.45699999999999</v>
      </c>
      <c r="AA7" s="271">
        <v>23105.069</v>
      </c>
      <c r="AB7" s="267"/>
      <c r="AC7" s="267"/>
      <c r="AE7" s="272"/>
      <c r="AF7" s="267">
        <f t="shared" si="0"/>
        <v>151.62315493996866</v>
      </c>
      <c r="AG7" s="178">
        <f t="shared" si="1"/>
        <v>151.97004018758591</v>
      </c>
      <c r="AH7" s="267"/>
      <c r="AI7" s="178">
        <v>135.70554119937211</v>
      </c>
      <c r="AJ7" s="156" t="s">
        <v>220</v>
      </c>
      <c r="AK7" s="178">
        <f>+AI7*AK40</f>
        <v>27.929521050198499</v>
      </c>
    </row>
    <row r="8" ht="16.5">
      <c r="B8" s="178" t="s">
        <v>248</v>
      </c>
      <c r="C8" s="216">
        <v>387.78300000000002</v>
      </c>
      <c r="D8" s="218">
        <f>+AD13</f>
        <v>109.5</v>
      </c>
      <c r="E8" s="218">
        <f>+AE13</f>
        <v>124.1</v>
      </c>
      <c r="F8" s="218"/>
      <c r="G8" s="218">
        <v>80.851657481807621</v>
      </c>
      <c r="H8" s="281">
        <v>85.270979999999994</v>
      </c>
      <c r="I8" s="219">
        <f>+H8*1.1691</f>
        <v>99.690302717999998</v>
      </c>
      <c r="K8" s="257"/>
      <c r="L8" s="178">
        <v>0.15160009999999999</v>
      </c>
      <c r="M8" s="258">
        <v>0.14987854204068696</v>
      </c>
      <c r="N8" s="259"/>
      <c r="O8" s="259">
        <f>+AD13*AH13</f>
        <v>16.41170035345522</v>
      </c>
      <c r="P8" s="259">
        <f>+AE13*AH13</f>
        <v>18.599927067249251</v>
      </c>
      <c r="Q8" s="259">
        <f>+AF13*AH13</f>
        <v>12.389562777823457</v>
      </c>
      <c r="R8" s="259">
        <f>+AH13*AI13</f>
        <v>12.117928544946325</v>
      </c>
      <c r="S8" s="259"/>
      <c r="T8" s="257"/>
      <c r="U8" s="257"/>
      <c r="V8" s="156" t="s">
        <v>221</v>
      </c>
      <c r="W8" s="269">
        <v>151.26</v>
      </c>
      <c r="X8" s="270">
        <v>13382.198</v>
      </c>
      <c r="Y8" s="270">
        <v>2157741.1660000002</v>
      </c>
      <c r="Z8" s="269">
        <f>15340/1000</f>
        <v>15.34</v>
      </c>
      <c r="AA8" s="271">
        <v>24445.4</v>
      </c>
      <c r="AB8" s="267"/>
      <c r="AC8" s="267"/>
      <c r="AE8" s="272"/>
      <c r="AF8" s="267">
        <f t="shared" si="0"/>
        <v>161.23966825180739</v>
      </c>
      <c r="AG8" s="178">
        <f t="shared" si="1"/>
        <v>161.61179426153646</v>
      </c>
      <c r="AH8" s="267"/>
      <c r="AI8" s="178">
        <v>146.11416016867634</v>
      </c>
      <c r="AJ8" s="156" t="s">
        <v>221</v>
      </c>
      <c r="AK8" s="178">
        <f>+AI8*AK41</f>
        <v>29.918031674956588</v>
      </c>
    </row>
    <row r="9" ht="17.25" thickBot="true">
      <c r="B9" s="179" t="s">
        <v>222</v>
      </c>
      <c r="C9" s="220">
        <f>+SUM(C6:C8)</f>
        <v>2587.3150000000001</v>
      </c>
      <c r="D9" s="221">
        <f>+D6*$L6+D7*$L7+D8*$L8</f>
        <v>125.86190456</v>
      </c>
      <c r="E9" s="221">
        <f>+E6*$L6+E7*$L7+E8*$L8</f>
        <v>142.89477113000001</v>
      </c>
      <c r="F9" s="222"/>
      <c r="G9" s="221">
        <f>+G6*$L6+G7*$L7+G8*$L8</f>
        <v>115.20399051449441</v>
      </c>
      <c r="H9" s="221">
        <f>+H6*$L6+H7*$L7+H8*$L8</f>
        <v>120.321197096478</v>
      </c>
      <c r="I9" s="221">
        <f>+I6*$L6+I7*$L7+I8*$L8</f>
        <v>141.92821043429794</v>
      </c>
      <c r="J9" s="273"/>
      <c r="K9" s="274"/>
      <c r="L9" s="275"/>
      <c r="M9" s="259"/>
      <c r="N9" s="259"/>
      <c r="O9" s="259"/>
      <c r="P9" s="259"/>
      <c r="Q9" s="259"/>
      <c r="R9" s="259"/>
      <c r="S9" s="259"/>
      <c r="T9" s="257"/>
      <c r="U9" s="257"/>
      <c r="V9" s="156" t="s">
        <v>223</v>
      </c>
      <c r="W9" s="269">
        <v>117.63</v>
      </c>
      <c r="X9" s="270">
        <v>14231.7491999999</v>
      </c>
      <c r="Y9" s="270">
        <v>2081506.93061619</v>
      </c>
      <c r="Z9" s="269">
        <f>238640/1000</f>
        <v>238.64</v>
      </c>
      <c r="AA9" s="276">
        <v>17033.075000000001</v>
      </c>
      <c r="AB9" s="267"/>
      <c r="AC9" s="267"/>
      <c r="AE9" s="272"/>
      <c r="AF9" s="267">
        <f t="shared" si="0"/>
        <v>146.25798286384955</v>
      </c>
      <c r="AG9" s="178">
        <f t="shared" si="1"/>
        <v>144.80213380940236</v>
      </c>
      <c r="AH9" s="267"/>
      <c r="AI9" s="178">
        <v>135.98052701850114</v>
      </c>
      <c r="AJ9" s="156" t="s">
        <v>223</v>
      </c>
      <c r="AK9" s="178">
        <f>+AI9*AK43</f>
        <v>21.65266877460153</v>
      </c>
    </row>
    <row r="10" ht="17.25" thickBot="true">
      <c r="B10" s="178" t="s">
        <v>267</v>
      </c>
      <c r="L10" s="252"/>
      <c r="M10" s="252"/>
      <c r="N10" s="252"/>
      <c r="O10" s="252"/>
      <c r="P10" s="252"/>
      <c r="Q10" s="252"/>
      <c r="R10" s="252"/>
      <c r="S10" s="252"/>
      <c r="V10" s="156" t="s">
        <v>224</v>
      </c>
      <c r="W10" s="269">
        <v>36.798999999999999</v>
      </c>
      <c r="X10" s="270">
        <v>4556.9385999999795</v>
      </c>
      <c r="Y10" s="270">
        <v>679437.99620179599</v>
      </c>
      <c r="Z10" s="269">
        <f>17730/1000</f>
        <v>17.73</v>
      </c>
      <c r="AA10" s="276">
        <v>5395.3339999999998</v>
      </c>
      <c r="AB10" s="267"/>
      <c r="AC10" s="267"/>
      <c r="AE10" s="272"/>
      <c r="AF10" s="267">
        <f t="shared" si="0"/>
        <v>149.09966006603622</v>
      </c>
      <c r="AG10" s="178">
        <f t="shared" si="1"/>
        <v>146.61632109568194</v>
      </c>
      <c r="AH10" s="267"/>
      <c r="AI10" s="178">
        <v>137.32155428686528</v>
      </c>
      <c r="AJ10" s="156" t="s">
        <v>224</v>
      </c>
      <c r="AK10" s="178">
        <f>+AI10*AK44</f>
        <v>6.840555058577003</v>
      </c>
      <c r="AP10" s="277"/>
    </row>
    <row r="11" ht="15.75">
      <c r="I11" s="257"/>
      <c r="V11" s="156" t="s">
        <v>225</v>
      </c>
      <c r="W11" s="269">
        <v>281</v>
      </c>
      <c r="X11" s="270">
        <v>27591.377</v>
      </c>
      <c r="Y11" s="270">
        <v>4005757.176</v>
      </c>
      <c r="Z11" s="269"/>
      <c r="AA11" s="278">
        <v>41109.911999999997</v>
      </c>
      <c r="AB11" s="267"/>
      <c r="AC11" s="267"/>
      <c r="AE11" s="272"/>
      <c r="AF11" s="267">
        <f t="shared" si="0"/>
        <v>145.1814882599009</v>
      </c>
      <c r="AG11" s="178">
        <f t="shared" si="1"/>
        <v>146.29861921708184</v>
      </c>
      <c r="AH11" s="267"/>
      <c r="AI11" s="178">
        <v>133.82706888468741</v>
      </c>
      <c r="AJ11" s="156" t="s">
        <v>225</v>
      </c>
      <c r="AK11" s="178">
        <f>+AI11*AK42</f>
        <v>50.905757150279214</v>
      </c>
    </row>
    <row r="12" ht="15.75">
      <c r="V12" s="178" t="s">
        <v>226</v>
      </c>
      <c r="W12" s="269">
        <v>1460.806</v>
      </c>
      <c r="X12" s="270">
        <v>98509.494000000006</v>
      </c>
      <c r="Y12" s="270">
        <v>11514444.720999999</v>
      </c>
      <c r="Z12" s="269">
        <f>12484/1000</f>
        <v>12.484</v>
      </c>
      <c r="AA12" s="279">
        <v>180179.68</v>
      </c>
      <c r="AB12" s="263">
        <v>1090.7</v>
      </c>
      <c r="AC12" s="263">
        <v>1270.7</v>
      </c>
      <c r="AD12" s="264">
        <v>120.8</v>
      </c>
      <c r="AE12" s="280">
        <v>137.19999999999999</v>
      </c>
      <c r="AF12" s="267">
        <f t="shared" si="0"/>
        <v>116.88664973753696</v>
      </c>
      <c r="AG12" s="178">
        <f t="shared" si="1"/>
        <v>123.34264782592622</v>
      </c>
      <c r="AH12" s="281">
        <f>W12/SUM($W$6,$W$12,$W$13)</f>
        <v>0.56460307306995861</v>
      </c>
      <c r="AI12" s="282">
        <v>109.48878631229468</v>
      </c>
    </row>
    <row r="13" ht="15.75">
      <c r="V13" s="180" t="s">
        <v>227</v>
      </c>
      <c r="W13" s="283">
        <v>387.78300000000002</v>
      </c>
      <c r="X13" s="284">
        <v>44810.209000000003</v>
      </c>
      <c r="Y13" s="284">
        <v>3704192.0073000002</v>
      </c>
      <c r="Z13" s="283">
        <f>9/1000</f>
        <v>8.9999999999999993E-3</v>
      </c>
      <c r="AA13" s="278">
        <v>53941.286</v>
      </c>
      <c r="AB13" s="264">
        <v>237.5</v>
      </c>
      <c r="AC13" s="264">
        <v>435</v>
      </c>
      <c r="AD13" s="264">
        <v>109.5</v>
      </c>
      <c r="AE13" s="285">
        <v>124.1</v>
      </c>
      <c r="AF13" s="286">
        <f t="shared" si="0"/>
        <v>82.664019873239155</v>
      </c>
      <c r="AG13" s="178">
        <f t="shared" si="1"/>
        <v>139.10172957556159</v>
      </c>
      <c r="AH13" s="287">
        <f>W13/SUM($W$6,$W$12,$W$13)</f>
        <v>0.14987854204068696</v>
      </c>
      <c r="AI13" s="282">
        <v>80.851657481807621</v>
      </c>
    </row>
    <row r="14">
      <c r="X14" s="288">
        <f>+SUM(X7:X13)</f>
        <v>214895.87679999988</v>
      </c>
      <c r="Y14" s="288">
        <f>SUM(Y12:Y13,Y6)</f>
        <v>25934342.455117986</v>
      </c>
      <c r="AB14" s="282">
        <f>+SUM(AB6:AB13)</f>
        <v>3598.3</v>
      </c>
      <c r="AC14" s="282">
        <f>+SUM(AC6:AC13)</f>
        <v>4663</v>
      </c>
    </row>
    <row r="18">
      <c r="K18" s="178" t="s">
        <v>1120</v>
      </c>
    </row>
    <row r="19">
      <c r="K19" s="178">
        <v>85.270979999999994</v>
      </c>
      <c r="L19" s="289"/>
    </row>
    <row r="20">
      <c r="K20" s="178">
        <v>114.2822</v>
      </c>
      <c r="AN20" s="156"/>
      <c r="AO20" s="153"/>
    </row>
    <row r="21">
      <c r="K21" s="178">
        <v>143.09020000000001</v>
      </c>
      <c r="AN21" s="156"/>
      <c r="AO21" s="153"/>
    </row>
    <row r="22">
      <c r="E22" s="153"/>
      <c r="F22" s="153"/>
      <c r="G22" s="290"/>
      <c r="AB22" s="178">
        <f>+AB23/1000</f>
        <v>1460.806</v>
      </c>
      <c r="AC22" s="178">
        <f>+AC23/1000</f>
        <v>180179.68</v>
      </c>
      <c r="AN22" s="156"/>
      <c r="AO22" s="291"/>
    </row>
    <row r="23">
      <c r="E23" s="153"/>
      <c r="F23" s="153"/>
      <c r="G23" s="290"/>
      <c r="AB23" s="178">
        <f>+SUM(AB25:AB30)</f>
        <v>1460806</v>
      </c>
      <c r="AC23" s="178">
        <f>+SUM(AC25:AC30)</f>
        <v>180179680</v>
      </c>
      <c r="AN23" s="290"/>
      <c r="AO23" s="216"/>
    </row>
    <row r="24" ht="16.5" thickBot="true">
      <c r="E24" s="291"/>
      <c r="F24" s="291"/>
      <c r="G24" s="290"/>
      <c r="X24" s="292" t="s">
        <v>228</v>
      </c>
      <c r="Y24" s="293"/>
      <c r="Z24" s="293"/>
      <c r="AA24" s="293"/>
      <c r="AB24" s="294">
        <v>1867776</v>
      </c>
      <c r="AC24" s="294">
        <v>236324392</v>
      </c>
      <c r="AD24" s="294">
        <v>12493</v>
      </c>
      <c r="AE24" s="295">
        <v>0.46</v>
      </c>
      <c r="AF24" s="295">
        <v>0.49</v>
      </c>
    </row>
    <row r="25" ht="16.5" thickBot="true">
      <c r="E25" s="216"/>
      <c r="F25" s="216"/>
      <c r="G25" s="290"/>
      <c r="X25" s="296" t="s">
        <v>229</v>
      </c>
      <c r="Y25" s="297"/>
      <c r="Z25" s="297"/>
      <c r="AA25" s="297"/>
      <c r="AB25" s="297">
        <v>13895</v>
      </c>
      <c r="AC25" s="297">
        <v>2134887</v>
      </c>
      <c r="AD25" s="297">
        <v>135</v>
      </c>
      <c r="AE25" s="298">
        <v>0</v>
      </c>
      <c r="AF25" s="298">
        <v>0</v>
      </c>
    </row>
    <row r="26" ht="16.5" thickBot="true">
      <c r="X26" s="299" t="s">
        <v>230</v>
      </c>
      <c r="Y26" s="300"/>
      <c r="Z26" s="300"/>
      <c r="AA26" s="300"/>
      <c r="AB26" s="300">
        <v>699392</v>
      </c>
      <c r="AC26" s="300">
        <v>85862380</v>
      </c>
      <c r="AD26" s="300">
        <v>2077</v>
      </c>
      <c r="AE26" s="301">
        <v>0.17</v>
      </c>
      <c r="AF26" s="301">
        <v>0.18</v>
      </c>
    </row>
    <row r="27" ht="16.5" thickBot="true">
      <c r="X27" s="299" t="s">
        <v>231</v>
      </c>
      <c r="Y27" s="300"/>
      <c r="Z27" s="300"/>
      <c r="AA27" s="300"/>
      <c r="AB27" s="300">
        <v>358807</v>
      </c>
      <c r="AC27" s="300">
        <v>37320981</v>
      </c>
      <c r="AD27" s="300">
        <v>215</v>
      </c>
      <c r="AE27" s="301">
        <v>0.09</v>
      </c>
      <c r="AF27" s="301">
        <v>0.08</v>
      </c>
    </row>
    <row r="28" ht="16.5" thickBot="true">
      <c r="X28" s="302" t="s">
        <v>232</v>
      </c>
      <c r="Y28" s="303"/>
      <c r="Z28" s="303"/>
      <c r="AA28" s="303"/>
      <c r="AB28" s="303">
        <v>41286</v>
      </c>
      <c r="AC28" s="303">
        <v>4741928</v>
      </c>
      <c r="AD28" s="303">
        <v>737</v>
      </c>
      <c r="AE28" s="304">
        <v>0.01</v>
      </c>
      <c r="AF28" s="304">
        <v>0.01</v>
      </c>
    </row>
    <row r="29" ht="16.5" thickBot="true">
      <c r="X29" s="302" t="s">
        <v>233</v>
      </c>
      <c r="Y29" s="303"/>
      <c r="Z29" s="303"/>
      <c r="AA29" s="303"/>
      <c r="AB29" s="303">
        <v>65739</v>
      </c>
      <c r="AC29" s="303">
        <v>9009592</v>
      </c>
      <c r="AD29" s="303">
        <v>1393</v>
      </c>
      <c r="AE29" s="304">
        <v>0.02</v>
      </c>
      <c r="AF29" s="304">
        <v>0.02</v>
      </c>
    </row>
    <row r="30" ht="16.5" thickBot="true">
      <c r="X30" s="302" t="s">
        <v>234</v>
      </c>
      <c r="Y30" s="303"/>
      <c r="Z30" s="303"/>
      <c r="AA30" s="303"/>
      <c r="AB30" s="303">
        <v>281687</v>
      </c>
      <c r="AC30" s="303">
        <v>41109912</v>
      </c>
      <c r="AD30" s="303">
        <v>6900</v>
      </c>
      <c r="AE30" s="304">
        <v>7.0000000000000007E-2</v>
      </c>
      <c r="AF30" s="304">
        <v>0.08</v>
      </c>
    </row>
    <row r="31" ht="16.5" thickBot="true">
      <c r="X31" s="302" t="s">
        <v>235</v>
      </c>
      <c r="Y31" s="303"/>
      <c r="Z31" s="303"/>
      <c r="AA31" s="303"/>
      <c r="AB31" s="303">
        <v>19187</v>
      </c>
      <c r="AC31" s="303">
        <v>2203426</v>
      </c>
      <c r="AD31" s="303">
        <v>1027</v>
      </c>
      <c r="AE31" s="304">
        <v>0</v>
      </c>
      <c r="AF31" s="304">
        <v>0</v>
      </c>
    </row>
    <row r="32" ht="16.5" thickBot="true">
      <c r="AB32" s="305">
        <v>387783</v>
      </c>
      <c r="AC32" s="306">
        <v>53941286</v>
      </c>
    </row>
    <row r="33">
      <c r="AB33" s="270">
        <f>+SUM(AB25:AB31)</f>
        <v>1479993</v>
      </c>
      <c r="AC33" s="270">
        <f>+SUM(AC25:AC31)</f>
        <v>182383106</v>
      </c>
    </row>
    <row r="36">
      <c r="Y36" s="178" t="s">
        <v>236</v>
      </c>
    </row>
    <row r="38">
      <c r="X38" s="178" t="s">
        <v>237</v>
      </c>
    </row>
    <row r="39">
      <c r="W39" s="178" t="s">
        <v>238</v>
      </c>
      <c r="AL39" s="178" t="s">
        <v>239</v>
      </c>
    </row>
    <row r="40" ht="15.75">
      <c r="V40" s="156" t="s">
        <v>220</v>
      </c>
      <c r="W40" s="269">
        <v>152.03700000000001</v>
      </c>
      <c r="X40" s="307" t="s">
        <v>240</v>
      </c>
      <c r="Y40" s="308">
        <v>144.60249695344072</v>
      </c>
      <c r="AA40" s="308">
        <v>151.34126773213174</v>
      </c>
      <c r="AB40" s="308">
        <v>151.21164822920173</v>
      </c>
      <c r="AC40" s="308">
        <v>153.96316204558372</v>
      </c>
      <c r="AD40" s="308">
        <v>152.4161204193758</v>
      </c>
      <c r="AE40" s="308">
        <v>152.60261571798111</v>
      </c>
      <c r="AF40" s="308">
        <v>152.16402189824737</v>
      </c>
      <c r="AG40" s="308">
        <v>152.34217202191516</v>
      </c>
      <c r="AH40" s="309">
        <v>153.16265540975979</v>
      </c>
      <c r="AI40" s="282">
        <f t="shared" ref="AI40:AI46" si="2">+AVERAGE(Y40:AH40)</f>
        <v>151.53401782529301</v>
      </c>
      <c r="AK40" s="178">
        <f>+W40/W$45</f>
        <v>0.20580973188976698</v>
      </c>
      <c r="AL40" s="178">
        <f>+AI40*AK40</f>
        <v>31.187175580802723</v>
      </c>
    </row>
    <row r="41" ht="15.75">
      <c r="V41" s="156" t="s">
        <v>221</v>
      </c>
      <c r="W41" s="269">
        <v>151.26</v>
      </c>
      <c r="X41" s="307" t="s">
        <v>241</v>
      </c>
      <c r="Y41" s="308">
        <v>154.29271678536159</v>
      </c>
      <c r="AA41" s="308">
        <v>162.60375249422427</v>
      </c>
      <c r="AB41" s="308">
        <v>161.91378014433204</v>
      </c>
      <c r="AC41" s="308">
        <v>161.59338624905553</v>
      </c>
      <c r="AD41" s="308">
        <v>162.52654582616336</v>
      </c>
      <c r="AE41" s="308">
        <v>161.44277761718922</v>
      </c>
      <c r="AF41" s="308">
        <v>162.01431571404831</v>
      </c>
      <c r="AG41" s="308">
        <v>163.19427497955957</v>
      </c>
      <c r="AH41" s="309">
        <v>164.37080221797592</v>
      </c>
      <c r="AI41" s="282">
        <f t="shared" si="2"/>
        <v>161.55026133643443</v>
      </c>
      <c r="AK41" s="178">
        <f>+W41/W$45</f>
        <v>0.20475792106951696</v>
      </c>
      <c r="AL41" s="178">
        <f>+AI41*AK41</f>
        <v>33.078695659485476</v>
      </c>
    </row>
    <row r="42" ht="15.75">
      <c r="V42" s="156" t="s">
        <v>225</v>
      </c>
      <c r="W42" s="269">
        <v>281</v>
      </c>
      <c r="X42" s="307" t="s">
        <v>242</v>
      </c>
      <c r="Y42" s="308">
        <v>143.37179431305941</v>
      </c>
      <c r="AA42" s="308">
        <v>151.07872567885397</v>
      </c>
      <c r="AB42" s="308">
        <v>147.59958305830475</v>
      </c>
      <c r="AC42" s="308">
        <v>146.35297079931314</v>
      </c>
      <c r="AD42" s="308">
        <v>151.34818791139207</v>
      </c>
      <c r="AE42" s="308">
        <v>151.04186240264954</v>
      </c>
      <c r="AF42" s="308">
        <v>143.43874320385387</v>
      </c>
      <c r="AG42" s="308">
        <v>143.32190026792028</v>
      </c>
      <c r="AH42" s="309">
        <v>142.41441472762415</v>
      </c>
      <c r="AI42" s="282">
        <f t="shared" si="2"/>
        <v>146.66313137366348</v>
      </c>
      <c r="AK42" s="178">
        <f>+W42/W$45</f>
        <v>0.38038460809555913</v>
      </c>
      <c r="AL42" s="178">
        <f>+AI42*AK42</f>
        <v>55.788397749638484</v>
      </c>
    </row>
    <row r="43" ht="15.75">
      <c r="V43" s="156" t="s">
        <v>223</v>
      </c>
      <c r="W43" s="269">
        <v>117.63</v>
      </c>
      <c r="X43" s="307" t="s">
        <v>243</v>
      </c>
      <c r="Y43" s="308">
        <v>548.89700348381257</v>
      </c>
      <c r="AA43" s="308">
        <v>606.98288553941427</v>
      </c>
      <c r="AB43" s="308">
        <v>605.23848510338496</v>
      </c>
      <c r="AC43" s="308">
        <v>560.49855358974298</v>
      </c>
      <c r="AD43" s="308">
        <v>668.59735394138454</v>
      </c>
      <c r="AE43" s="308">
        <v>146.3932784695341</v>
      </c>
      <c r="AF43" s="308">
        <v>146.29739512972236</v>
      </c>
      <c r="AG43" s="308">
        <v>146.37222630832198</v>
      </c>
      <c r="AH43" s="309">
        <v>146.48977179658488</v>
      </c>
      <c r="AI43" s="282">
        <f t="shared" si="2"/>
        <v>397.3074392624336</v>
      </c>
      <c r="AK43" s="178">
        <f>+W43/W$45</f>
        <v>0.15923359946719082</v>
      </c>
      <c r="AL43" s="178">
        <f>+AI43*AK43</f>
        <v>63.264693648849594</v>
      </c>
    </row>
    <row r="44" ht="15.75">
      <c r="V44" s="156" t="s">
        <v>224</v>
      </c>
      <c r="W44" s="269">
        <v>36.798999999999999</v>
      </c>
      <c r="X44" s="307" t="s">
        <v>223</v>
      </c>
      <c r="Y44" s="308">
        <v>39.684397845059749</v>
      </c>
      <c r="AA44" s="308">
        <v>35.912007487233808</v>
      </c>
      <c r="AB44" s="308">
        <v>35.760612242125106</v>
      </c>
      <c r="AC44" s="308">
        <v>38.58126730546531</v>
      </c>
      <c r="AD44" s="308">
        <v>32.556797156956449</v>
      </c>
      <c r="AE44" s="308">
        <v>149.19990198014438</v>
      </c>
      <c r="AF44" s="308">
        <v>149.33659423092189</v>
      </c>
      <c r="AG44" s="308">
        <v>149.3907051483821</v>
      </c>
      <c r="AH44" s="309">
        <v>149.64593109205248</v>
      </c>
      <c r="AI44" s="282">
        <f t="shared" si="2"/>
        <v>86.674246054260138</v>
      </c>
      <c r="AK44" s="178">
        <f>+W44/W$45</f>
        <v>4.9814139477966118E-2</v>
      </c>
      <c r="AL44" s="178">
        <f>+AI44*AK44</f>
        <v>4.3176029820944688</v>
      </c>
    </row>
    <row r="45" ht="15.75">
      <c r="W45" s="269">
        <f>+SUM(W40:W44)</f>
        <v>738.726</v>
      </c>
      <c r="X45" s="310" t="s">
        <v>244</v>
      </c>
      <c r="Y45" s="311">
        <v>114.95290234066783</v>
      </c>
      <c r="AA45" s="311">
        <v>120.849360247146</v>
      </c>
      <c r="AB45" s="311">
        <v>114.68160108539131</v>
      </c>
      <c r="AC45" s="311">
        <v>114.91319283712635</v>
      </c>
      <c r="AD45" s="311">
        <v>118.47606921119105</v>
      </c>
      <c r="AE45" s="311">
        <v>118.92698919565009</v>
      </c>
      <c r="AF45" s="311">
        <v>115.44778781423493</v>
      </c>
      <c r="AG45" s="311">
        <v>116.52988733931586</v>
      </c>
      <c r="AH45" s="312">
        <v>101.45539978868553</v>
      </c>
      <c r="AI45" s="282">
        <f t="shared" si="2"/>
        <v>115.1370210954899</v>
      </c>
      <c r="AK45" s="171">
        <f>+SUM(AL40:AL44)</f>
        <v>187.63656562087073</v>
      </c>
      <c r="AL45" s="178" t="s">
        <v>295</v>
      </c>
    </row>
    <row r="46" ht="15.75">
      <c r="X46" s="310" t="s">
        <v>245</v>
      </c>
      <c r="Y46" s="311">
        <v>85.859597980560096</v>
      </c>
      <c r="AA46" s="311">
        <v>85.06987542826559</v>
      </c>
      <c r="AB46" s="311">
        <v>83.838931783317349</v>
      </c>
      <c r="AC46" s="311">
        <v>83.297928563725392</v>
      </c>
      <c r="AD46" s="311">
        <v>84.795602189697078</v>
      </c>
      <c r="AE46" s="311">
        <v>85.960983340951302</v>
      </c>
      <c r="AF46" s="311">
        <v>85.112552737907905</v>
      </c>
      <c r="AG46" s="311">
        <v>84.787817029584744</v>
      </c>
      <c r="AH46" s="312">
        <v>83.773287988440643</v>
      </c>
      <c r="AI46" s="282">
        <f t="shared" si="2"/>
        <v>84.721841893605571</v>
      </c>
    </row>
  </sheetData>
  <mergeCells count="2">
    <mergeCell ref="D4:E4"/>
    <mergeCell ref="G4:I4"/>
  </mergeCells>
  <conditionalFormatting sqref="X45:X46">
    <cfRule type="expression" dxfId="15" priority="16">
      <formula>MOD(ROW(),2)=0</formula>
    </cfRule>
  </conditionalFormatting>
  <conditionalFormatting sqref="AA45:AA46">
    <cfRule type="expression" dxfId="14" priority="15">
      <formula>MOD(ROW(),2)=0</formula>
    </cfRule>
  </conditionalFormatting>
  <conditionalFormatting sqref="AB45:AB46">
    <cfRule type="expression" dxfId="13" priority="14">
      <formula>MOD(ROW(),2)=0</formula>
    </cfRule>
  </conditionalFormatting>
  <conditionalFormatting sqref="AC45:AC46">
    <cfRule type="expression" dxfId="12" priority="13">
      <formula>MOD(ROW(),2)=0</formula>
    </cfRule>
  </conditionalFormatting>
  <conditionalFormatting sqref="AD45:AD46">
    <cfRule type="expression" dxfId="11" priority="12">
      <formula>MOD(ROW(),2)=0</formula>
    </cfRule>
  </conditionalFormatting>
  <conditionalFormatting sqref="AD40:AD44">
    <cfRule type="expression" dxfId="10" priority="11">
      <formula>MOD(ROW(),2)=0</formula>
    </cfRule>
  </conditionalFormatting>
  <conditionalFormatting sqref="AE40:AE46">
    <cfRule type="expression" dxfId="9" priority="10">
      <formula>MOD(ROW(),2)=0</formula>
    </cfRule>
  </conditionalFormatting>
  <conditionalFormatting sqref="AF40:AF46">
    <cfRule type="expression" dxfId="8" priority="9">
      <formula>MOD(ROW(),2)=0</formula>
    </cfRule>
  </conditionalFormatting>
  <conditionalFormatting sqref="AG40:AG46">
    <cfRule type="expression" dxfId="7" priority="8">
      <formula>MOD(ROW(),2)=0</formula>
    </cfRule>
  </conditionalFormatting>
  <conditionalFormatting sqref="AH40:AH46">
    <cfRule type="expression" dxfId="6" priority="7">
      <formula>MOD(ROW(),2)=0</formula>
    </cfRule>
  </conditionalFormatting>
  <conditionalFormatting sqref="Y40:Y46">
    <cfRule type="expression" dxfId="5" priority="6">
      <formula>MOD(ROW(),2)=0</formula>
    </cfRule>
  </conditionalFormatting>
  <conditionalFormatting sqref="AA40:AA44">
    <cfRule type="expression" dxfId="4" priority="5">
      <formula>MOD(ROW(),2)=0</formula>
    </cfRule>
  </conditionalFormatting>
  <conditionalFormatting sqref="AB40:AB44">
    <cfRule type="expression" dxfId="3" priority="4">
      <formula>MOD(ROW(),2)=0</formula>
    </cfRule>
  </conditionalFormatting>
  <conditionalFormatting sqref="AC40:AC44">
    <cfRule type="expression" dxfId="2" priority="3">
      <formula>MOD(ROW(),2)=0</formula>
    </cfRule>
  </conditionalFormatting>
  <conditionalFormatting sqref="X41:X44">
    <cfRule type="expression" dxfId="1" priority="1">
      <formula>MOD(ROW(),2)=0</formula>
    </cfRule>
  </conditionalFormatting>
  <conditionalFormatting sqref="X40">
    <cfRule type="expression" dxfId="0" priority="2">
      <formula>MOD(ROW(),2)=0</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F32D2-7BCD-4E8A-BAB5-447AFB36F809}">
  <dimension ref="A1:L14"/>
  <sheetViews>
    <sheetView topLeftCell="A1048553" workbookViewId="0">
      <selection activeCell="F1048576" sqref="F1048576"/>
    </sheetView>
  </sheetViews>
  <sheetFormatPr defaultColWidth="8.85546875" defaultRowHeight="15"/>
  <cols>
    <col min="1" max="16384" width="8.85546875" style="39"/>
  </cols>
  <sheetData>
    <row r="1">
      <c r="A1" s="19" t="s">
        <v>15</v>
      </c>
      <c r="F1" s="19" t="s">
        <v>6</v>
      </c>
      <c r="K1" s="49" t="s">
        <v>14</v>
      </c>
      <c r="L1" s="39" t="s">
        <v>34</v>
      </c>
    </row>
    <row r="2">
      <c r="A2" s="19"/>
      <c r="F2" s="49" t="s">
        <v>139</v>
      </c>
      <c r="K2" s="19" t="s">
        <v>4</v>
      </c>
      <c r="L2" s="132" t="s">
        <v>35</v>
      </c>
    </row>
    <row r="3">
      <c r="A3" s="19" t="s">
        <v>8</v>
      </c>
      <c r="F3" s="49" t="s">
        <v>140</v>
      </c>
      <c r="K3" s="19">
        <v>2</v>
      </c>
    </row>
    <row r="4">
      <c r="A4" s="19" t="s">
        <v>9</v>
      </c>
      <c r="F4" s="19" t="s">
        <v>7</v>
      </c>
      <c r="K4" s="19">
        <v>3</v>
      </c>
    </row>
    <row r="5">
      <c r="A5" s="19" t="s">
        <v>10</v>
      </c>
      <c r="F5" s="49" t="s">
        <v>59</v>
      </c>
      <c r="K5" s="19">
        <v>4</v>
      </c>
    </row>
    <row r="6">
      <c r="F6" s="49" t="s">
        <v>37</v>
      </c>
      <c r="K6" s="19">
        <v>5</v>
      </c>
    </row>
    <row r="7">
      <c r="F7" s="49" t="s">
        <v>40</v>
      </c>
      <c r="K7" s="19">
        <v>6</v>
      </c>
    </row>
    <row r="8">
      <c r="F8" s="49" t="s">
        <v>41</v>
      </c>
      <c r="K8" s="19">
        <v>7</v>
      </c>
    </row>
    <row r="9">
      <c r="F9" s="49" t="s">
        <v>55</v>
      </c>
      <c r="K9" s="19">
        <v>8</v>
      </c>
    </row>
    <row r="10">
      <c r="F10" s="49" t="s">
        <v>56</v>
      </c>
      <c r="K10" s="19">
        <v>9</v>
      </c>
    </row>
    <row r="11">
      <c r="F11" s="39" t="s">
        <v>79</v>
      </c>
      <c r="K11" s="19" t="s">
        <v>3</v>
      </c>
    </row>
    <row r="12">
      <c r="F12" s="39" t="s">
        <v>80</v>
      </c>
    </row>
    <row r="13">
      <c r="F13" s="39" t="s">
        <v>77</v>
      </c>
    </row>
    <row r="14">
      <c r="F14" s="39" t="s">
        <v>78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CA986-8252-4FD0-B869-96AB0F2D33C0}">
  <dimension ref="A1:AK5"/>
  <sheetViews>
    <sheetView topLeftCell="U1" workbookViewId="0">
      <selection sqref="A1:AK2"/>
    </sheetView>
  </sheetViews>
  <sheetFormatPr defaultColWidth="8.85546875" defaultRowHeight="15"/>
  <cols>
    <col min="1" max="1" width="14.140625" style="51" bestFit="true" customWidth="true"/>
    <col min="2" max="4" width="13.140625" style="51" bestFit="true" customWidth="true"/>
    <col min="5" max="6" width="12.7109375" style="51" bestFit="true" customWidth="true"/>
    <col min="7" max="9" width="14" style="51" bestFit="true" customWidth="true"/>
    <col min="10" max="11" width="13.7109375" style="51" bestFit="true" customWidth="true"/>
    <col min="12" max="12" width="12.42578125" style="51" bestFit="true" customWidth="true"/>
    <col min="13" max="17" width="15.28515625" style="51" bestFit="true" customWidth="true"/>
    <col min="18" max="22" width="16.140625" style="51" bestFit="true" customWidth="true"/>
    <col min="23" max="24" width="12.42578125" style="51" bestFit="true" customWidth="true"/>
    <col min="25" max="26" width="13.42578125" style="51" bestFit="true" customWidth="true"/>
    <col min="27" max="27" width="11.140625" style="51" bestFit="true" customWidth="true"/>
    <col min="28" max="28" width="13.42578125" style="51" bestFit="true" customWidth="true"/>
    <col min="29" max="29" width="10" style="51" bestFit="true" customWidth="true"/>
    <col min="30" max="30" width="8.42578125" style="51" bestFit="true" customWidth="true"/>
    <col min="31" max="31" width="11.7109375" style="51" bestFit="true" customWidth="true"/>
    <col min="32" max="32" width="10.28515625" style="51" bestFit="true" customWidth="true"/>
    <col min="33" max="33" width="12.42578125" style="51" bestFit="true" customWidth="true"/>
    <col min="34" max="34" width="9.140625" style="51" bestFit="true" customWidth="true"/>
    <col min="35" max="35" width="7.42578125" style="51" bestFit="true" customWidth="true"/>
    <col min="36" max="36" width="10.85546875" style="51" bestFit="true" customWidth="true"/>
    <col min="37" max="37" width="16.85546875" style="51" bestFit="true" customWidth="true"/>
    <col min="38" max="16384" width="8.85546875" style="51"/>
  </cols>
  <sheetData>
    <row r="1">
      <c r="A1" s="51" t="s">
        <v>91</v>
      </c>
      <c r="B1" s="51" t="s">
        <v>93</v>
      </c>
      <c r="C1" s="51" t="s">
        <v>94</v>
      </c>
      <c r="D1" s="51" t="s">
        <v>95</v>
      </c>
      <c r="E1" s="51" t="s">
        <v>96</v>
      </c>
      <c r="F1" s="51" t="s">
        <v>97</v>
      </c>
      <c r="G1" s="51" t="s">
        <v>98</v>
      </c>
      <c r="H1" s="51" t="s">
        <v>99</v>
      </c>
      <c r="I1" s="51" t="s">
        <v>100</v>
      </c>
      <c r="J1" s="51" t="s">
        <v>101</v>
      </c>
      <c r="K1" s="51" t="s">
        <v>102</v>
      </c>
      <c r="L1" s="51" t="s">
        <v>92</v>
      </c>
      <c r="M1" s="51" t="s">
        <v>103</v>
      </c>
      <c r="N1" s="51" t="s">
        <v>104</v>
      </c>
      <c r="O1" s="51" t="s">
        <v>105</v>
      </c>
      <c r="P1" s="51" t="s">
        <v>106</v>
      </c>
      <c r="Q1" s="51" t="s">
        <v>107</v>
      </c>
      <c r="R1" s="51" t="s">
        <v>108</v>
      </c>
      <c r="S1" s="51" t="s">
        <v>109</v>
      </c>
      <c r="T1" s="51" t="s">
        <v>110</v>
      </c>
      <c r="U1" s="51" t="s">
        <v>111</v>
      </c>
      <c r="V1" s="51" t="s">
        <v>112</v>
      </c>
      <c r="W1" s="51" t="s">
        <v>114</v>
      </c>
      <c r="X1" s="51" t="s">
        <v>115</v>
      </c>
      <c r="Y1" s="51" t="s">
        <v>116</v>
      </c>
      <c r="Z1" s="51" t="s">
        <v>113</v>
      </c>
      <c r="AA1" s="52" t="s">
        <v>117</v>
      </c>
      <c r="AB1" s="52" t="s">
        <v>118</v>
      </c>
      <c r="AC1" s="52" t="s">
        <v>119</v>
      </c>
      <c r="AD1" s="52" t="s">
        <v>120</v>
      </c>
      <c r="AE1" s="52" t="s">
        <v>121</v>
      </c>
      <c r="AF1" s="52" t="s">
        <v>122</v>
      </c>
      <c r="AG1" s="52" t="s">
        <v>123</v>
      </c>
      <c r="AH1" s="52" t="s">
        <v>124</v>
      </c>
      <c r="AI1" s="52" t="s">
        <v>125</v>
      </c>
      <c r="AJ1" s="52" t="s">
        <v>126</v>
      </c>
      <c r="AK1" s="52" t="s">
        <v>127</v>
      </c>
    </row>
    <row r="2">
      <c r="A2" s="53">
        <f>+policies!C25</f>
        <v>12</v>
      </c>
      <c r="B2" s="54">
        <f>+policies!C7/policies!C26</f>
        <v>91.17</v>
      </c>
      <c r="C2" s="54">
        <f>+policies!C8/policies!C26</f>
        <v>112.5</v>
      </c>
      <c r="D2" s="53">
        <f>+policies!C9/policies!C26</f>
        <v>112.5</v>
      </c>
      <c r="E2" s="54">
        <f>+policies!D7</f>
        <v>300</v>
      </c>
      <c r="F2" s="54">
        <f>+policies!D8</f>
        <v>500</v>
      </c>
      <c r="G2" s="54">
        <f>+policies!C11/policies!C26</f>
        <v>91.17</v>
      </c>
      <c r="H2" s="54">
        <f>+policies!C12/policies!C26</f>
        <v>112.5</v>
      </c>
      <c r="I2" s="54">
        <f>+policies!C13/policies!C26</f>
        <v>124.62</v>
      </c>
      <c r="J2" s="54">
        <f>+policies!D11</f>
        <v>150</v>
      </c>
      <c r="K2" s="54">
        <f>+policies!D12</f>
        <v>250</v>
      </c>
      <c r="L2" s="54">
        <f>+policies!C27/policies!C26</f>
        <v>158.4</v>
      </c>
      <c r="M2" s="51">
        <f>+policies!C16/policies!C26</f>
        <v>96.72</v>
      </c>
      <c r="N2" s="51">
        <f>+policies!C17/policies!C26</f>
        <v>113.38</v>
      </c>
      <c r="O2" s="51">
        <f>+policies!C18/policies!C26</f>
        <v>113.38</v>
      </c>
      <c r="P2" s="51">
        <f>+policies!D16</f>
        <v>100</v>
      </c>
      <c r="Q2" s="51">
        <f>+policies!D17</f>
        <v>600</v>
      </c>
      <c r="R2" s="51">
        <f>+policies!C20/policies!C26</f>
        <v>96.72</v>
      </c>
      <c r="S2" s="51">
        <f>+policies!C21/policies!C26</f>
        <v>113.38</v>
      </c>
      <c r="T2" s="51">
        <f>+policies!C22/policies!C26</f>
        <v>123.92</v>
      </c>
      <c r="U2" s="51">
        <f>+policies!D20</f>
        <v>50</v>
      </c>
      <c r="V2" s="51">
        <f>+policies!D21</f>
        <v>300</v>
      </c>
      <c r="W2" s="51">
        <f>+policies!C23/policies!C26</f>
        <v>114</v>
      </c>
      <c r="X2" s="51">
        <f>+policies!C30/policies!C26</f>
        <v>142.89477113000001</v>
      </c>
      <c r="Y2" s="51">
        <f>+policies!C33</f>
        <v>0.66400000000000003</v>
      </c>
      <c r="Z2" s="51">
        <f>+policies!C32</f>
        <v>0.15797340836905405</v>
      </c>
      <c r="AA2" s="55">
        <f>+policies!D42/policies!C26</f>
        <v>820.20213850000005</v>
      </c>
      <c r="AB2" s="55">
        <f>+policies!D43/policies!C26</f>
        <v>877.49860795238874</v>
      </c>
      <c r="AC2" s="55">
        <f>+policies!D44/policies!C26</f>
        <v>1032.7079930337932</v>
      </c>
      <c r="AD2" s="56">
        <f>+policies!D46/policies!C26</f>
        <v>1035.3070318919426</v>
      </c>
      <c r="AE2" s="56">
        <f>+policies!D45/policies!C26</f>
        <v>845.57386364253443</v>
      </c>
      <c r="AF2" s="55">
        <f>+policies!C42/policies!C26</f>
        <v>476</v>
      </c>
      <c r="AG2" s="55">
        <f>+policies!C43/policies!C26</f>
        <v>410</v>
      </c>
      <c r="AH2" s="55">
        <f>+policies!C44/policies!C26</f>
        <v>665</v>
      </c>
      <c r="AI2" s="56">
        <f>+policies!C46/policies!C26</f>
        <v>777.5</v>
      </c>
      <c r="AJ2" s="56">
        <f>+policies!C45/policies!C26</f>
        <v>497</v>
      </c>
      <c r="AK2" s="51">
        <f>+policies!C54/policies!C26</f>
        <v>14.5</v>
      </c>
    </row>
    <row r="3">
      <c r="A3" s="57"/>
      <c r="B3" s="54"/>
      <c r="C3" s="54"/>
      <c r="D3" s="54"/>
      <c r="E3" s="54"/>
      <c r="F3" s="54"/>
      <c r="G3" s="54"/>
      <c r="H3" s="54"/>
      <c r="I3" s="54"/>
      <c r="J3" s="54"/>
      <c r="K3" s="54"/>
      <c r="AA3" s="52"/>
      <c r="AB3" s="52"/>
    </row>
    <row r="4">
      <c r="A4" s="57"/>
      <c r="B4" s="54"/>
      <c r="C4" s="54"/>
      <c r="D4" s="54"/>
      <c r="E4" s="54"/>
      <c r="F4" s="54"/>
      <c r="G4" s="54"/>
      <c r="H4" s="54"/>
      <c r="I4" s="54"/>
      <c r="J4" s="54"/>
      <c r="K4" s="54"/>
      <c r="AA4" s="52"/>
    </row>
    <row r="5">
      <c r="B5" s="54"/>
      <c r="C5" s="54"/>
      <c r="G5" s="5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D429-A65D-48B1-A09F-A381A9FB6039}">
  <sheetPr>
    <tabColor rgb="FFFFC000"/>
  </sheetPr>
  <dimension ref="A1:L54"/>
  <sheetViews>
    <sheetView zoomScale="118" zoomScaleNormal="145" workbookViewId="0">
      <selection activeCell="C3" sqref="C3:D3"/>
    </sheetView>
  </sheetViews>
  <sheetFormatPr defaultColWidth="9.140625" defaultRowHeight="15"/>
  <cols>
    <col min="1" max="1" width="9.140625" style="59"/>
    <col min="2" max="2" width="43.85546875" style="52" customWidth="true"/>
    <col min="3" max="3" width="11.42578125" style="58" customWidth="true"/>
    <col min="4" max="4" width="11.85546875" style="58" customWidth="true"/>
    <col min="5" max="5" width="16.7109375" style="58" customWidth="true"/>
    <col min="6" max="6" width="18.140625" style="52" customWidth="true"/>
    <col min="7" max="7" width="12.42578125" style="52" bestFit="true" customWidth="true"/>
    <col min="8" max="16384" width="9.140625" style="52"/>
  </cols>
  <sheetData>
    <row r="1" s="76" customFormat="true">
      <c r="A1" s="78"/>
      <c r="C1" s="77"/>
      <c r="D1" s="77"/>
      <c r="E1" s="77"/>
    </row>
    <row r="2" ht="23.25">
      <c r="B2" s="75" t="s">
        <v>176</v>
      </c>
    </row>
    <row r="3" ht="24" customHeight="true" thickBot="true">
      <c r="B3" s="74"/>
      <c r="C3" s="386" t="s">
        <v>249</v>
      </c>
      <c r="D3" s="386"/>
    </row>
    <row r="4" ht="42.75" customHeight="true" thickTop="true" thickBot="true">
      <c r="B4" s="101"/>
      <c r="C4" s="100" t="s">
        <v>175</v>
      </c>
      <c r="D4" s="100" t="s">
        <v>174</v>
      </c>
      <c r="E4" s="99"/>
      <c r="F4" s="98"/>
      <c r="J4" s="99"/>
    </row>
    <row r="5" ht="15" customHeight="true" thickTop="true">
      <c r="B5" s="387" t="s">
        <v>173</v>
      </c>
      <c r="C5" s="387"/>
      <c r="D5" s="387"/>
      <c r="E5" s="99"/>
      <c r="F5" s="98"/>
      <c r="H5" s="388"/>
    </row>
    <row r="6" ht="12.75" customHeight="true">
      <c r="B6" s="83" t="s">
        <v>46</v>
      </c>
      <c r="H6" s="388"/>
    </row>
    <row r="7" ht="15" customHeight="true">
      <c r="B7" s="69" t="s">
        <v>169</v>
      </c>
      <c r="C7" s="97">
        <v>91.17</v>
      </c>
      <c r="D7" s="58">
        <v>300</v>
      </c>
      <c r="F7" s="79"/>
      <c r="H7" s="388"/>
    </row>
    <row r="8" ht="18.75" customHeight="true">
      <c r="B8" s="69" t="s">
        <v>168</v>
      </c>
      <c r="C8" s="353">
        <v>112.5</v>
      </c>
      <c r="D8" s="58">
        <v>500</v>
      </c>
      <c r="F8" s="79"/>
    </row>
    <row r="9">
      <c r="B9" s="94" t="s">
        <v>167</v>
      </c>
      <c r="C9" s="355">
        <v>112.5</v>
      </c>
      <c r="D9" s="93"/>
      <c r="F9" s="79"/>
      <c r="H9" s="388"/>
    </row>
    <row r="10" ht="16.5" customHeight="true">
      <c r="B10" s="83" t="s">
        <v>48</v>
      </c>
      <c r="F10" s="79"/>
      <c r="G10" s="385"/>
      <c r="H10" s="388"/>
    </row>
    <row r="11">
      <c r="B11" s="69" t="s">
        <v>169</v>
      </c>
      <c r="C11" s="97">
        <v>91.17</v>
      </c>
      <c r="D11" s="58">
        <v>150</v>
      </c>
      <c r="F11" s="79"/>
      <c r="G11" s="385"/>
      <c r="H11" s="388"/>
    </row>
    <row r="12">
      <c r="B12" s="69" t="s">
        <v>168</v>
      </c>
      <c r="C12" s="353">
        <v>112.5</v>
      </c>
      <c r="D12" s="58">
        <v>250</v>
      </c>
      <c r="F12" s="79"/>
      <c r="G12" s="385"/>
    </row>
    <row r="13" ht="15.75" thickBot="true">
      <c r="B13" s="90" t="s">
        <v>167</v>
      </c>
      <c r="C13" s="354">
        <v>124.62</v>
      </c>
      <c r="D13" s="73"/>
      <c r="G13" s="385"/>
    </row>
    <row r="14" ht="15.75" thickTop="true">
      <c r="B14" s="387" t="s">
        <v>172</v>
      </c>
      <c r="C14" s="387"/>
      <c r="D14" s="387"/>
      <c r="G14" s="177"/>
    </row>
    <row r="15" ht="15.75" customHeight="true">
      <c r="B15" s="83" t="s">
        <v>171</v>
      </c>
      <c r="G15" s="95"/>
    </row>
    <row r="16">
      <c r="B16" s="69" t="s">
        <v>169</v>
      </c>
      <c r="C16" s="96">
        <v>96.72</v>
      </c>
      <c r="D16" s="91">
        <v>100</v>
      </c>
      <c r="E16" s="91"/>
      <c r="F16" s="225"/>
      <c r="G16" s="95"/>
    </row>
    <row r="17">
      <c r="B17" s="69" t="s">
        <v>168</v>
      </c>
      <c r="C17" s="351">
        <v>113.38</v>
      </c>
      <c r="D17" s="91">
        <v>600</v>
      </c>
      <c r="E17" s="91"/>
      <c r="F17" s="91"/>
      <c r="G17" s="211"/>
    </row>
    <row r="18">
      <c r="B18" s="94" t="s">
        <v>167</v>
      </c>
      <c r="C18" s="352">
        <v>113.38</v>
      </c>
      <c r="D18" s="93"/>
      <c r="F18" s="91"/>
      <c r="G18" s="211"/>
    </row>
    <row r="19" ht="15" customHeight="true">
      <c r="B19" s="83" t="s">
        <v>170</v>
      </c>
      <c r="F19" s="226"/>
    </row>
    <row r="20">
      <c r="B20" s="69" t="s">
        <v>169</v>
      </c>
      <c r="C20" s="92">
        <v>96.72</v>
      </c>
      <c r="D20" s="91">
        <v>50</v>
      </c>
      <c r="E20" s="91"/>
      <c r="F20" s="225"/>
    </row>
    <row r="21">
      <c r="B21" s="69" t="s">
        <v>168</v>
      </c>
      <c r="C21" s="349">
        <v>113.38</v>
      </c>
      <c r="D21" s="91">
        <v>300</v>
      </c>
      <c r="E21" s="91"/>
      <c r="F21" s="225"/>
    </row>
    <row r="22" ht="15.75" thickBot="true">
      <c r="B22" s="90" t="s">
        <v>167</v>
      </c>
      <c r="C22" s="350">
        <v>123.92</v>
      </c>
      <c r="D22" s="73"/>
      <c r="F22" s="79"/>
    </row>
    <row r="23" ht="16.5" thickTop="true" thickBot="true">
      <c r="B23" s="89" t="s">
        <v>166</v>
      </c>
      <c r="C23" s="88">
        <v>114</v>
      </c>
      <c r="D23" s="73"/>
      <c r="F23" s="79"/>
    </row>
    <row r="24" ht="19.5" customHeight="true" thickTop="true">
      <c r="B24" s="87" t="s">
        <v>165</v>
      </c>
      <c r="C24" s="58" t="s">
        <v>164</v>
      </c>
    </row>
    <row r="25" ht="19.5" customHeight="true">
      <c r="B25" s="84" t="s">
        <v>163</v>
      </c>
      <c r="C25" s="86">
        <v>12</v>
      </c>
    </row>
    <row r="26" ht="19.5" customHeight="true">
      <c r="B26" s="84" t="s">
        <v>162</v>
      </c>
      <c r="C26" s="82">
        <v>1</v>
      </c>
      <c r="D26" s="201"/>
      <c r="E26" s="85"/>
      <c r="F26" s="85"/>
      <c r="G26" s="85"/>
      <c r="H26" s="202"/>
    </row>
    <row r="27">
      <c r="B27" s="83" t="s">
        <v>161</v>
      </c>
      <c r="C27" s="82">
        <v>158.4</v>
      </c>
      <c r="D27" s="201"/>
      <c r="E27" s="85"/>
      <c r="F27" s="85"/>
    </row>
    <row r="28">
      <c r="B28" s="62" t="s">
        <v>160</v>
      </c>
      <c r="C28" s="82"/>
      <c r="D28" s="201"/>
      <c r="E28" s="85"/>
      <c r="F28" s="85"/>
    </row>
    <row r="29">
      <c r="B29" s="81"/>
      <c r="C29" s="82"/>
      <c r="D29" s="85"/>
      <c r="E29" s="85"/>
      <c r="F29" s="85"/>
    </row>
    <row r="30">
      <c r="B30" s="81" t="s">
        <v>159</v>
      </c>
      <c r="C30" s="82">
        <v>142.89477113000001</v>
      </c>
      <c r="D30" s="210"/>
      <c r="E30" s="85"/>
      <c r="F30" s="85"/>
    </row>
    <row r="31" ht="19.5" customHeight="true">
      <c r="B31" s="81" t="s">
        <v>158</v>
      </c>
      <c r="C31" s="348">
        <v>120.321197096478</v>
      </c>
      <c r="D31" s="82"/>
    </row>
    <row r="32" ht="19.5" customHeight="true">
      <c r="B32" s="81" t="s">
        <v>157</v>
      </c>
      <c r="C32" s="67">
        <f>+(C30-C31)/C30</f>
        <v>0.15797340836905405</v>
      </c>
      <c r="D32" s="67"/>
    </row>
    <row r="33" ht="19.5" customHeight="true" thickBot="true">
      <c r="B33" s="80" t="s">
        <v>156</v>
      </c>
      <c r="C33" s="73">
        <v>0.66400000000000003</v>
      </c>
      <c r="D33" s="73"/>
    </row>
    <row r="34" ht="19.5" customHeight="true" thickTop="true">
      <c r="B34" s="212" t="s">
        <v>269</v>
      </c>
    </row>
    <row r="36" s="76" customFormat="true">
      <c r="A36" s="78"/>
      <c r="C36" s="77"/>
      <c r="D36" s="77"/>
      <c r="E36" s="77"/>
    </row>
    <row r="37" s="76" customFormat="true">
      <c r="A37" s="78"/>
      <c r="C37" s="77"/>
      <c r="D37" s="77"/>
      <c r="E37" s="77"/>
    </row>
    <row r="39" ht="23.25">
      <c r="B39" s="75" t="s">
        <v>155</v>
      </c>
    </row>
    <row r="40" ht="15.75" thickBot="true">
      <c r="B40" s="74"/>
      <c r="C40" s="73"/>
      <c r="D40" s="73"/>
      <c r="E40" s="73"/>
    </row>
    <row r="41" ht="44.25" customHeight="true" thickTop="true">
      <c r="B41" s="72"/>
      <c r="C41" s="71" t="s">
        <v>154</v>
      </c>
      <c r="D41" s="71" t="s">
        <v>153</v>
      </c>
      <c r="E41" s="71" t="s">
        <v>152</v>
      </c>
    </row>
    <row r="42">
      <c r="B42" s="52" t="s">
        <v>151</v>
      </c>
      <c r="C42" s="70">
        <v>476</v>
      </c>
      <c r="D42" s="70">
        <v>820.20213850000005</v>
      </c>
      <c r="E42" s="67">
        <f>+(D42-C42)/D42</f>
        <v>0.41965525611708709</v>
      </c>
      <c r="K42" s="55"/>
      <c r="L42" s="55"/>
    </row>
    <row r="43">
      <c r="B43" s="52" t="s">
        <v>150</v>
      </c>
      <c r="C43" s="70">
        <v>410</v>
      </c>
      <c r="D43" s="70">
        <v>877.49860795238874</v>
      </c>
      <c r="E43" s="67">
        <f>+(D43-C43)/D43</f>
        <v>0.5327627915482166</v>
      </c>
      <c r="K43" s="66"/>
      <c r="L43" s="55"/>
    </row>
    <row r="44">
      <c r="B44" s="52" t="s">
        <v>149</v>
      </c>
      <c r="C44" s="357">
        <v>665</v>
      </c>
      <c r="D44" s="70">
        <v>1032.7079930337932</v>
      </c>
      <c r="E44" s="67">
        <f>+(D44-C44)/D44</f>
        <v>0.35606192216405236</v>
      </c>
      <c r="K44" s="55"/>
      <c r="L44" s="55"/>
    </row>
    <row r="45">
      <c r="B45" s="223" t="s">
        <v>145</v>
      </c>
      <c r="C45" s="68">
        <v>497</v>
      </c>
      <c r="D45" s="68">
        <v>845.57386364253443</v>
      </c>
      <c r="E45" s="67">
        <f>+(D45-C45)/D45</f>
        <v>0.41223348855765213</v>
      </c>
    </row>
    <row r="46">
      <c r="B46" s="52" t="s">
        <v>148</v>
      </c>
      <c r="C46" s="68">
        <f>+C49*0.5+C48*0.5</f>
        <v>777.5</v>
      </c>
      <c r="D46" s="68">
        <f>+D49*0.5+D48*0.5</f>
        <v>1035.3070318919426</v>
      </c>
      <c r="E46" s="67">
        <f>+(D46-C46)/D46</f>
        <v>0.24901504959434154</v>
      </c>
      <c r="K46" s="55"/>
      <c r="L46" s="55"/>
    </row>
    <row r="47">
      <c r="B47" s="224"/>
      <c r="C47" s="52"/>
      <c r="D47" s="55"/>
      <c r="E47" s="67"/>
      <c r="K47" s="55"/>
      <c r="L47" s="55"/>
    </row>
    <row r="48">
      <c r="B48" s="69" t="s">
        <v>147</v>
      </c>
      <c r="C48" s="358">
        <v>890</v>
      </c>
      <c r="D48" s="68">
        <v>1055.3151574036956</v>
      </c>
      <c r="E48" s="67">
        <f>+(D48-C48)/D48</f>
        <v>0.15665003600479574</v>
      </c>
    </row>
    <row r="49" ht="15.75" thickBot="true">
      <c r="B49" s="65" t="s">
        <v>146</v>
      </c>
      <c r="C49" s="64">
        <v>665</v>
      </c>
      <c r="D49" s="64">
        <v>1015.2989063801895</v>
      </c>
      <c r="E49" s="63">
        <f>+(D49-C49)/D49</f>
        <v>0.34502047050271945</v>
      </c>
      <c r="K49" s="66"/>
      <c r="L49" s="55"/>
    </row>
    <row r="50" ht="15.75" thickTop="true">
      <c r="B50" s="213" t="s">
        <v>268</v>
      </c>
    </row>
    <row r="53">
      <c r="B53" s="62" t="s">
        <v>144</v>
      </c>
    </row>
    <row r="54">
      <c r="B54" s="61" t="s">
        <v>143</v>
      </c>
      <c r="C54" s="60">
        <v>14.5</v>
      </c>
    </row>
  </sheetData>
  <protectedRanges>
    <protectedRange sqref="A7 C20 A13:A14 C7:F9 C11 C16" name="Range1"/>
    <protectedRange sqref="D11:F11 A11:A12 A9 C12:F13 E14:F14" name="Range2"/>
  </protectedRanges>
  <mergeCells count="6">
    <mergeCell ref="G10:G13"/>
    <mergeCell ref="C3:D3"/>
    <mergeCell ref="B5:D5"/>
    <mergeCell ref="B14:D14"/>
    <mergeCell ref="H9:H11"/>
    <mergeCell ref="H5:H7"/>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720B-2D95-4888-9CF8-B4EE0A4B2424}">
  <dimension ref="A2:K25"/>
  <sheetViews>
    <sheetView workbookViewId="0">
      <selection activeCell="G31" sqref="G31"/>
    </sheetView>
  </sheetViews>
  <sheetFormatPr defaultColWidth="10.85546875" defaultRowHeight="15"/>
  <cols>
    <col min="1" max="1" width="10.85546875" style="2" customWidth="true"/>
    <col min="2" max="2" width="18.7109375" style="2" customWidth="true"/>
    <col min="3" max="3" width="12.140625" style="2" customWidth="true"/>
    <col min="4" max="4" width="9.28515625" style="2" customWidth="true"/>
    <col min="5" max="5" width="11.140625" style="2" customWidth="true"/>
    <col min="6" max="6" width="10.42578125" style="2" customWidth="true"/>
    <col min="7" max="7" width="22.42578125" style="2" customWidth="true"/>
    <col min="8" max="16384" width="10.85546875" style="2"/>
  </cols>
  <sheetData>
    <row r="2">
      <c r="A2" s="8" t="s">
        <v>14</v>
      </c>
      <c r="H2" s="5"/>
      <c r="I2" s="7" t="str">
        <f>+B19</f>
        <v>Tranche1</v>
      </c>
      <c r="J2" s="7" t="str">
        <f>+B20</f>
        <v>Tranche2</v>
      </c>
      <c r="K2" s="7" t="str">
        <f>+B21</f>
        <v>Tranche3</v>
      </c>
    </row>
    <row r="3">
      <c r="A3" s="2" t="s">
        <v>16</v>
      </c>
      <c r="B3" s="2" t="str" cm="1">
        <f t="array" aca="true" ref="B3" ca="true">INDIRECT(A3)</f>
        <v>Bottom decile</v>
      </c>
      <c r="H3" s="5" t="str">
        <f t="shared" ref="H3:H12" ca="true" si="0">+B3</f>
        <v>Bottom decile</v>
      </c>
      <c r="I3" s="5">
        <v>43</v>
      </c>
      <c r="J3" s="5">
        <v>29</v>
      </c>
      <c r="K3" s="5">
        <v>28</v>
      </c>
    </row>
    <row r="4">
      <c r="A4" s="2" t="s">
        <v>17</v>
      </c>
      <c r="B4" s="2" cm="1">
        <f t="array" aca="true" ref="B4" ca="true">INDIRECT(A4)</f>
        <v>2</v>
      </c>
      <c r="H4" s="5">
        <f t="shared" ca="true" si="0"/>
        <v>2</v>
      </c>
      <c r="I4" s="5">
        <v>37</v>
      </c>
      <c r="J4" s="5">
        <v>34</v>
      </c>
      <c r="K4" s="5">
        <v>29</v>
      </c>
    </row>
    <row r="5">
      <c r="A5" s="2" t="s">
        <v>18</v>
      </c>
      <c r="B5" s="2" cm="1">
        <f t="array" aca="true" ref="B5" ca="true">INDIRECT(A5)</f>
        <v>3</v>
      </c>
      <c r="H5" s="5">
        <f t="shared" ca="true" si="0"/>
        <v>3</v>
      </c>
      <c r="I5" s="5">
        <v>31</v>
      </c>
      <c r="J5" s="5">
        <v>25</v>
      </c>
      <c r="K5" s="5">
        <v>44</v>
      </c>
    </row>
    <row r="6">
      <c r="A6" s="2" t="s">
        <v>19</v>
      </c>
      <c r="B6" s="2" cm="1">
        <f t="array" aca="true" ref="B6" ca="true">INDIRECT(A6)</f>
        <v>4</v>
      </c>
      <c r="H6" s="5">
        <f t="shared" ca="true" si="0"/>
        <v>4</v>
      </c>
      <c r="I6" s="5">
        <v>25</v>
      </c>
      <c r="J6" s="5">
        <v>47</v>
      </c>
      <c r="K6" s="5">
        <v>28</v>
      </c>
    </row>
    <row r="7">
      <c r="A7" s="2" t="s">
        <v>20</v>
      </c>
      <c r="B7" s="2" cm="1">
        <f t="array" aca="true" ref="B7" ca="true">INDIRECT(A7)</f>
        <v>5</v>
      </c>
      <c r="H7" s="5">
        <f t="shared" ca="true" si="0"/>
        <v>5</v>
      </c>
      <c r="I7" s="5">
        <v>31</v>
      </c>
      <c r="J7" s="5">
        <v>35</v>
      </c>
      <c r="K7" s="5">
        <v>34</v>
      </c>
    </row>
    <row r="8">
      <c r="A8" s="2" t="s">
        <v>21</v>
      </c>
      <c r="B8" s="2" cm="1">
        <f t="array" aca="true" ref="B8" ca="true">INDIRECT(A8)</f>
        <v>6</v>
      </c>
      <c r="H8" s="5">
        <f t="shared" ca="true" si="0"/>
        <v>6</v>
      </c>
      <c r="I8" s="5">
        <v>37</v>
      </c>
      <c r="J8" s="5">
        <v>34</v>
      </c>
      <c r="K8" s="5">
        <v>29</v>
      </c>
    </row>
    <row r="9">
      <c r="A9" s="2" t="s">
        <v>22</v>
      </c>
      <c r="B9" s="2" cm="1">
        <f t="array" aca="true" ref="B9" ca="true">INDIRECT(A9)</f>
        <v>7</v>
      </c>
      <c r="H9" s="5">
        <f t="shared" ca="true" si="0"/>
        <v>7</v>
      </c>
      <c r="I9" s="5">
        <v>43</v>
      </c>
      <c r="J9" s="5">
        <v>29</v>
      </c>
      <c r="K9" s="5">
        <v>28</v>
      </c>
    </row>
    <row r="10">
      <c r="A10" s="2" t="s">
        <v>23</v>
      </c>
      <c r="B10" s="2" cm="1">
        <f t="array" aca="true" ref="B10" ca="true">INDIRECT(A10)</f>
        <v>8</v>
      </c>
      <c r="H10" s="5">
        <f t="shared" ca="true" si="0"/>
        <v>8</v>
      </c>
      <c r="I10" s="5">
        <v>37</v>
      </c>
      <c r="J10" s="5">
        <v>34</v>
      </c>
      <c r="K10" s="5">
        <v>29</v>
      </c>
    </row>
    <row r="11">
      <c r="A11" s="2" t="s">
        <v>24</v>
      </c>
      <c r="B11" s="2" cm="1">
        <f t="array" aca="true" ref="B11" ca="true">INDIRECT(A11)</f>
        <v>9</v>
      </c>
      <c r="H11" s="5">
        <f t="shared" ca="true" si="0"/>
        <v>9</v>
      </c>
      <c r="I11" s="5">
        <v>15</v>
      </c>
      <c r="J11" s="5">
        <v>47</v>
      </c>
      <c r="K11" s="5">
        <v>38</v>
      </c>
    </row>
    <row r="12">
      <c r="A12" s="2" t="s">
        <v>25</v>
      </c>
      <c r="B12" s="2" t="str" cm="1">
        <f t="array" aca="true" ref="B12" ca="true">INDIRECT(A12)</f>
        <v>Top decile</v>
      </c>
      <c r="H12" s="5" t="str">
        <f t="shared" ca="true" si="0"/>
        <v>Top decile</v>
      </c>
      <c r="I12" s="5">
        <v>31</v>
      </c>
      <c r="J12" s="5">
        <v>25</v>
      </c>
      <c r="K12" s="5">
        <v>44</v>
      </c>
    </row>
    <row r="15">
      <c r="A15" s="8" t="s">
        <v>6</v>
      </c>
    </row>
    <row r="16">
      <c r="A16" s="2" t="s">
        <v>26</v>
      </c>
      <c r="B16" s="2" t="str" cm="1">
        <f t="array" aca="true" ref="B16" ca="true">INDIRECT(A16)</f>
        <v>Percentage of population who pays VAT on electricity</v>
      </c>
    </row>
    <row r="18">
      <c r="A18" s="2" t="s">
        <v>5</v>
      </c>
    </row>
    <row r="19">
      <c r="A19" s="2" t="s">
        <v>27</v>
      </c>
      <c r="B19" s="2" t="str">
        <f>+labels!A3</f>
        <v>Tranche1</v>
      </c>
    </row>
    <row r="20">
      <c r="A20" s="2" t="s">
        <v>28</v>
      </c>
      <c r="B20" s="2" t="str">
        <f>+labels!A4</f>
        <v>Tranche2</v>
      </c>
    </row>
    <row r="21">
      <c r="A21" s="2" t="s">
        <v>29</v>
      </c>
      <c r="B21" s="2" t="str">
        <f>+labels!A5</f>
        <v>Tranche3</v>
      </c>
    </row>
    <row r="23">
      <c r="A23" s="6" t="s">
        <v>2</v>
      </c>
      <c r="B23" s="2" t="s">
        <v>11</v>
      </c>
    </row>
    <row r="24">
      <c r="A24" s="4" t="s">
        <v>1</v>
      </c>
      <c r="B24" s="3" t="s">
        <v>12</v>
      </c>
    </row>
    <row r="25">
      <c r="A25" s="6" t="s">
        <v>0</v>
      </c>
      <c r="B25" s="2" t="s">
        <v>13</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D8AD-0D51-4463-BA9B-EE5BF42F870F}">
  <dimension ref="A2:R26"/>
  <sheetViews>
    <sheetView topLeftCell="E1" workbookViewId="0">
      <selection activeCell="P4" sqref="P4"/>
    </sheetView>
  </sheetViews>
  <sheetFormatPr defaultColWidth="10.85546875" defaultRowHeight="15"/>
  <cols>
    <col min="1" max="1" width="10.85546875" style="19" hidden="true" customWidth="true"/>
    <col min="2" max="2" width="17.140625" style="19" hidden="true" customWidth="true"/>
    <col min="3" max="3" width="12.140625" style="19" hidden="true" customWidth="true"/>
    <col min="4" max="4" width="9.28515625" style="19" hidden="true" customWidth="true"/>
    <col min="5" max="5" width="11.140625" style="19" customWidth="true"/>
    <col min="6" max="6" width="10.42578125" style="19" customWidth="true"/>
    <col min="7" max="7" width="22.42578125" style="19" customWidth="true"/>
    <col min="8" max="8" width="10.85546875" style="19"/>
    <col min="9" max="9" width="19.85546875" style="19" customWidth="true"/>
    <col min="10" max="10" width="1.42578125" style="19" customWidth="true"/>
    <col min="11" max="11" width="20.42578125" style="19" customWidth="true"/>
    <col min="12" max="13" width="10.85546875" style="19"/>
    <col min="14" max="15" width="1.28515625" style="19" customWidth="true"/>
    <col min="16" max="16" width="25.42578125" style="19" customWidth="true"/>
    <col min="17" max="17" width="5.7109375" style="19" customWidth="true"/>
    <col min="18" max="18" width="13.42578125" style="19" customWidth="true"/>
    <col min="19" max="23" width="5.7109375" style="19" customWidth="true"/>
    <col min="24" max="16384" width="10.85546875" style="19"/>
  </cols>
  <sheetData>
    <row r="2" ht="53.25" customHeight="true">
      <c r="I2" s="117" t="str">
        <f ca="true">+B17</f>
        <v>Percentage of population who pays VAT on electricity</v>
      </c>
      <c r="J2" s="118"/>
      <c r="K2" s="117" t="str">
        <f ca="true">+B18</f>
        <v>Percentage of population receiving electricity subsidies</v>
      </c>
      <c r="M2" s="39"/>
    </row>
    <row r="3">
      <c r="A3" s="19" t="s">
        <v>14</v>
      </c>
      <c r="I3" s="42" t="s">
        <v>60</v>
      </c>
      <c r="J3" s="20"/>
      <c r="K3" s="43" t="s">
        <v>61</v>
      </c>
      <c r="P3" s="19" t="s">
        <v>30</v>
      </c>
      <c r="R3" s="19" t="s">
        <v>32</v>
      </c>
    </row>
    <row r="4">
      <c r="A4" s="19" t="s">
        <v>16</v>
      </c>
      <c r="B4" s="19" t="str" cm="1">
        <f t="array" aca="true" ref="B4" ca="true">INDIRECT(A4)</f>
        <v>Bottom decile</v>
      </c>
      <c r="H4" s="22" t="str">
        <f t="shared" ref="H4:H13" ca="true" si="0">+B4</f>
        <v>Bottom decile</v>
      </c>
      <c r="I4" s="44">
        <f>100*INDEX(stats!$D:$D,MATCH(Elec_Coverage!P4,stats!$A:$A,0))</f>
        <v>0.52220799509305893</v>
      </c>
      <c r="J4" s="33"/>
      <c r="K4" s="44">
        <f>100*INDEX(stats!$D:$D,MATCH(Elec_Coverage!R4,stats!$A:$A,0))</f>
        <v>16.588417293506019</v>
      </c>
      <c r="O4" s="19">
        <v>1</v>
      </c>
      <c r="P4" s="39" t="str">
        <f>+_xlfn.CONCAT(P$3,"_elec_pc_coverage__yd_",$O4)</f>
        <v>vat_elec_pc_coverage__yd_1</v>
      </c>
      <c r="R4" s="39" t="str">
        <f>+_xlfn.CONCAT(R$3,"_elec_direct_pc_coverage__yd_",$O4)</f>
        <v>subsidy_elec_direct_pc_coverage__yd_1</v>
      </c>
    </row>
    <row r="5">
      <c r="A5" s="19" t="s">
        <v>17</v>
      </c>
      <c r="B5" s="19" cm="1">
        <f t="array" aca="true" ref="B5" ca="true">INDIRECT(A5)</f>
        <v>2</v>
      </c>
      <c r="H5" s="22">
        <f t="shared" ca="true" si="0"/>
        <v>2</v>
      </c>
      <c r="I5" s="44">
        <f>100*INDEX(stats!$D:$D,MATCH(Elec_Coverage!P5,stats!$A:$A,0))</f>
        <v>2.512926597044332</v>
      </c>
      <c r="J5" s="33"/>
      <c r="K5" s="44">
        <f>100*INDEX(stats!$D:$D,MATCH(Elec_Coverage!R5,stats!$A:$A,0))</f>
        <v>27.028550352957421</v>
      </c>
      <c r="O5" s="19">
        <v>2</v>
      </c>
      <c r="P5" s="39" t="str">
        <f t="shared" ref="P5:P13" si="1">+_xlfn.CONCAT(P$3,"_elec_pc_coverage__yd_",$O5)</f>
        <v>vat_elec_pc_coverage__yd_2</v>
      </c>
      <c r="R5" s="39" t="str">
        <f t="shared" ref="R5:R13" si="2">+_xlfn.CONCAT(R$3,"_elec_direct_pc_coverage__yd_",$O5)</f>
        <v>subsidy_elec_direct_pc_coverage__yd_2</v>
      </c>
    </row>
    <row r="6">
      <c r="A6" s="19" t="s">
        <v>18</v>
      </c>
      <c r="B6" s="19" cm="1">
        <f t="array" aca="true" ref="B6" ca="true">INDIRECT(A6)</f>
        <v>3</v>
      </c>
      <c r="H6" s="22">
        <f t="shared" ca="true" si="0"/>
        <v>3</v>
      </c>
      <c r="I6" s="44">
        <f>100*INDEX(stats!$D:$D,MATCH(Elec_Coverage!P6,stats!$A:$A,0))</f>
        <v>3.1559364885235301</v>
      </c>
      <c r="J6" s="33"/>
      <c r="K6" s="44">
        <f>100*INDEX(stats!$D:$D,MATCH(Elec_Coverage!R6,stats!$A:$A,0))</f>
        <v>35.1923932260054</v>
      </c>
      <c r="O6" s="19">
        <v>3</v>
      </c>
      <c r="P6" s="39" t="str">
        <f t="shared" si="1"/>
        <v>vat_elec_pc_coverage__yd_3</v>
      </c>
      <c r="R6" s="39" t="str">
        <f t="shared" si="2"/>
        <v>subsidy_elec_direct_pc_coverage__yd_3</v>
      </c>
    </row>
    <row r="7">
      <c r="A7" s="19" t="s">
        <v>19</v>
      </c>
      <c r="B7" s="19" cm="1">
        <f t="array" aca="true" ref="B7" ca="true">INDIRECT(A7)</f>
        <v>4</v>
      </c>
      <c r="H7" s="22">
        <f t="shared" ca="true" si="0"/>
        <v>4</v>
      </c>
      <c r="I7" s="44">
        <f>100*INDEX(stats!$D:$D,MATCH(Elec_Coverage!P7,stats!$A:$A,0))</f>
        <v>5.3896738088686309</v>
      </c>
      <c r="J7" s="33"/>
      <c r="K7" s="44">
        <f>100*INDEX(stats!$D:$D,MATCH(Elec_Coverage!R7,stats!$A:$A,0))</f>
        <v>47.922812384183871</v>
      </c>
      <c r="O7" s="19">
        <v>4</v>
      </c>
      <c r="P7" s="39" t="str">
        <f t="shared" si="1"/>
        <v>vat_elec_pc_coverage__yd_4</v>
      </c>
      <c r="R7" s="39" t="str">
        <f t="shared" si="2"/>
        <v>subsidy_elec_direct_pc_coverage__yd_4</v>
      </c>
    </row>
    <row r="8">
      <c r="A8" s="19" t="s">
        <v>20</v>
      </c>
      <c r="B8" s="19" cm="1">
        <f t="array" aca="true" ref="B8" ca="true">INDIRECT(A8)</f>
        <v>5</v>
      </c>
      <c r="H8" s="22">
        <f t="shared" ca="true" si="0"/>
        <v>5</v>
      </c>
      <c r="I8" s="44">
        <f>100*INDEX(stats!$D:$D,MATCH(Elec_Coverage!P8,stats!$A:$A,0))</f>
        <v>3.4473341076220749</v>
      </c>
      <c r="J8" s="33"/>
      <c r="K8" s="44">
        <f>100*INDEX(stats!$D:$D,MATCH(Elec_Coverage!R8,stats!$A:$A,0))</f>
        <v>54.494813774874842</v>
      </c>
      <c r="O8" s="19">
        <v>5</v>
      </c>
      <c r="P8" s="39" t="str">
        <f t="shared" si="1"/>
        <v>vat_elec_pc_coverage__yd_5</v>
      </c>
      <c r="R8" s="39" t="str">
        <f t="shared" si="2"/>
        <v>subsidy_elec_direct_pc_coverage__yd_5</v>
      </c>
    </row>
    <row r="9">
      <c r="A9" s="19" t="s">
        <v>21</v>
      </c>
      <c r="B9" s="19" cm="1">
        <f t="array" aca="true" ref="B9" ca="true">INDIRECT(A9)</f>
        <v>6</v>
      </c>
      <c r="H9" s="22">
        <f t="shared" ca="true" si="0"/>
        <v>6</v>
      </c>
      <c r="I9" s="44">
        <f>100*INDEX(stats!$D:$D,MATCH(Elec_Coverage!P9,stats!$A:$A,0))</f>
        <v>11.6408694642302</v>
      </c>
      <c r="J9" s="33"/>
      <c r="K9" s="44">
        <f>100*INDEX(stats!$D:$D,MATCH(Elec_Coverage!R9,stats!$A:$A,0))</f>
        <v>65.580975541773327</v>
      </c>
      <c r="O9" s="19">
        <v>6</v>
      </c>
      <c r="P9" s="39" t="str">
        <f t="shared" si="1"/>
        <v>vat_elec_pc_coverage__yd_6</v>
      </c>
      <c r="R9" s="39" t="str">
        <f t="shared" si="2"/>
        <v>subsidy_elec_direct_pc_coverage__yd_6</v>
      </c>
    </row>
    <row r="10">
      <c r="A10" s="19" t="s">
        <v>22</v>
      </c>
      <c r="B10" s="19" cm="1">
        <f t="array" aca="true" ref="B10" ca="true">INDIRECT(A10)</f>
        <v>7</v>
      </c>
      <c r="H10" s="22">
        <f t="shared" ca="true" si="0"/>
        <v>7</v>
      </c>
      <c r="I10" s="44">
        <f>100*INDEX(stats!$D:$D,MATCH(Elec_Coverage!P10,stats!$A:$A,0))</f>
        <v>8.3573441949780047</v>
      </c>
      <c r="J10" s="33"/>
      <c r="K10" s="44">
        <f>100*INDEX(stats!$D:$D,MATCH(Elec_Coverage!R10,stats!$A:$A,0))</f>
        <v>75.980724519189408</v>
      </c>
      <c r="O10" s="19">
        <v>7</v>
      </c>
      <c r="P10" s="39" t="str">
        <f t="shared" si="1"/>
        <v>vat_elec_pc_coverage__yd_7</v>
      </c>
      <c r="R10" s="39" t="str">
        <f t="shared" si="2"/>
        <v>subsidy_elec_direct_pc_coverage__yd_7</v>
      </c>
    </row>
    <row r="11">
      <c r="A11" s="19" t="s">
        <v>23</v>
      </c>
      <c r="B11" s="19" cm="1">
        <f t="array" aca="true" ref="B11" ca="true">INDIRECT(A11)</f>
        <v>8</v>
      </c>
      <c r="H11" s="22">
        <f t="shared" ca="true" si="0"/>
        <v>8</v>
      </c>
      <c r="I11" s="44">
        <f>100*INDEX(stats!$D:$D,MATCH(Elec_Coverage!P11,stats!$A:$A,0))</f>
        <v>14.586034676651671</v>
      </c>
      <c r="J11" s="33"/>
      <c r="K11" s="44">
        <f>100*INDEX(stats!$D:$D,MATCH(Elec_Coverage!R11,stats!$A:$A,0))</f>
        <v>83.97875079607013</v>
      </c>
      <c r="O11" s="19">
        <v>8</v>
      </c>
      <c r="P11" s="39" t="str">
        <f t="shared" si="1"/>
        <v>vat_elec_pc_coverage__yd_8</v>
      </c>
      <c r="R11" s="39" t="str">
        <f t="shared" si="2"/>
        <v>subsidy_elec_direct_pc_coverage__yd_8</v>
      </c>
    </row>
    <row r="12">
      <c r="A12" s="19" t="s">
        <v>24</v>
      </c>
      <c r="B12" s="19" cm="1">
        <f t="array" aca="true" ref="B12" ca="true">INDIRECT(A12)</f>
        <v>9</v>
      </c>
      <c r="H12" s="22">
        <f t="shared" ca="true" si="0"/>
        <v>9</v>
      </c>
      <c r="I12" s="44">
        <f>100*INDEX(stats!$D:$D,MATCH(Elec_Coverage!P12,stats!$A:$A,0))</f>
        <v>21.480269446910249</v>
      </c>
      <c r="J12" s="33"/>
      <c r="K12" s="44">
        <f>100*INDEX(stats!$D:$D,MATCH(Elec_Coverage!R12,stats!$A:$A,0))</f>
        <v>89.76454541193803</v>
      </c>
      <c r="O12" s="19">
        <v>9</v>
      </c>
      <c r="P12" s="39" t="str">
        <f t="shared" si="1"/>
        <v>vat_elec_pc_coverage__yd_9</v>
      </c>
      <c r="R12" s="39" t="str">
        <f t="shared" si="2"/>
        <v>subsidy_elec_direct_pc_coverage__yd_9</v>
      </c>
    </row>
    <row r="13">
      <c r="A13" s="19" t="s">
        <v>25</v>
      </c>
      <c r="B13" s="19" t="str" cm="1">
        <f t="array" aca="true" ref="B13" ca="true">INDIRECT(A13)</f>
        <v>Top decile</v>
      </c>
      <c r="H13" s="22" t="str">
        <f t="shared" ca="true" si="0"/>
        <v>Top decile</v>
      </c>
      <c r="I13" s="45">
        <f>100*INDEX(stats!$D:$D,MATCH(Elec_Coverage!P13,stats!$A:$A,0))</f>
        <v>33.570442144046247</v>
      </c>
      <c r="J13" s="46"/>
      <c r="K13" s="45">
        <f>100*INDEX(stats!$D:$D,MATCH(Elec_Coverage!R13,stats!$A:$A,0))</f>
        <v>95.27484167555302</v>
      </c>
      <c r="O13" s="19">
        <v>10</v>
      </c>
      <c r="P13" s="39" t="str">
        <f t="shared" si="1"/>
        <v>vat_elec_pc_coverage__yd_10</v>
      </c>
      <c r="R13" s="39" t="str">
        <f t="shared" si="2"/>
        <v>subsidy_elec_direct_pc_coverage__yd_10</v>
      </c>
    </row>
    <row r="14" ht="38.25">
      <c r="A14" s="40" t="s">
        <v>36</v>
      </c>
      <c r="B14" s="41" t="str" cm="1">
        <f t="array" aca="true" ref="B14" ca="true">INDIRECT(A14)</f>
        <v>Deciles of per capita disposable income</v>
      </c>
    </row>
    <row r="16">
      <c r="A16" s="19" t="s">
        <v>6</v>
      </c>
    </row>
    <row r="17">
      <c r="A17" s="19" t="s">
        <v>26</v>
      </c>
      <c r="B17" s="19" t="str" cm="1">
        <f t="array" aca="true" ref="B17" ca="true">INDIRECT(A17)</f>
        <v>Percentage of population who pays VAT on electricity</v>
      </c>
    </row>
    <row r="18">
      <c r="A18" s="19" t="s">
        <v>33</v>
      </c>
      <c r="B18" s="19" t="str" cm="1">
        <f t="array" aca="true" ref="B18" ca="true">INDIRECT(A18)</f>
        <v>Percentage of population receiving electricity subsidies</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honeticPr fontId="14"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D547-2785-45E3-9A51-E040A56E7A32}">
  <dimension ref="A2:AK26"/>
  <sheetViews>
    <sheetView topLeftCell="F10" zoomScale="85" zoomScaleNormal="85" workbookViewId="0">
      <selection activeCell="U36" sqref="U36"/>
    </sheetView>
  </sheetViews>
  <sheetFormatPr defaultColWidth="10.85546875" defaultRowHeight="15"/>
  <cols>
    <col min="1" max="1" width="10.85546875" style="19" hidden="true" customWidth="true"/>
    <col min="2" max="2" width="18.7109375" style="19" hidden="true" customWidth="true"/>
    <col min="3" max="3" width="0.0" style="19" hidden="true" customWidth="true"/>
    <col min="4" max="4" width="11.85546875" style="19" hidden="true" customWidth="true"/>
    <col min="5" max="5" width="8.42578125" style="19" hidden="true" customWidth="true"/>
    <col min="6" max="8" width="10.85546875" style="19"/>
    <col min="9" max="10" width="15.85546875" style="19" customWidth="true"/>
    <col min="11" max="11" width="10.85546875" style="19"/>
    <col min="12" max="13" width="16.5703125" style="19" customWidth="true"/>
    <col min="14" max="16" width="5.5703125" style="19" customWidth="true"/>
    <col min="17" max="17" width="16.140625" style="19" customWidth="true"/>
    <col min="18" max="19" width="5.5703125" style="19" customWidth="true"/>
    <col min="20" max="20" width="10.5703125" style="19" customWidth="true"/>
    <col min="21" max="21" width="16.7109375" style="19" customWidth="true"/>
    <col min="22" max="22" width="13.7109375" style="19" customWidth="true"/>
    <col min="23" max="23" width="12" style="19" customWidth="true"/>
    <col min="24" max="24" width="29.7109375" style="19" customWidth="true"/>
    <col min="25" max="25" width="10.85546875" style="19"/>
    <col min="26" max="26" width="12" style="19" bestFit="true" customWidth="true"/>
    <col min="27" max="16384" width="10.85546875" style="19"/>
  </cols>
  <sheetData>
    <row r="2" ht="63.75" customHeight="true">
      <c r="H2" s="231" t="s">
        <v>0</v>
      </c>
      <c r="I2" s="368" t="str">
        <f ca="true">B17</f>
        <v>Percentage of disposable income</v>
      </c>
      <c r="J2" s="368" t="str">
        <f>B18</f>
        <v>Percentage of disposable income</v>
      </c>
      <c r="K2" s="369"/>
      <c r="L2" s="368" t="str">
        <f ca="true">+B17</f>
        <v>Percentage of disposable income</v>
      </c>
      <c r="Q2" s="363"/>
      <c r="AE2" s="21" t="s">
        <v>69</v>
      </c>
      <c r="AG2" s="21"/>
      <c r="AI2" s="21"/>
      <c r="AK2" t="s">
        <v>1193</v>
      </c>
    </row>
    <row r="3" ht="39.6" customHeight="true">
      <c r="A3" s="19" t="s">
        <v>14</v>
      </c>
      <c r="H3" s="22"/>
      <c r="I3" s="364" t="s">
        <v>60</v>
      </c>
      <c r="J3" s="364" t="s">
        <v>1196</v>
      </c>
      <c r="K3" s="365"/>
      <c r="L3" s="366" t="s">
        <v>1121</v>
      </c>
      <c r="M3" s="367" t="s">
        <v>1123</v>
      </c>
      <c r="Q3" s="364" t="s">
        <v>1197</v>
      </c>
      <c r="T3" s="359" t="s">
        <v>292</v>
      </c>
      <c r="AD3" s="24"/>
      <c r="AE3" s="48" t="s">
        <v>65</v>
      </c>
      <c r="AG3" s="21" t="s">
        <v>66</v>
      </c>
      <c r="AI3" s="21" t="s">
        <v>67</v>
      </c>
      <c r="AJ3" s="21" t="s">
        <v>68</v>
      </c>
      <c r="AK3" s="363" t="s">
        <v>1195</v>
      </c>
    </row>
    <row r="4">
      <c r="A4" s="19" t="s">
        <v>16</v>
      </c>
      <c r="B4" s="19" t="str" cm="1">
        <f t="array" aca="true" ref="B4" ca="true">INDIRECT(A4)</f>
        <v>Bottom decile</v>
      </c>
      <c r="H4" s="22" t="str">
        <f t="shared" ref="H4:H7" ca="true" si="0">+B4</f>
        <v>Bottom decile</v>
      </c>
      <c r="I4" s="229">
        <f>100*INDEX(stats!$D:$D,MATCH(Elec_RI!AE4,stats!$A:$A,0))</f>
        <v>-1.149028515130032E-3</v>
      </c>
      <c r="J4" s="229">
        <f>100*INDEX(stats!$D:$D,MATCH(Elec_RI!AG4,stats!$A:$A,0))</f>
        <v>0.48088581246837675</v>
      </c>
      <c r="L4" s="229">
        <f>100*INDEX(stats!$D:$D,MATCH(Elec_RI!AI4,stats!$A:$A,0))</f>
        <v>0.28264227846050638</v>
      </c>
      <c r="M4" s="229">
        <f>100*INDEX(stats!$D:$D,MATCH(Elec_RI!AJ4,stats!$A:$A,0))</f>
        <v>0.19824353389459831</v>
      </c>
      <c r="Q4" s="229">
        <f>100*INDEX(stats!$D:$D,MATCH(Elec_RI!AK4,stats!$A:$A,0))</f>
        <v>0.68648536214843869</v>
      </c>
      <c r="T4" s="229">
        <f t="shared" ref="T4:T13" si="1">+M4+L4+I4</f>
        <v>0.47973678383997465</v>
      </c>
      <c r="AD4" s="24">
        <v>1</v>
      </c>
      <c r="AE4" s="25" t="str">
        <f t="shared" ref="AE4:AE13" si="2">+_xlfn.CONCAT(AE$3,$AE$2,"_yd_",$AD4)</f>
        <v>vat_elec_pc_netcash__yd_1</v>
      </c>
      <c r="AG4" s="25" t="str">
        <f t="shared" ref="AG4:AG13" si="3">+_xlfn.CONCAT(AG$3,$AE$2,"_yd_",$AD4)</f>
        <v>subsidy_elec_pc_netcash__yd_1</v>
      </c>
      <c r="AI4" s="25" t="str">
        <f>+_xlfn.CONCAT(AI$3,$AE$2,"_yd_",$AD4)</f>
        <v>subsidy_elec_direct_pc_netcash__yd_1</v>
      </c>
      <c r="AJ4" s="25" t="str">
        <f>+_xlfn.CONCAT(AJ$3,$AE$2,"_yd_",$AD4)</f>
        <v>subsidy_elec_indirect_pc_netcash__yd_1</v>
      </c>
      <c r="AK4" s="25" t="str">
        <f>+_xlfn.CONCAT(AK$3,$AE$2,"_yd_",$AD4)</f>
        <v>subsidy_mp_pc_netcash__yd_1</v>
      </c>
    </row>
    <row r="5">
      <c r="A5" s="19" t="s">
        <v>17</v>
      </c>
      <c r="B5" s="19" cm="1">
        <f t="array" aca="true" ref="B5" ca="true">INDIRECT(A5)</f>
        <v>2</v>
      </c>
      <c r="H5" s="22">
        <f t="shared" ca="true" si="0"/>
        <v>2</v>
      </c>
      <c r="I5" s="229">
        <f>100*INDEX(stats!$D:$D,MATCH(Elec_RI!AE5,stats!$A:$A,0))</f>
        <v>-8.5600181188349982E-3</v>
      </c>
      <c r="J5" s="229">
        <f>100*INDEX(stats!$D:$D,MATCH(Elec_RI!AG5,stats!$A:$A,0))</f>
        <v>0.62573776434002404</v>
      </c>
      <c r="L5" s="229">
        <f>100*INDEX(stats!$D:$D,MATCH(Elec_RI!AI5,stats!$A:$A,0))</f>
        <v>0.41121227850726744</v>
      </c>
      <c r="M5" s="229">
        <f>100*INDEX(stats!$D:$D,MATCH(Elec_RI!AJ5,stats!$A:$A,0))</f>
        <v>0.21452548587278672</v>
      </c>
      <c r="Q5" s="229">
        <f>100*INDEX(stats!$D:$D,MATCH(Elec_RI!AK5,stats!$A:$A,0))</f>
        <v>1.029037662639174</v>
      </c>
      <c r="T5" s="229">
        <f t="shared" si="1"/>
        <v>0.61717774626121913</v>
      </c>
      <c r="AD5" s="24">
        <v>2</v>
      </c>
      <c r="AE5" s="25" t="str">
        <f t="shared" si="2"/>
        <v>vat_elec_pc_netcash__yd_2</v>
      </c>
      <c r="AG5" s="25" t="str">
        <f t="shared" si="3"/>
        <v>subsidy_elec_pc_netcash__yd_2</v>
      </c>
      <c r="AI5" s="25" t="str">
        <f t="shared" ref="AI5:AJ13" si="4">+_xlfn.CONCAT(AI$3,$AE$2,"_yd_",$AD5)</f>
        <v>subsidy_elec_direct_pc_netcash__yd_2</v>
      </c>
      <c r="AJ5" s="25" t="str">
        <f t="shared" si="4"/>
        <v>subsidy_elec_indirect_pc_netcash__yd_2</v>
      </c>
      <c r="AK5" s="25" t="str">
        <f t="shared" ref="AK5:AK13" si="5">+_xlfn.CONCAT(AK$3,$AE$2,"_yd_",$AD5)</f>
        <v>subsidy_mp_pc_netcash__yd_2</v>
      </c>
    </row>
    <row r="6">
      <c r="A6" s="19" t="s">
        <v>18</v>
      </c>
      <c r="B6" s="19" cm="1">
        <f t="array" aca="true" ref="B6" ca="true">INDIRECT(A6)</f>
        <v>3</v>
      </c>
      <c r="H6" s="22">
        <f t="shared" ca="true" si="0"/>
        <v>3</v>
      </c>
      <c r="I6" s="229">
        <f>100*INDEX(stats!$D:$D,MATCH(Elec_RI!AE6,stats!$A:$A,0))</f>
        <v>-1.113099244008417E-2</v>
      </c>
      <c r="J6" s="229">
        <f>100*INDEX(stats!$D:$D,MATCH(Elec_RI!AG6,stats!$A:$A,0))</f>
        <v>0.75214069531789429</v>
      </c>
      <c r="L6" s="229">
        <f>100*INDEX(stats!$D:$D,MATCH(Elec_RI!AI6,stats!$A:$A,0))</f>
        <v>0.53723781324477915</v>
      </c>
      <c r="M6" s="229">
        <f>100*INDEX(stats!$D:$D,MATCH(Elec_RI!AJ6,stats!$A:$A,0))</f>
        <v>0.21490288561800439</v>
      </c>
      <c r="Q6" s="229">
        <f>100*INDEX(stats!$D:$D,MATCH(Elec_RI!AK6,stats!$A:$A,0))</f>
        <v>1.3564834069331688</v>
      </c>
      <c r="T6" s="229">
        <f t="shared" si="1"/>
        <v>0.74100970642269937</v>
      </c>
      <c r="AD6" s="24">
        <v>3</v>
      </c>
      <c r="AE6" s="25" t="str">
        <f t="shared" si="2"/>
        <v>vat_elec_pc_netcash__yd_3</v>
      </c>
      <c r="AG6" s="25" t="str">
        <f t="shared" si="3"/>
        <v>subsidy_elec_pc_netcash__yd_3</v>
      </c>
      <c r="AI6" s="25" t="str">
        <f t="shared" si="4"/>
        <v>subsidy_elec_direct_pc_netcash__yd_3</v>
      </c>
      <c r="AJ6" s="25" t="str">
        <f t="shared" si="4"/>
        <v>subsidy_elec_indirect_pc_netcash__yd_3</v>
      </c>
      <c r="AK6" s="25" t="str">
        <f t="shared" si="5"/>
        <v>subsidy_mp_pc_netcash__yd_3</v>
      </c>
    </row>
    <row r="7">
      <c r="A7" s="19" t="s">
        <v>19</v>
      </c>
      <c r="B7" s="19" cm="1">
        <f t="array" aca="true" ref="B7" ca="true">INDIRECT(A7)</f>
        <v>4</v>
      </c>
      <c r="H7" s="22">
        <f t="shared" ca="true" si="0"/>
        <v>4</v>
      </c>
      <c r="I7" s="229">
        <f>100*INDEX(stats!$D:$D,MATCH(Elec_RI!AE7,stats!$A:$A,0))</f>
        <v>-5.7128706926344273E-3</v>
      </c>
      <c r="J7" s="229">
        <f>100*INDEX(stats!$D:$D,MATCH(Elec_RI!AG7,stats!$A:$A,0))</f>
        <v>0.90321557736270319</v>
      </c>
      <c r="L7" s="229">
        <f>100*INDEX(stats!$D:$D,MATCH(Elec_RI!AI7,stats!$A:$A,0))</f>
        <v>0.68235252259593249</v>
      </c>
      <c r="M7" s="229">
        <f>100*INDEX(stats!$D:$D,MATCH(Elec_RI!AJ7,stats!$A:$A,0))</f>
        <v>0.22086305246371329</v>
      </c>
      <c r="Q7" s="229">
        <f>100*INDEX(stats!$D:$D,MATCH(Elec_RI!AK7,stats!$A:$A,0))</f>
        <v>1.699810192187666</v>
      </c>
      <c r="T7" s="229">
        <f t="shared" si="1"/>
        <v>0.89750270436701141</v>
      </c>
      <c r="AD7" s="24">
        <v>4</v>
      </c>
      <c r="AE7" s="25" t="str">
        <f t="shared" si="2"/>
        <v>vat_elec_pc_netcash__yd_4</v>
      </c>
      <c r="AG7" s="25" t="str">
        <f t="shared" si="3"/>
        <v>subsidy_elec_pc_netcash__yd_4</v>
      </c>
      <c r="AI7" s="25" t="str">
        <f t="shared" si="4"/>
        <v>subsidy_elec_direct_pc_netcash__yd_4</v>
      </c>
      <c r="AJ7" s="25" t="str">
        <f t="shared" si="4"/>
        <v>subsidy_elec_indirect_pc_netcash__yd_4</v>
      </c>
      <c r="AK7" s="25" t="str">
        <f t="shared" si="5"/>
        <v>subsidy_mp_pc_netcash__yd_4</v>
      </c>
    </row>
    <row r="8">
      <c r="A8" s="19" t="s">
        <v>20</v>
      </c>
      <c r="B8" s="19" cm="1">
        <f t="array" aca="true" ref="B8" ca="true">INDIRECT(A8)</f>
        <v>5</v>
      </c>
      <c r="H8" s="22">
        <f ca="true">+B8</f>
        <v>5</v>
      </c>
      <c r="I8" s="229">
        <f>100*INDEX(stats!$D:$D,MATCH(Elec_RI!AE8,stats!$A:$A,0))</f>
        <v>-4.2438069801990341E-3</v>
      </c>
      <c r="J8" s="229">
        <f>100*INDEX(stats!$D:$D,MATCH(Elec_RI!AG8,stats!$A:$A,0))</f>
        <v>0.94370820547515066</v>
      </c>
      <c r="L8" s="229">
        <f>100*INDEX(stats!$D:$D,MATCH(Elec_RI!AI8,stats!$A:$A,0))</f>
        <v>0.71288834898545528</v>
      </c>
      <c r="M8" s="229">
        <f>100*INDEX(stats!$D:$D,MATCH(Elec_RI!AJ8,stats!$A:$A,0))</f>
        <v>0.23081985004423047</v>
      </c>
      <c r="Q8" s="229">
        <f>100*INDEX(stats!$D:$D,MATCH(Elec_RI!AK8,stats!$A:$A,0))</f>
        <v>1.7566909067380929</v>
      </c>
      <c r="T8" s="229">
        <f t="shared" si="1"/>
        <v>0.93946439204948673</v>
      </c>
      <c r="AD8" s="24">
        <v>5</v>
      </c>
      <c r="AE8" s="25" t="str">
        <f t="shared" si="2"/>
        <v>vat_elec_pc_netcash__yd_5</v>
      </c>
      <c r="AG8" s="25" t="str">
        <f t="shared" si="3"/>
        <v>subsidy_elec_pc_netcash__yd_5</v>
      </c>
      <c r="AI8" s="25" t="str">
        <f t="shared" si="4"/>
        <v>subsidy_elec_direct_pc_netcash__yd_5</v>
      </c>
      <c r="AJ8" s="25" t="str">
        <f t="shared" si="4"/>
        <v>subsidy_elec_indirect_pc_netcash__yd_5</v>
      </c>
      <c r="AK8" s="25" t="str">
        <f t="shared" si="5"/>
        <v>subsidy_mp_pc_netcash__yd_5</v>
      </c>
    </row>
    <row r="9">
      <c r="A9" s="19" t="s">
        <v>21</v>
      </c>
      <c r="B9" s="19" cm="1">
        <f t="array" aca="true" ref="B9" ca="true">INDIRECT(A9)</f>
        <v>6</v>
      </c>
      <c r="H9" s="22">
        <f t="shared" ref="H9:H13" ca="true" si="6">+B9</f>
        <v>6</v>
      </c>
      <c r="I9" s="229">
        <f>100*INDEX(stats!$D:$D,MATCH(Elec_RI!AE9,stats!$A:$A,0))</f>
        <v>-1.7764761153737891E-2</v>
      </c>
      <c r="J9" s="229">
        <f>100*INDEX(stats!$D:$D,MATCH(Elec_RI!AG9,stats!$A:$A,0))</f>
        <v>1.148969531425029</v>
      </c>
      <c r="L9" s="229">
        <f>100*INDEX(stats!$D:$D,MATCH(Elec_RI!AI9,stats!$A:$A,0))</f>
        <v>0.91894265999900682</v>
      </c>
      <c r="M9" s="229">
        <f>100*INDEX(stats!$D:$D,MATCH(Elec_RI!AJ9,stats!$A:$A,0))</f>
        <v>0.23002687333457941</v>
      </c>
      <c r="Q9" s="229">
        <f>100*INDEX(stats!$D:$D,MATCH(Elec_RI!AK9,stats!$A:$A,0))</f>
        <v>2.3276750894666769</v>
      </c>
      <c r="T9" s="229">
        <f t="shared" si="1"/>
        <v>1.1312047721798484</v>
      </c>
      <c r="AD9" s="24">
        <v>6</v>
      </c>
      <c r="AE9" s="25" t="str">
        <f t="shared" si="2"/>
        <v>vat_elec_pc_netcash__yd_6</v>
      </c>
      <c r="AG9" s="25" t="str">
        <f t="shared" si="3"/>
        <v>subsidy_elec_pc_netcash__yd_6</v>
      </c>
      <c r="AI9" s="25" t="str">
        <f t="shared" si="4"/>
        <v>subsidy_elec_direct_pc_netcash__yd_6</v>
      </c>
      <c r="AJ9" s="25" t="str">
        <f t="shared" si="4"/>
        <v>subsidy_elec_indirect_pc_netcash__yd_6</v>
      </c>
      <c r="AK9" s="25" t="str">
        <f t="shared" si="5"/>
        <v>subsidy_mp_pc_netcash__yd_6</v>
      </c>
    </row>
    <row r="10">
      <c r="A10" s="19" t="s">
        <v>22</v>
      </c>
      <c r="B10" s="19" cm="1">
        <f t="array" aca="true" ref="B10" ca="true">INDIRECT(A10)</f>
        <v>7</v>
      </c>
      <c r="H10" s="22">
        <f t="shared" ca="true" si="6"/>
        <v>7</v>
      </c>
      <c r="I10" s="229">
        <f>100*INDEX(stats!$D:$D,MATCH(Elec_RI!AE10,stats!$A:$A,0))</f>
        <v>-2.0505030371028368E-2</v>
      </c>
      <c r="J10" s="229">
        <f>100*INDEX(stats!$D:$D,MATCH(Elec_RI!AG10,stats!$A:$A,0))</f>
        <v>1.3074618085780789</v>
      </c>
      <c r="L10" s="229">
        <f>100*INDEX(stats!$D:$D,MATCH(Elec_RI!AI10,stats!$A:$A,0))</f>
        <v>1.072813870313529</v>
      </c>
      <c r="M10" s="229">
        <f>100*INDEX(stats!$D:$D,MATCH(Elec_RI!AJ10,stats!$A:$A,0))</f>
        <v>0.23464793030040801</v>
      </c>
      <c r="Q10" s="229">
        <f>100*INDEX(stats!$D:$D,MATCH(Elec_RI!AK10,stats!$A:$A,0))</f>
        <v>2.6967934646801797</v>
      </c>
      <c r="T10" s="229">
        <f t="shared" si="1"/>
        <v>1.2869567702429088</v>
      </c>
      <c r="AD10" s="24">
        <v>7</v>
      </c>
      <c r="AE10" s="25" t="str">
        <f t="shared" si="2"/>
        <v>vat_elec_pc_netcash__yd_7</v>
      </c>
      <c r="AG10" s="25" t="str">
        <f t="shared" si="3"/>
        <v>subsidy_elec_pc_netcash__yd_7</v>
      </c>
      <c r="AI10" s="25" t="str">
        <f t="shared" si="4"/>
        <v>subsidy_elec_direct_pc_netcash__yd_7</v>
      </c>
      <c r="AJ10" s="25" t="str">
        <f t="shared" si="4"/>
        <v>subsidy_elec_indirect_pc_netcash__yd_7</v>
      </c>
      <c r="AK10" s="25" t="str">
        <f t="shared" si="5"/>
        <v>subsidy_mp_pc_netcash__yd_7</v>
      </c>
    </row>
    <row r="11">
      <c r="A11" s="19" t="s">
        <v>23</v>
      </c>
      <c r="B11" s="19" cm="1">
        <f t="array" aca="true" ref="B11" ca="true">INDIRECT(A11)</f>
        <v>8</v>
      </c>
      <c r="H11" s="22">
        <f t="shared" ca="true" si="6"/>
        <v>8</v>
      </c>
      <c r="I11" s="229">
        <f>100*INDEX(stats!$D:$D,MATCH(Elec_RI!AE11,stats!$A:$A,0))</f>
        <v>-2.49430652019909E-2</v>
      </c>
      <c r="J11" s="229">
        <f>100*INDEX(stats!$D:$D,MATCH(Elec_RI!AG11,stats!$A:$A,0))</f>
        <v>1.399793715295911</v>
      </c>
      <c r="L11" s="229">
        <f>100*INDEX(stats!$D:$D,MATCH(Elec_RI!AI11,stats!$A:$A,0))</f>
        <v>1.1548026447820638</v>
      </c>
      <c r="M11" s="229">
        <f>100*INDEX(stats!$D:$D,MATCH(Elec_RI!AJ11,stats!$A:$A,0))</f>
        <v>0.24499107227530639</v>
      </c>
      <c r="Q11" s="229">
        <f>100*INDEX(stats!$D:$D,MATCH(Elec_RI!AK11,stats!$A:$A,0))</f>
        <v>2.9625869658674091</v>
      </c>
      <c r="T11" s="229">
        <f t="shared" si="1"/>
        <v>1.3748506518553794</v>
      </c>
      <c r="AD11" s="24">
        <v>8</v>
      </c>
      <c r="AE11" s="25" t="str">
        <f t="shared" si="2"/>
        <v>vat_elec_pc_netcash__yd_8</v>
      </c>
      <c r="AG11" s="25" t="str">
        <f t="shared" si="3"/>
        <v>subsidy_elec_pc_netcash__yd_8</v>
      </c>
      <c r="AI11" s="25" t="str">
        <f t="shared" si="4"/>
        <v>subsidy_elec_direct_pc_netcash__yd_8</v>
      </c>
      <c r="AJ11" s="25" t="str">
        <f t="shared" si="4"/>
        <v>subsidy_elec_indirect_pc_netcash__yd_8</v>
      </c>
      <c r="AK11" s="25" t="str">
        <f t="shared" si="5"/>
        <v>subsidy_mp_pc_netcash__yd_8</v>
      </c>
    </row>
    <row r="12">
      <c r="A12" s="19" t="s">
        <v>24</v>
      </c>
      <c r="B12" s="19" cm="1">
        <f t="array" aca="true" ref="B12" ca="true">INDIRECT(A12)</f>
        <v>9</v>
      </c>
      <c r="H12" s="22">
        <f t="shared" ca="true" si="6"/>
        <v>9</v>
      </c>
      <c r="I12" s="229">
        <f>100*INDEX(stats!$D:$D,MATCH(Elec_RI!AE12,stats!$A:$A,0))</f>
        <v>-3.003990677309101E-2</v>
      </c>
      <c r="J12" s="229">
        <f>100*INDEX(stats!$D:$D,MATCH(Elec_RI!AG12,stats!$A:$A,0))</f>
        <v>1.4918346125631621</v>
      </c>
      <c r="L12" s="229">
        <f>100*INDEX(stats!$D:$D,MATCH(Elec_RI!AI12,stats!$A:$A,0))</f>
        <v>1.2493001512632289</v>
      </c>
      <c r="M12" s="229">
        <f>100*INDEX(stats!$D:$D,MATCH(Elec_RI!AJ12,stats!$A:$A,0))</f>
        <v>0.24253446055495101</v>
      </c>
      <c r="Q12" s="229">
        <f>100*INDEX(stats!$D:$D,MATCH(Elec_RI!AK12,stats!$A:$A,0))</f>
        <v>3.2323450733229531</v>
      </c>
      <c r="T12" s="229">
        <f t="shared" si="1"/>
        <v>1.461794705045089</v>
      </c>
      <c r="AD12" s="24">
        <v>9</v>
      </c>
      <c r="AE12" s="25" t="str">
        <f t="shared" si="2"/>
        <v>vat_elec_pc_netcash__yd_9</v>
      </c>
      <c r="AG12" s="25" t="str">
        <f t="shared" si="3"/>
        <v>subsidy_elec_pc_netcash__yd_9</v>
      </c>
      <c r="AI12" s="25" t="str">
        <f t="shared" si="4"/>
        <v>subsidy_elec_direct_pc_netcash__yd_9</v>
      </c>
      <c r="AJ12" s="25" t="str">
        <f t="shared" si="4"/>
        <v>subsidy_elec_indirect_pc_netcash__yd_9</v>
      </c>
      <c r="AK12" s="25" t="str">
        <f t="shared" si="5"/>
        <v>subsidy_mp_pc_netcash__yd_9</v>
      </c>
    </row>
    <row r="13">
      <c r="A13" s="19" t="s">
        <v>25</v>
      </c>
      <c r="B13" s="19" t="str" cm="1">
        <f t="array" aca="true" ref="B13" ca="true">INDIRECT(A13)</f>
        <v>Top decile</v>
      </c>
      <c r="H13" s="22" t="str">
        <f t="shared" ca="true" si="6"/>
        <v>Top decile</v>
      </c>
      <c r="I13" s="229">
        <f>100*INDEX(stats!$D:$D,MATCH(Elec_RI!AE13,stats!$A:$A,0))</f>
        <v>-6.4910256175487901E-2</v>
      </c>
      <c r="J13" s="229">
        <f>100*INDEX(stats!$D:$D,MATCH(Elec_RI!AG13,stats!$A:$A,0))</f>
        <v>1.4981591087152499</v>
      </c>
      <c r="L13" s="229">
        <f>100*INDEX(stats!$D:$D,MATCH(Elec_RI!AI13,stats!$A:$A,0))</f>
        <v>1.25436486765868</v>
      </c>
      <c r="M13" s="229">
        <f>100*INDEX(stats!$D:$D,MATCH(Elec_RI!AJ13,stats!$A:$A,0))</f>
        <v>0.24379424058150082</v>
      </c>
      <c r="Q13" s="229">
        <f>100*INDEX(stats!$D:$D,MATCH(Elec_RI!AK13,stats!$A:$A,0))</f>
        <v>3.3772891749556027</v>
      </c>
      <c r="T13" s="229">
        <f t="shared" si="1"/>
        <v>1.4332488520646929</v>
      </c>
      <c r="AD13" s="24">
        <v>10</v>
      </c>
      <c r="AE13" s="25" t="str">
        <f t="shared" si="2"/>
        <v>vat_elec_pc_netcash__yd_10</v>
      </c>
      <c r="AG13" s="25" t="str">
        <f t="shared" si="3"/>
        <v>subsidy_elec_pc_netcash__yd_10</v>
      </c>
      <c r="AI13" s="25" t="str">
        <f t="shared" si="4"/>
        <v>subsidy_elec_direct_pc_netcash__yd_10</v>
      </c>
      <c r="AJ13" s="25" t="str">
        <f t="shared" si="4"/>
        <v>subsidy_elec_indirect_pc_netcash__yd_10</v>
      </c>
      <c r="AK13" s="25" t="str">
        <f t="shared" si="5"/>
        <v>subsidy_mp_pc_netcash__yd_10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A77D6-720B-486B-BD2F-46F5A3BFECA6}">
  <dimension ref="A2:U26"/>
  <sheetViews>
    <sheetView topLeftCell="F19" zoomScale="70" zoomScaleNormal="70" workbookViewId="0">
      <selection activeCell="N36" sqref="N36"/>
    </sheetView>
  </sheetViews>
  <sheetFormatPr defaultColWidth="10.85546875" defaultRowHeight="15"/>
  <cols>
    <col min="1" max="1" width="10.85546875" style="19" hidden="true" customWidth="true"/>
    <col min="2" max="2" width="18.7109375" style="19" hidden="true" customWidth="true"/>
    <col min="3" max="3" width="0.0" style="19" hidden="true" customWidth="true"/>
    <col min="4" max="4" width="11.85546875" style="19" hidden="true" customWidth="true"/>
    <col min="5" max="5" width="8.42578125" style="19" hidden="true" customWidth="true"/>
    <col min="6" max="9" width="10.85546875" style="19"/>
    <col min="10" max="10" width="11.85546875" style="19" customWidth="true"/>
    <col min="11" max="11" width="12.85546875" style="19" customWidth="true"/>
    <col min="12" max="13" width="10.85546875" style="19"/>
    <col min="14" max="14" width="29.42578125" style="19" customWidth="true"/>
    <col min="15" max="15" width="0.0" style="19" hidden="true" customWidth="true"/>
    <col min="16" max="16" width="13" style="19" hidden="true" customWidth="true"/>
    <col min="17" max="19" width="0.0" style="19" hidden="true" customWidth="true"/>
    <col min="20" max="20" width="39.7109375" style="19" hidden="true" customWidth="true"/>
    <col min="21" max="24" width="0.0" style="19" hidden="true" customWidth="true"/>
    <col min="25" max="25" width="12" style="19" hidden="true" customWidth="true"/>
    <col min="26" max="34" width="0.0" style="19" hidden="true" customWidth="true"/>
    <col min="35" max="16384" width="10.85546875" style="19"/>
  </cols>
  <sheetData>
    <row r="2">
      <c r="H2" s="21" t="s">
        <v>0</v>
      </c>
      <c r="I2" s="19" t="str">
        <f ca="true">B17</f>
        <v>Percentage of disposable income</v>
      </c>
      <c r="K2" s="19" t="str">
        <f>B18</f>
        <v>Percentage of disposable income</v>
      </c>
      <c r="M2" s="19" t="str">
        <f ca="true">+B17</f>
        <v>Percentage of disposable income</v>
      </c>
      <c r="P2" s="21" t="s">
        <v>64</v>
      </c>
      <c r="R2" s="21"/>
      <c r="T2" s="21"/>
    </row>
    <row r="3">
      <c r="A3" s="19" t="s">
        <v>14</v>
      </c>
      <c r="H3" s="22"/>
      <c r="I3" s="23" t="s">
        <v>30</v>
      </c>
      <c r="K3" s="23" t="s">
        <v>31</v>
      </c>
      <c r="M3" s="23" t="s">
        <v>62</v>
      </c>
      <c r="N3" s="47" t="s">
        <v>63</v>
      </c>
      <c r="O3" s="24"/>
      <c r="P3" s="48" t="s">
        <v>65</v>
      </c>
      <c r="R3" s="21" t="s">
        <v>66</v>
      </c>
      <c r="T3" s="21" t="s">
        <v>67</v>
      </c>
      <c r="U3" s="21" t="s">
        <v>68</v>
      </c>
    </row>
    <row r="4">
      <c r="A4" s="19" t="s">
        <v>16</v>
      </c>
      <c r="B4" s="19" t="str" cm="1">
        <f t="array" aca="true" ref="B4" ca="true">INDIRECT(A4)</f>
        <v>Bottom decile</v>
      </c>
      <c r="H4" s="22" t="str">
        <f t="shared" ref="H4:H7" ca="true" si="0">+B4</f>
        <v>Bottom decile</v>
      </c>
      <c r="I4" s="19">
        <f>100*INDEX(stats!$D:$D,MATCH(Elec_RI_Con!P4,stats!$A:$A,0))</f>
        <v>-0.22003273138805021</v>
      </c>
      <c r="J4" s="130"/>
      <c r="K4" s="19">
        <f>100*INDEX(stats!$D:$D,MATCH(Elec_RI_Con!R4,stats!$A:$A,0))</f>
        <v>0.48088581246837675</v>
      </c>
      <c r="M4" s="19">
        <f>100*INDEX(stats!$D:$D,MATCH(Elec_RI_Con!T4,stats!$A:$A,0))</f>
        <v>1.703853197442496</v>
      </c>
      <c r="N4" s="19">
        <f>100*INDEX(stats!$D:$D,MATCH(Elec_RI_Con!U4,stats!$A:$A,0))</f>
        <v>0.19824353389459831</v>
      </c>
      <c r="O4" s="24">
        <v>1</v>
      </c>
      <c r="P4" s="25" t="str">
        <f>+_xlfn.CONCAT(P$3,$P$2,"_yd_",$O4)</f>
        <v>vat_elec_pc_cond_netcash__yd_1</v>
      </c>
      <c r="R4" s="25" t="str">
        <f>+_xlfn.CONCAT(R$3,$P$2,"_yd_",$O4)</f>
        <v>subsidy_elec_pc_cond_netcash__yd_1</v>
      </c>
      <c r="T4" s="25" t="str">
        <f>+_xlfn.CONCAT(T$3,$P$2,"_yd_",$O4)</f>
        <v>subsidy_elec_direct_pc_cond_netcash__yd_1</v>
      </c>
      <c r="U4" s="25" t="str">
        <f>+_xlfn.CONCAT(U$3,$P$2,"_yd_",$O4)</f>
        <v>subsidy_elec_indirect_pc_cond_netcash__yd_1</v>
      </c>
    </row>
    <row r="5">
      <c r="A5" s="19" t="s">
        <v>17</v>
      </c>
      <c r="B5" s="19" cm="1">
        <f t="array" aca="true" ref="B5" ca="true">INDIRECT(A5)</f>
        <v>2</v>
      </c>
      <c r="H5" s="22">
        <f t="shared" ca="true" si="0"/>
        <v>2</v>
      </c>
      <c r="I5" s="19">
        <f>100*INDEX(stats!$D:$D,MATCH(Elec_RI_Con!P5,stats!$A:$A,0))</f>
        <v>-0.34063940144145749</v>
      </c>
      <c r="J5" s="130"/>
      <c r="K5" s="19">
        <f>100*INDEX(stats!$D:$D,MATCH(Elec_RI_Con!R5,stats!$A:$A,0))</f>
        <v>0.62573776434002404</v>
      </c>
      <c r="M5" s="19">
        <f>100*INDEX(stats!$D:$D,MATCH(Elec_RI_Con!T5,stats!$A:$A,0))</f>
        <v>1.5213996797363321</v>
      </c>
      <c r="N5" s="19">
        <f>100*INDEX(stats!$D:$D,MATCH(Elec_RI_Con!U5,stats!$A:$A,0))</f>
        <v>0.21452548587278672</v>
      </c>
      <c r="O5" s="24">
        <v>2</v>
      </c>
      <c r="P5" s="25" t="str">
        <f t="shared" ref="P5:U13" si="1">+_xlfn.CONCAT(P$3,$P$2,"_yd_",$O5)</f>
        <v>vat_elec_pc_cond_netcash__yd_2</v>
      </c>
      <c r="R5" s="25" t="str">
        <f t="shared" si="1"/>
        <v>subsidy_elec_pc_cond_netcash__yd_2</v>
      </c>
      <c r="T5" s="25" t="str">
        <f t="shared" si="1"/>
        <v>subsidy_elec_direct_pc_cond_netcash__yd_2</v>
      </c>
      <c r="U5" s="25" t="str">
        <f t="shared" si="1"/>
        <v>subsidy_elec_indirect_pc_cond_netcash__yd_2</v>
      </c>
    </row>
    <row r="6">
      <c r="A6" s="19" t="s">
        <v>18</v>
      </c>
      <c r="B6" s="19" cm="1">
        <f t="array" aca="true" ref="B6" ca="true">INDIRECT(A6)</f>
        <v>3</v>
      </c>
      <c r="H6" s="22">
        <f t="shared" ca="true" si="0"/>
        <v>3</v>
      </c>
      <c r="I6" s="19">
        <f>100*INDEX(stats!$D:$D,MATCH(Elec_RI_Con!P6,stats!$A:$A,0))</f>
        <v>-0.3527001408476278</v>
      </c>
      <c r="J6" s="130"/>
      <c r="K6" s="19">
        <f>100*INDEX(stats!$D:$D,MATCH(Elec_RI_Con!R6,stats!$A:$A,0))</f>
        <v>0.75214069531789429</v>
      </c>
      <c r="M6" s="19">
        <f>100*INDEX(stats!$D:$D,MATCH(Elec_RI_Con!T6,stats!$A:$A,0))</f>
        <v>1.5265736825416791</v>
      </c>
      <c r="N6" s="19">
        <f>100*INDEX(stats!$D:$D,MATCH(Elec_RI_Con!U6,stats!$A:$A,0))</f>
        <v>0.21490288561800439</v>
      </c>
      <c r="O6" s="24">
        <v>3</v>
      </c>
      <c r="P6" s="25" t="str">
        <f t="shared" si="1"/>
        <v>vat_elec_pc_cond_netcash__yd_3</v>
      </c>
      <c r="R6" s="25" t="str">
        <f t="shared" si="1"/>
        <v>subsidy_elec_pc_cond_netcash__yd_3</v>
      </c>
      <c r="T6" s="25" t="str">
        <f t="shared" si="1"/>
        <v>subsidy_elec_direct_pc_cond_netcash__yd_3</v>
      </c>
      <c r="U6" s="25" t="str">
        <f t="shared" si="1"/>
        <v>subsidy_elec_indirect_pc_cond_netcash__yd_3</v>
      </c>
    </row>
    <row r="7">
      <c r="A7" s="19" t="s">
        <v>19</v>
      </c>
      <c r="B7" s="19" cm="1">
        <f t="array" aca="true" ref="B7" ca="true">INDIRECT(A7)</f>
        <v>4</v>
      </c>
      <c r="H7" s="22">
        <f t="shared" ca="true" si="0"/>
        <v>4</v>
      </c>
      <c r="I7" s="19">
        <f>100*INDEX(stats!$D:$D,MATCH(Elec_RI_Con!P7,stats!$A:$A,0))</f>
        <v>-0.105996594510673</v>
      </c>
      <c r="J7" s="130"/>
      <c r="K7" s="19">
        <f>100*INDEX(stats!$D:$D,MATCH(Elec_RI_Con!R7,stats!$A:$A,0))</f>
        <v>0.90321557736270319</v>
      </c>
      <c r="M7" s="19">
        <f>100*INDEX(stats!$D:$D,MATCH(Elec_RI_Con!T7,stats!$A:$A,0))</f>
        <v>1.423857425406718</v>
      </c>
      <c r="N7" s="19">
        <f>100*INDEX(stats!$D:$D,MATCH(Elec_RI_Con!U7,stats!$A:$A,0))</f>
        <v>0.22086305246371329</v>
      </c>
      <c r="O7" s="24">
        <v>4</v>
      </c>
      <c r="P7" s="25" t="str">
        <f t="shared" si="1"/>
        <v>vat_elec_pc_cond_netcash__yd_4</v>
      </c>
      <c r="R7" s="25" t="str">
        <f t="shared" si="1"/>
        <v>subsidy_elec_pc_cond_netcash__yd_4</v>
      </c>
      <c r="T7" s="25" t="str">
        <f t="shared" si="1"/>
        <v>subsidy_elec_direct_pc_cond_netcash__yd_4</v>
      </c>
      <c r="U7" s="25" t="str">
        <f t="shared" si="1"/>
        <v>subsidy_elec_indirect_pc_cond_netcash__yd_4</v>
      </c>
    </row>
    <row r="8">
      <c r="A8" s="19" t="s">
        <v>20</v>
      </c>
      <c r="B8" s="19" cm="1">
        <f t="array" aca="true" ref="B8" ca="true">INDIRECT(A8)</f>
        <v>5</v>
      </c>
      <c r="H8" s="22">
        <f ca="true">+B8</f>
        <v>5</v>
      </c>
      <c r="I8" s="19">
        <f>100*INDEX(stats!$D:$D,MATCH(Elec_RI_Con!P8,stats!$A:$A,0))</f>
        <v>-0.12310402321654729</v>
      </c>
      <c r="J8" s="130"/>
      <c r="K8" s="19">
        <f>100*INDEX(stats!$D:$D,MATCH(Elec_RI_Con!R8,stats!$A:$A,0))</f>
        <v>0.94370820547515066</v>
      </c>
      <c r="M8" s="19">
        <f>100*INDEX(stats!$D:$D,MATCH(Elec_RI_Con!T8,stats!$A:$A,0))</f>
        <v>1.3081765026860899</v>
      </c>
      <c r="N8" s="19">
        <f>100*INDEX(stats!$D:$D,MATCH(Elec_RI_Con!U8,stats!$A:$A,0))</f>
        <v>0.23081985004423047</v>
      </c>
      <c r="O8" s="24">
        <v>5</v>
      </c>
      <c r="P8" s="25" t="str">
        <f t="shared" si="1"/>
        <v>vat_elec_pc_cond_netcash__yd_5</v>
      </c>
      <c r="R8" s="25" t="str">
        <f t="shared" si="1"/>
        <v>subsidy_elec_pc_cond_netcash__yd_5</v>
      </c>
      <c r="T8" s="25" t="str">
        <f t="shared" si="1"/>
        <v>subsidy_elec_direct_pc_cond_netcash__yd_5</v>
      </c>
      <c r="U8" s="25" t="str">
        <f t="shared" si="1"/>
        <v>subsidy_elec_indirect_pc_cond_netcash__yd_5</v>
      </c>
    </row>
    <row r="9">
      <c r="A9" s="19" t="s">
        <v>21</v>
      </c>
      <c r="B9" s="19" cm="1">
        <f t="array" aca="true" ref="B9" ca="true">INDIRECT(A9)</f>
        <v>6</v>
      </c>
      <c r="H9" s="22">
        <f t="shared" ref="H9:H13" ca="true" si="2">+B9</f>
        <v>6</v>
      </c>
      <c r="I9" s="19">
        <f>100*INDEX(stats!$D:$D,MATCH(Elec_RI_Con!P9,stats!$A:$A,0))</f>
        <v>-0.15260682381436411</v>
      </c>
      <c r="J9" s="130"/>
      <c r="K9" s="19">
        <f>100*INDEX(stats!$D:$D,MATCH(Elec_RI_Con!R9,stats!$A:$A,0))</f>
        <v>1.148969531425029</v>
      </c>
      <c r="M9" s="19">
        <f>100*INDEX(stats!$D:$D,MATCH(Elec_RI_Con!T9,stats!$A:$A,0))</f>
        <v>1.401233593138097</v>
      </c>
      <c r="N9" s="19">
        <f>100*INDEX(stats!$D:$D,MATCH(Elec_RI_Con!U9,stats!$A:$A,0))</f>
        <v>0.23002687333457941</v>
      </c>
      <c r="O9" s="24">
        <v>6</v>
      </c>
      <c r="P9" s="25" t="str">
        <f t="shared" si="1"/>
        <v>vat_elec_pc_cond_netcash__yd_6</v>
      </c>
      <c r="R9" s="25" t="str">
        <f t="shared" si="1"/>
        <v>subsidy_elec_pc_cond_netcash__yd_6</v>
      </c>
      <c r="T9" s="25" t="str">
        <f t="shared" si="1"/>
        <v>subsidy_elec_direct_pc_cond_netcash__yd_6</v>
      </c>
      <c r="U9" s="25" t="str">
        <f t="shared" si="1"/>
        <v>subsidy_elec_indirect_pc_cond_netcash__yd_6</v>
      </c>
    </row>
    <row r="10">
      <c r="A10" s="19" t="s">
        <v>22</v>
      </c>
      <c r="B10" s="19" cm="1">
        <f t="array" aca="true" ref="B10" ca="true">INDIRECT(A10)</f>
        <v>7</v>
      </c>
      <c r="H10" s="22">
        <f t="shared" ca="true" si="2"/>
        <v>7</v>
      </c>
      <c r="I10" s="19">
        <f>100*INDEX(stats!$D:$D,MATCH(Elec_RI_Con!P10,stats!$A:$A,0))</f>
        <v>-0.2453534267901758</v>
      </c>
      <c r="J10" s="130"/>
      <c r="K10" s="19">
        <f>100*INDEX(stats!$D:$D,MATCH(Elec_RI_Con!R10,stats!$A:$A,0))</f>
        <v>1.3074618085780789</v>
      </c>
      <c r="M10" s="19">
        <f>100*INDEX(stats!$D:$D,MATCH(Elec_RI_Con!T10,stats!$A:$A,0))</f>
        <v>1.4119553045885771</v>
      </c>
      <c r="N10" s="19">
        <f>100*INDEX(stats!$D:$D,MATCH(Elec_RI_Con!U10,stats!$A:$A,0))</f>
        <v>0.23464793030040801</v>
      </c>
      <c r="O10" s="24">
        <v>7</v>
      </c>
      <c r="P10" s="25" t="str">
        <f t="shared" si="1"/>
        <v>vat_elec_pc_cond_netcash__yd_7</v>
      </c>
      <c r="R10" s="25" t="str">
        <f t="shared" si="1"/>
        <v>subsidy_elec_pc_cond_netcash__yd_7</v>
      </c>
      <c r="T10" s="25" t="str">
        <f t="shared" si="1"/>
        <v>subsidy_elec_direct_pc_cond_netcash__yd_7</v>
      </c>
      <c r="U10" s="25" t="str">
        <f t="shared" si="1"/>
        <v>subsidy_elec_indirect_pc_cond_netcash__yd_7</v>
      </c>
    </row>
    <row r="11">
      <c r="A11" s="19" t="s">
        <v>23</v>
      </c>
      <c r="B11" s="19" cm="1">
        <f t="array" aca="true" ref="B11" ca="true">INDIRECT(A11)</f>
        <v>8</v>
      </c>
      <c r="H11" s="22">
        <f t="shared" ca="true" si="2"/>
        <v>8</v>
      </c>
      <c r="I11" s="19">
        <f>100*INDEX(stats!$D:$D,MATCH(Elec_RI_Con!P11,stats!$A:$A,0))</f>
        <v>-0.17100648500389248</v>
      </c>
      <c r="J11" s="130"/>
      <c r="K11" s="19">
        <f>100*INDEX(stats!$D:$D,MATCH(Elec_RI_Con!R11,stats!$A:$A,0))</f>
        <v>1.399793715295911</v>
      </c>
      <c r="M11" s="19">
        <f>100*INDEX(stats!$D:$D,MATCH(Elec_RI_Con!T11,stats!$A:$A,0))</f>
        <v>1.375112911105727</v>
      </c>
      <c r="N11" s="19">
        <f>100*INDEX(stats!$D:$D,MATCH(Elec_RI_Con!U11,stats!$A:$A,0))</f>
        <v>0.24499107227530639</v>
      </c>
      <c r="O11" s="24">
        <v>8</v>
      </c>
      <c r="P11" s="25" t="str">
        <f t="shared" si="1"/>
        <v>vat_elec_pc_cond_netcash__yd_8</v>
      </c>
      <c r="R11" s="25" t="str">
        <f t="shared" si="1"/>
        <v>subsidy_elec_pc_cond_netcash__yd_8</v>
      </c>
      <c r="T11" s="25" t="str">
        <f t="shared" si="1"/>
        <v>subsidy_elec_direct_pc_cond_netcash__yd_8</v>
      </c>
      <c r="U11" s="25" t="str">
        <f t="shared" si="1"/>
        <v>subsidy_elec_indirect_pc_cond_netcash__yd_8</v>
      </c>
    </row>
    <row r="12">
      <c r="A12" s="19" t="s">
        <v>24</v>
      </c>
      <c r="B12" s="19" cm="1">
        <f t="array" aca="true" ref="B12" ca="true">INDIRECT(A12)</f>
        <v>9</v>
      </c>
      <c r="H12" s="22">
        <f t="shared" ca="true" si="2"/>
        <v>9</v>
      </c>
      <c r="I12" s="19">
        <f>100*INDEX(stats!$D:$D,MATCH(Elec_RI_Con!P12,stats!$A:$A,0))</f>
        <v>-0.13984883591584549</v>
      </c>
      <c r="J12" s="130"/>
      <c r="K12" s="19">
        <f>100*INDEX(stats!$D:$D,MATCH(Elec_RI_Con!R12,stats!$A:$A,0))</f>
        <v>1.4918346125631621</v>
      </c>
      <c r="M12" s="19">
        <f>100*INDEX(stats!$D:$D,MATCH(Elec_RI_Con!T12,stats!$A:$A,0))</f>
        <v>1.391752328862216</v>
      </c>
      <c r="N12" s="19">
        <f>100*INDEX(stats!$D:$D,MATCH(Elec_RI_Con!U12,stats!$A:$A,0))</f>
        <v>0.24253446055495101</v>
      </c>
      <c r="O12" s="24">
        <v>9</v>
      </c>
      <c r="P12" s="25" t="str">
        <f t="shared" si="1"/>
        <v>vat_elec_pc_cond_netcash__yd_9</v>
      </c>
      <c r="R12" s="25" t="str">
        <f t="shared" si="1"/>
        <v>subsidy_elec_pc_cond_netcash__yd_9</v>
      </c>
      <c r="T12" s="25" t="str">
        <f t="shared" si="1"/>
        <v>subsidy_elec_direct_pc_cond_netcash__yd_9</v>
      </c>
      <c r="U12" s="25" t="str">
        <f t="shared" si="1"/>
        <v>subsidy_elec_indirect_pc_cond_netcash__yd_9</v>
      </c>
    </row>
    <row r="13">
      <c r="A13" s="19" t="s">
        <v>25</v>
      </c>
      <c r="B13" s="19" t="str" cm="1">
        <f t="array" aca="true" ref="B13" ca="true">INDIRECT(A13)</f>
        <v>Top decile</v>
      </c>
      <c r="H13" s="22" t="str">
        <f t="shared" ca="true" si="2"/>
        <v>Top decile</v>
      </c>
      <c r="I13" s="19">
        <f>100*INDEX(stats!$D:$D,MATCH(Elec_RI_Con!P13,stats!$A:$A,0))</f>
        <v>-0.1933553805963196</v>
      </c>
      <c r="J13" s="130"/>
      <c r="K13" s="19">
        <f>100*INDEX(stats!$D:$D,MATCH(Elec_RI_Con!R13,stats!$A:$A,0))</f>
        <v>1.4981591087152499</v>
      </c>
      <c r="M13" s="19">
        <f>100*INDEX(stats!$D:$D,MATCH(Elec_RI_Con!T13,stats!$A:$A,0))</f>
        <v>1.3165751268632568</v>
      </c>
      <c r="N13" s="19">
        <f>100*INDEX(stats!$D:$D,MATCH(Elec_RI_Con!U13,stats!$A:$A,0))</f>
        <v>0.24379424058150082</v>
      </c>
      <c r="O13" s="24">
        <v>10</v>
      </c>
      <c r="P13" s="25" t="str">
        <f t="shared" si="1"/>
        <v>vat_elec_pc_cond_netcash__yd_10</v>
      </c>
      <c r="R13" s="25" t="str">
        <f t="shared" si="1"/>
        <v>subsidy_elec_pc_cond_netcash__yd_10</v>
      </c>
      <c r="T13" s="25" t="str">
        <f t="shared" si="1"/>
        <v>subsidy_elec_direct_pc_cond_netcash__yd_10</v>
      </c>
      <c r="U13" s="25" t="str">
        <f t="shared" si="1"/>
        <v>subsidy_elec_indirect_pc_cond_netcash__yd_10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AFD77-F956-468B-B94E-83D34A23FCE0}">
  <dimension ref="A1:Z25"/>
  <sheetViews>
    <sheetView topLeftCell="F1" zoomScale="70" zoomScaleNormal="70" workbookViewId="0">
      <selection activeCell="M18" sqref="M18"/>
    </sheetView>
  </sheetViews>
  <sheetFormatPr defaultColWidth="10.85546875" defaultRowHeight="15"/>
  <cols>
    <col min="1" max="1" width="8.140625" style="19" hidden="true" customWidth="true"/>
    <col min="2" max="2" width="28.140625" style="19" hidden="true" customWidth="true"/>
    <col min="3" max="3" width="0.0" style="19" hidden="true" customWidth="true"/>
    <col min="4" max="4" width="13.140625" style="19" hidden="true" customWidth="true"/>
    <col min="5" max="5" width="0.0" style="19" hidden="true" customWidth="true"/>
    <col min="6" max="7" width="10.85546875" style="19"/>
    <col min="8" max="8" width="22" style="19" customWidth="true"/>
    <col min="9" max="9" width="16.140625" style="19" customWidth="true"/>
    <col min="10" max="10" width="25.42578125" style="19" bestFit="true" customWidth="true"/>
    <col min="11" max="11" width="15" style="19" customWidth="true"/>
    <col min="12" max="12" width="20.28515625" style="19" customWidth="true"/>
    <col min="13" max="14" width="12" style="19" bestFit="true" customWidth="true"/>
    <col min="15" max="15" width="15.140625" style="231" bestFit="true" customWidth="true"/>
    <col min="16" max="17" width="27.42578125" style="19" customWidth="true"/>
    <col min="18" max="18" width="3.28515625" style="19" bestFit="true" customWidth="true"/>
    <col min="19" max="19" width="27.42578125" style="19" bestFit="true" customWidth="true"/>
    <col min="20" max="20" width="31.7109375" style="19" bestFit="true" customWidth="true"/>
    <col min="21" max="21" width="38.140625" style="19" bestFit="true" customWidth="true"/>
    <col min="22" max="22" width="39.85546875" style="19" bestFit="true" customWidth="true"/>
    <col min="23" max="24" width="0.0" style="19" hidden="true" customWidth="true"/>
    <col min="25" max="25" width="10.85546875" style="19"/>
    <col min="26" max="26" width="12.7109375" style="19" bestFit="true" customWidth="true"/>
    <col min="27" max="16384" width="10.85546875" style="19"/>
  </cols>
  <sheetData>
    <row r="1">
      <c r="I1" s="19" t="str">
        <f ca="true">B16</f>
        <v>Percentage of total tax</v>
      </c>
      <c r="K1" s="19" t="str">
        <f ca="true">B17</f>
        <v>Percentage of total subsidy</v>
      </c>
      <c r="M1" s="19" t="str">
        <f ca="true">B17</f>
        <v>Percentage of total subsidy</v>
      </c>
    </row>
    <row r="2">
      <c r="A2" s="19" t="s">
        <v>14</v>
      </c>
      <c r="H2" s="242" t="str">
        <f ca="true">+B13</f>
        <v>Deciles of per capita disposable income</v>
      </c>
      <c r="I2" s="240" t="s">
        <v>30</v>
      </c>
      <c r="J2" s="361"/>
      <c r="K2" s="240" t="s">
        <v>31</v>
      </c>
      <c r="M2" s="23" t="s">
        <v>74</v>
      </c>
      <c r="N2" s="23" t="s">
        <v>75</v>
      </c>
      <c r="O2" s="239"/>
      <c r="Q2" s="23"/>
      <c r="R2" s="24"/>
      <c r="S2" s="48" t="s">
        <v>70</v>
      </c>
      <c r="T2" s="124" t="s">
        <v>71</v>
      </c>
      <c r="U2" s="124" t="s">
        <v>72</v>
      </c>
      <c r="V2" s="124" t="s">
        <v>73</v>
      </c>
      <c r="X2" s="124"/>
      <c r="Z2" s="21" t="s">
        <v>76</v>
      </c>
    </row>
    <row r="3">
      <c r="A3" s="19" t="s">
        <v>16</v>
      </c>
      <c r="B3" s="19" t="str" cm="1">
        <f t="array" aca="true" ref="B3" ca="true">INDIRECT(A3)</f>
        <v>Bottom decile</v>
      </c>
      <c r="H3" s="228" t="str">
        <f t="shared" ref="H3:H5" ca="true" si="0">+B3</f>
        <v>Bottom decile</v>
      </c>
      <c r="I3" s="229">
        <f>100*J3/J$13</f>
        <v>8.298569319691626E-2</v>
      </c>
      <c r="J3" s="125">
        <f>INDEX(stats!$D:$D,MATCH(Elec_AI!S3,stats!$A:$A,0))</f>
        <v>3599176.7264690921</v>
      </c>
      <c r="K3" s="229">
        <f t="shared" ref="K3:K11" si="1">100*L3/L$13</f>
        <v>1.0683141649427066</v>
      </c>
      <c r="L3" s="125">
        <f>INDEX(stats!$D:$D,MATCH(Elec_AI!T3,stats!$A:$A,0))</f>
        <v>1443040404.129257</v>
      </c>
      <c r="M3" s="19">
        <f>100*O3/(O$13)</f>
        <v>0.76874229238994596</v>
      </c>
      <c r="N3" s="19">
        <f>100*P3/(P$13)</f>
        <v>2.4021538346683009</v>
      </c>
      <c r="O3" s="125">
        <f>INDEX(stats!$D:$D,MATCH(Elec_AI!U3,stats!$A:$A,0))</f>
        <v>847946179.28251445</v>
      </c>
      <c r="P3" s="125">
        <f>INDEX(stats!$D:$D,MATCH(Elec_AI!V3,stats!$A:$A,0))</f>
        <v>595094225.30372179</v>
      </c>
      <c r="R3" s="24">
        <v>1</v>
      </c>
      <c r="S3" s="25" t="str">
        <f>+_xlfn.CONCAT(S$2,$R3)</f>
        <v>vat_elec_pc_benefits__yd_1</v>
      </c>
      <c r="T3" s="25" t="str">
        <f>+_xlfn.CONCAT(T$2,$R3)</f>
        <v>subsidy_elec_pc_benefits__yd_1</v>
      </c>
      <c r="U3" s="25" t="str">
        <f>+_xlfn.CONCAT(U$2,$R3)</f>
        <v>subsidy_elec_direct_pc_benefits__yd_1</v>
      </c>
      <c r="V3" s="25" t="str">
        <f>+_xlfn.CONCAT(V$2,$R3)</f>
        <v>subsidy_elec_indirect_pc_benefits__yd_1</v>
      </c>
      <c r="X3" s="25"/>
      <c r="Z3" s="126">
        <f t="shared" ref="Z3:Z13" si="2">+(P3+O3)/L3</f>
        <v>1.000000000316678</v>
      </c>
    </row>
    <row r="4">
      <c r="A4" s="19" t="s">
        <v>17</v>
      </c>
      <c r="B4" s="19" cm="1">
        <f t="array" aca="true" ref="B4" ca="true">INDIRECT(A4)</f>
        <v>2</v>
      </c>
      <c r="H4" s="243">
        <f t="shared" ca="true" si="0"/>
        <v>2</v>
      </c>
      <c r="I4" s="229">
        <f t="shared" ref="I4:I12" si="3">100*J4/J$13</f>
        <v>0.87228983843876573</v>
      </c>
      <c r="J4" s="125">
        <f>INDEX(stats!$D:$D,MATCH(Elec_AI!S4,stats!$A:$A,0))</f>
        <v>37832127.012478277</v>
      </c>
      <c r="K4" s="229">
        <f t="shared" si="1"/>
        <v>2.020192901127817</v>
      </c>
      <c r="L4" s="125">
        <f>INDEX(stats!$D:$D,MATCH(Elec_AI!T4,stats!$A:$A,0))</f>
        <v>2728804013.0207238</v>
      </c>
      <c r="M4" s="19">
        <f t="shared" ref="M4:M12" si="4">100*O4/(O$13)</f>
        <v>1.6330760552468855</v>
      </c>
      <c r="N4" s="19">
        <f t="shared" ref="N4:N12" si="5">100*P4/(P$13)</f>
        <v>3.7438253721426338</v>
      </c>
      <c r="O4" s="125">
        <f>INDEX(stats!$D:$D,MATCH(Elec_AI!U4,stats!$A:$A,0))</f>
        <v>1801332664.0573781</v>
      </c>
      <c r="P4" s="125">
        <f>INDEX(stats!$D:$D,MATCH(Elec_AI!V4,stats!$A:$A,0))</f>
        <v>927471349.81689465</v>
      </c>
      <c r="R4" s="24">
        <v>2</v>
      </c>
      <c r="S4" s="25" t="str">
        <f t="shared" ref="S4:V13" si="6">+_xlfn.CONCAT(S$2,$R4)</f>
        <v>vat_elec_pc_benefits__yd_2</v>
      </c>
      <c r="T4" s="25" t="str">
        <f t="shared" si="6"/>
        <v>subsidy_elec_pc_benefits__yd_2</v>
      </c>
      <c r="U4" s="25" t="str">
        <f t="shared" si="6"/>
        <v>subsidy_elec_direct_pc_benefits__yd_2</v>
      </c>
      <c r="V4" s="25" t="str">
        <f t="shared" si="6"/>
        <v>subsidy_elec_indirect_pc_benefits__yd_2</v>
      </c>
      <c r="X4" s="25"/>
      <c r="Z4" s="126">
        <f t="shared" si="2"/>
        <v>1.0000000003127922</v>
      </c>
    </row>
    <row r="5">
      <c r="A5" s="19" t="s">
        <v>18</v>
      </c>
      <c r="B5" s="19" cm="1">
        <f t="array" aca="true" ref="B5" ca="true">INDIRECT(A5)</f>
        <v>3</v>
      </c>
      <c r="H5" s="243">
        <f t="shared" ca="true" si="0"/>
        <v>3</v>
      </c>
      <c r="I5" s="229">
        <f t="shared" si="3"/>
        <v>1.3033314542971859</v>
      </c>
      <c r="J5" s="125">
        <f>INDEX(stats!$D:$D,MATCH(Elec_AI!S5,stats!$A:$A,0))</f>
        <v>56526854.888715461</v>
      </c>
      <c r="K5" s="229">
        <f t="shared" si="1"/>
        <v>2.9118946496209963</v>
      </c>
      <c r="L5" s="125">
        <f>INDEX(stats!$D:$D,MATCH(Elec_AI!T5,stats!$A:$A,0))</f>
        <v>3933282708.2717328</v>
      </c>
      <c r="M5" s="19">
        <f t="shared" si="4"/>
        <v>2.546204896056345</v>
      </c>
      <c r="N5" s="19">
        <f t="shared" si="5"/>
        <v>4.5401232958026068</v>
      </c>
      <c r="O5" s="125">
        <f>INDEX(stats!$D:$D,MATCH(Elec_AI!U5,stats!$A:$A,0))</f>
        <v>2808541607.056829</v>
      </c>
      <c r="P5" s="125">
        <f>INDEX(stats!$D:$D,MATCH(Elec_AI!V5,stats!$A:$A,0))</f>
        <v>1124741103.7986701</v>
      </c>
      <c r="R5" s="24">
        <v>3</v>
      </c>
      <c r="S5" s="25" t="str">
        <f t="shared" si="6"/>
        <v>vat_elec_pc_benefits__yd_3</v>
      </c>
      <c r="T5" s="25" t="str">
        <f t="shared" si="6"/>
        <v>subsidy_elec_pc_benefits__yd_3</v>
      </c>
      <c r="U5" s="25" t="str">
        <f t="shared" si="6"/>
        <v>subsidy_elec_direct_pc_benefits__yd_3</v>
      </c>
      <c r="V5" s="25" t="str">
        <f t="shared" si="6"/>
        <v>subsidy_elec_indirect_pc_benefits__yd_3</v>
      </c>
      <c r="X5" s="25"/>
      <c r="Z5" s="126">
        <f t="shared" si="2"/>
        <v>1.0000000006568983</v>
      </c>
    </row>
    <row r="6">
      <c r="A6" s="19" t="s">
        <v>19</v>
      </c>
      <c r="B6" s="19" cm="1">
        <f t="array" aca="true" ref="B6" ca="true">INDIRECT(A6)</f>
        <v>4</v>
      </c>
      <c r="H6" s="243">
        <f ca="true">+B6</f>
        <v>4</v>
      </c>
      <c r="I6" s="229">
        <f t="shared" si="3"/>
        <v>0.81956222887047481</v>
      </c>
      <c r="J6" s="125">
        <f>INDEX(stats!$D:$D,MATCH(Elec_AI!S6,stats!$A:$A,0))</f>
        <v>35545275.172243319</v>
      </c>
      <c r="K6" s="229">
        <f t="shared" si="1"/>
        <v>4.1857069097297801</v>
      </c>
      <c r="L6" s="125">
        <f>INDEX(stats!$D:$D,MATCH(Elec_AI!T6,stats!$A:$A,0))</f>
        <v>5653902558.6233025</v>
      </c>
      <c r="M6" s="19">
        <f t="shared" si="4"/>
        <v>3.8742747843674934</v>
      </c>
      <c r="N6" s="19">
        <f t="shared" si="5"/>
        <v>5.5723541690915557</v>
      </c>
      <c r="O6" s="125">
        <f>INDEX(stats!$D:$D,MATCH(Elec_AI!U6,stats!$A:$A,0))</f>
        <v>4273443172.5900049</v>
      </c>
      <c r="P6" s="125">
        <f>INDEX(stats!$D:$D,MATCH(Elec_AI!V6,stats!$A:$A,0))</f>
        <v>1380459377.544986</v>
      </c>
      <c r="R6" s="24">
        <v>4</v>
      </c>
      <c r="S6" s="25" t="str">
        <f t="shared" si="6"/>
        <v>vat_elec_pc_benefits__yd_4</v>
      </c>
      <c r="T6" s="25" t="str">
        <f t="shared" si="6"/>
        <v>subsidy_elec_pc_benefits__yd_4</v>
      </c>
      <c r="U6" s="25" t="str">
        <f t="shared" si="6"/>
        <v>subsidy_elec_direct_pc_benefits__yd_4</v>
      </c>
      <c r="V6" s="25" t="str">
        <f t="shared" si="6"/>
        <v>subsidy_elec_indirect_pc_benefits__yd_4</v>
      </c>
      <c r="X6" s="25"/>
      <c r="Z6" s="126">
        <f t="shared" si="2"/>
        <v>0.99999999849868093</v>
      </c>
    </row>
    <row r="7">
      <c r="A7" s="19" t="s">
        <v>20</v>
      </c>
      <c r="B7" s="19" cm="1">
        <f t="array" aca="true" ref="B7" ca="true">INDIRECT(A7)</f>
        <v>5</v>
      </c>
      <c r="H7" s="243">
        <f t="shared" ref="H7:H12" ca="true" si="7">+B7</f>
        <v>5</v>
      </c>
      <c r="I7" s="229">
        <f t="shared" si="3"/>
        <v>0.72336260724698342</v>
      </c>
      <c r="J7" s="125">
        <f>INDEX(stats!$D:$D,MATCH(Elec_AI!S7,stats!$A:$A,0))</f>
        <v>31372996.482941858</v>
      </c>
      <c r="K7" s="229">
        <f t="shared" si="1"/>
        <v>5.0891907286899212</v>
      </c>
      <c r="L7" s="125">
        <f>INDEX(stats!$D:$D,MATCH(Elec_AI!T7,stats!$A:$A,0))</f>
        <v>6874296051.4928894</v>
      </c>
      <c r="M7" s="19">
        <f t="shared" si="4"/>
        <v>4.7042062741396382</v>
      </c>
      <c r="N7" s="19">
        <f t="shared" si="5"/>
        <v>6.8033285933617194</v>
      </c>
      <c r="O7" s="125">
        <f>INDEX(stats!$D:$D,MATCH(Elec_AI!U7,stats!$A:$A,0))</f>
        <v>5188882901.5929251</v>
      </c>
      <c r="P7" s="125">
        <f>INDEX(stats!$D:$D,MATCH(Elec_AI!V7,stats!$A:$A,0))</f>
        <v>1685413107.321789</v>
      </c>
      <c r="R7" s="24">
        <v>5</v>
      </c>
      <c r="S7" s="25" t="str">
        <f t="shared" si="6"/>
        <v>vat_elec_pc_benefits__yd_5</v>
      </c>
      <c r="T7" s="25" t="str">
        <f t="shared" si="6"/>
        <v>subsidy_elec_pc_benefits__yd_5</v>
      </c>
      <c r="U7" s="25" t="str">
        <f t="shared" si="6"/>
        <v>subsidy_elec_direct_pc_benefits__yd_5</v>
      </c>
      <c r="V7" s="25" t="str">
        <f t="shared" si="6"/>
        <v>subsidy_elec_indirect_pc_benefits__yd_5</v>
      </c>
      <c r="X7" s="25"/>
      <c r="Z7" s="126">
        <f t="shared" si="2"/>
        <v>0.99999999380617666</v>
      </c>
    </row>
    <row r="8">
      <c r="A8" s="19" t="s">
        <v>21</v>
      </c>
      <c r="B8" s="19" cm="1">
        <f t="array" aca="true" ref="B8" ca="true">INDIRECT(A8)</f>
        <v>6</v>
      </c>
      <c r="H8" s="243">
        <f t="shared" ca="true" si="7"/>
        <v>6</v>
      </c>
      <c r="I8" s="229">
        <f t="shared" si="3"/>
        <v>3.4958747350855681</v>
      </c>
      <c r="J8" s="125">
        <f>INDEX(stats!$D:$D,MATCH(Elec_AI!S8,stats!$A:$A,0))</f>
        <v>151619761.19564229</v>
      </c>
      <c r="K8" s="229">
        <f t="shared" si="1"/>
        <v>7.3040212543934659</v>
      </c>
      <c r="L8" s="125">
        <f>INDEX(stats!$D:$D,MATCH(Elec_AI!T8,stats!$A:$A,0))</f>
        <v>9866009577.1302319</v>
      </c>
      <c r="M8" s="19">
        <f t="shared" si="4"/>
        <v>7.1580610778935307</v>
      </c>
      <c r="N8" s="19">
        <f t="shared" si="5"/>
        <v>7.9539069119704289</v>
      </c>
      <c r="O8" s="125">
        <f>INDEX(stats!$D:$D,MATCH(Elec_AI!U8,stats!$A:$A,0))</f>
        <v>7895559542.0680399</v>
      </c>
      <c r="P8" s="125">
        <f>INDEX(stats!$D:$D,MATCH(Elec_AI!V8,stats!$A:$A,0))</f>
        <v>1970450020.1464231</v>
      </c>
      <c r="R8" s="24">
        <v>6</v>
      </c>
      <c r="S8" s="25" t="str">
        <f t="shared" si="6"/>
        <v>vat_elec_pc_benefits__yd_6</v>
      </c>
      <c r="T8" s="25" t="str">
        <f t="shared" si="6"/>
        <v>subsidy_elec_pc_benefits__yd_6</v>
      </c>
      <c r="U8" s="25" t="str">
        <f t="shared" si="6"/>
        <v>subsidy_elec_direct_pc_benefits__yd_6</v>
      </c>
      <c r="V8" s="25" t="str">
        <f t="shared" si="6"/>
        <v>subsidy_elec_indirect_pc_benefits__yd_6</v>
      </c>
      <c r="X8" s="25"/>
      <c r="Z8" s="126">
        <f t="shared" si="2"/>
        <v>0.9999999984881659</v>
      </c>
    </row>
    <row r="9">
      <c r="A9" s="19" t="s">
        <v>22</v>
      </c>
      <c r="B9" s="19" cm="1">
        <f t="array" aca="true" ref="B9" ca="true">INDIRECT(A9)</f>
        <v>7</v>
      </c>
      <c r="H9" s="243">
        <f t="shared" ca="true" si="7"/>
        <v>7</v>
      </c>
      <c r="I9" s="229">
        <f t="shared" si="3"/>
        <v>5.127562288820334</v>
      </c>
      <c r="J9" s="125">
        <f>INDEX(stats!$D:$D,MATCH(Elec_AI!S9,stats!$A:$A,0))</f>
        <v>222387765.19768259</v>
      </c>
      <c r="K9" s="229">
        <f t="shared" si="1"/>
        <v>10.011635871825565</v>
      </c>
      <c r="L9" s="125">
        <f>INDEX(stats!$D:$D,MATCH(Elec_AI!T9,stats!$A:$A,0))</f>
        <v>13523358154.90093</v>
      </c>
      <c r="M9" s="19">
        <f t="shared" si="4"/>
        <v>10.065203039916755</v>
      </c>
      <c r="N9" s="19">
        <f t="shared" si="5"/>
        <v>9.7731288108564307</v>
      </c>
      <c r="O9" s="125">
        <f>INDEX(stats!$D:$D,MATCH(Elec_AI!U9,stats!$A:$A,0))</f>
        <v>11102225734.018669</v>
      </c>
      <c r="P9" s="125">
        <f>INDEX(stats!$D:$D,MATCH(Elec_AI!V9,stats!$A:$A,0))</f>
        <v>2421132416.4812198</v>
      </c>
      <c r="R9" s="24">
        <v>7</v>
      </c>
      <c r="S9" s="25" t="str">
        <f t="shared" si="6"/>
        <v>vat_elec_pc_benefits__yd_7</v>
      </c>
      <c r="T9" s="25" t="str">
        <f t="shared" si="6"/>
        <v>subsidy_elec_pc_benefits__yd_7</v>
      </c>
      <c r="U9" s="25" t="str">
        <f t="shared" si="6"/>
        <v>subsidy_elec_direct_pc_benefits__yd_7</v>
      </c>
      <c r="V9" s="25" t="str">
        <f t="shared" si="6"/>
        <v>subsidy_elec_indirect_pc_benefits__yd_7</v>
      </c>
      <c r="X9" s="25"/>
      <c r="Z9" s="126">
        <f t="shared" si="2"/>
        <v>0.9999999996745601</v>
      </c>
    </row>
    <row r="10">
      <c r="A10" s="19" t="s">
        <v>23</v>
      </c>
      <c r="B10" s="19" cm="1">
        <f t="array" aca="true" ref="B10" ca="true">INDIRECT(A10)</f>
        <v>8</v>
      </c>
      <c r="H10" s="243">
        <f t="shared" ca="true" si="7"/>
        <v>8</v>
      </c>
      <c r="I10" s="229">
        <f t="shared" si="3"/>
        <v>7.1001562705513006</v>
      </c>
      <c r="J10" s="125">
        <f>INDEX(stats!$D:$D,MATCH(Elec_AI!S10,stats!$A:$A,0))</f>
        <v>307941239.25220692</v>
      </c>
      <c r="K10" s="229">
        <f t="shared" si="1"/>
        <v>12.935877916774832</v>
      </c>
      <c r="L10" s="125">
        <f>INDEX(stats!$D:$D,MATCH(Elec_AI!T10,stats!$A:$A,0))</f>
        <v>17473319281.309528</v>
      </c>
      <c r="M10" s="19">
        <f t="shared" si="4"/>
        <v>13.06333520842596</v>
      </c>
      <c r="N10" s="19">
        <f t="shared" si="5"/>
        <v>12.368375970113481</v>
      </c>
      <c r="O10" s="125">
        <f>INDEX(stats!$D:$D,MATCH(Elec_AI!U10,stats!$A:$A,0))</f>
        <v>14409256897.046989</v>
      </c>
      <c r="P10" s="125">
        <f>INDEX(stats!$D:$D,MATCH(Elec_AI!V10,stats!$A:$A,0))</f>
        <v>3064062346.8713851</v>
      </c>
      <c r="R10" s="24">
        <v>8</v>
      </c>
      <c r="S10" s="25" t="str">
        <f t="shared" si="6"/>
        <v>vat_elec_pc_benefits__yd_8</v>
      </c>
      <c r="T10" s="25" t="str">
        <f t="shared" si="6"/>
        <v>subsidy_elec_pc_benefits__yd_8</v>
      </c>
      <c r="U10" s="25" t="str">
        <f t="shared" si="6"/>
        <v>subsidy_elec_direct_pc_benefits__yd_8</v>
      </c>
      <c r="V10" s="25" t="str">
        <f t="shared" si="6"/>
        <v>subsidy_elec_indirect_pc_benefits__yd_8</v>
      </c>
      <c r="X10" s="25"/>
      <c r="Z10" s="126">
        <f t="shared" si="2"/>
        <v>0.99999999786010008</v>
      </c>
    </row>
    <row r="11">
      <c r="A11" s="19" t="s">
        <v>24</v>
      </c>
      <c r="B11" s="19" cm="1">
        <f t="array" aca="true" ref="B11" ca="true">INDIRECT(A11)</f>
        <v>9</v>
      </c>
      <c r="H11" s="243">
        <f t="shared" ca="true" si="7"/>
        <v>9</v>
      </c>
      <c r="I11" s="229">
        <f t="shared" si="3"/>
        <v>11.26423881059802</v>
      </c>
      <c r="J11" s="125">
        <f>INDEX(stats!$D:$D,MATCH(Elec_AI!S11,stats!$A:$A,0))</f>
        <v>488541875.191576</v>
      </c>
      <c r="K11" s="229">
        <f t="shared" si="1"/>
        <v>17.938453086981344</v>
      </c>
      <c r="L11" s="125">
        <f>INDEX(stats!$D:$D,MATCH(Elec_AI!T11,stats!$A:$A,0))</f>
        <v>24230618147.312061</v>
      </c>
      <c r="M11" s="19">
        <f t="shared" si="4"/>
        <v>18.401386055015212</v>
      </c>
      <c r="N11" s="19">
        <f t="shared" si="5"/>
        <v>15.877250309821097</v>
      </c>
      <c r="O11" s="125">
        <f>INDEX(stats!$D:$D,MATCH(Elec_AI!U11,stats!$A:$A,0))</f>
        <v>20297289681.231491</v>
      </c>
      <c r="P11" s="125">
        <f>INDEX(stats!$D:$D,MATCH(Elec_AI!V11,stats!$A:$A,0))</f>
        <v>3933328430.8084059</v>
      </c>
      <c r="R11" s="24">
        <v>9</v>
      </c>
      <c r="S11" s="25" t="str">
        <f t="shared" si="6"/>
        <v>vat_elec_pc_benefits__yd_9</v>
      </c>
      <c r="T11" s="25" t="str">
        <f t="shared" si="6"/>
        <v>subsidy_elec_pc_benefits__yd_9</v>
      </c>
      <c r="U11" s="25" t="str">
        <f t="shared" si="6"/>
        <v>subsidy_elec_direct_pc_benefits__yd_9</v>
      </c>
      <c r="V11" s="25" t="str">
        <f t="shared" si="6"/>
        <v>subsidy_elec_indirect_pc_benefits__yd_9</v>
      </c>
      <c r="X11" s="25"/>
      <c r="Z11" s="126">
        <f t="shared" si="2"/>
        <v>0.99999999854431432</v>
      </c>
    </row>
    <row r="12">
      <c r="A12" s="19" t="s">
        <v>25</v>
      </c>
      <c r="B12" s="19" t="str" cm="1">
        <f t="array" aca="true" ref="B12" ca="true">INDIRECT(A12)</f>
        <v>Top decile</v>
      </c>
      <c r="H12" s="228" t="str">
        <f t="shared" ca="true" si="7"/>
        <v>Top decile</v>
      </c>
      <c r="I12" s="229">
        <f t="shared" si="3"/>
        <v>69.210636072894488</v>
      </c>
      <c r="J12" s="125">
        <f>INDEX(stats!$D:$D,MATCH(Elec_AI!S12,stats!$A:$A,0))</f>
        <v>3001738022.319016</v>
      </c>
      <c r="K12" s="229">
        <f>100*L12/L$13</f>
        <v>36.534712515913547</v>
      </c>
      <c r="L12" s="125">
        <f>INDEX(stats!$D:$D,MATCH(Elec_AI!T12,stats!$A:$A,0))</f>
        <v>49349777475.371696</v>
      </c>
      <c r="M12" s="19">
        <f t="shared" si="4"/>
        <v>37.785510316548205</v>
      </c>
      <c r="N12" s="19">
        <f t="shared" si="5"/>
        <v>30.965552732171737</v>
      </c>
      <c r="O12" s="125">
        <f>INDEX(stats!$D:$D,MATCH(Elec_AI!U12,stats!$A:$A,0))</f>
        <v>41678569557.487923</v>
      </c>
      <c r="P12" s="125">
        <f>INDEX(stats!$D:$D,MATCH(Elec_AI!V12,stats!$A:$A,0))</f>
        <v>7671207958.5851421</v>
      </c>
      <c r="R12" s="24">
        <v>10</v>
      </c>
      <c r="S12" s="25" t="str">
        <f t="shared" si="6"/>
        <v>vat_elec_pc_benefits__yd_10</v>
      </c>
      <c r="T12" s="25" t="str">
        <f t="shared" si="6"/>
        <v>subsidy_elec_pc_benefits__yd_10</v>
      </c>
      <c r="U12" s="25" t="str">
        <f t="shared" si="6"/>
        <v>subsidy_elec_direct_pc_benefits__yd_10</v>
      </c>
      <c r="V12" s="25" t="str">
        <f t="shared" si="6"/>
        <v>subsidy_elec_indirect_pc_benefits__yd_10</v>
      </c>
      <c r="X12" s="25"/>
      <c r="Z12" s="126">
        <f t="shared" si="2"/>
        <v>1.0000000008247529</v>
      </c>
    </row>
    <row r="13">
      <c r="A13" s="19" t="s">
        <v>36</v>
      </c>
      <c r="B13" s="19" t="str" cm="1">
        <f t="array" aca="true" ref="B13" ca="true">INDIRECT(A13)</f>
        <v>Deciles of per capita disposable income</v>
      </c>
      <c r="H13" s="229"/>
      <c r="I13" s="229"/>
      <c r="J13" s="125">
        <f>INDEX(stats!$D:$D,MATCH(Elec_AI!S13,stats!$A:$A,0))</f>
        <v>4337105093.4389706</v>
      </c>
      <c r="K13" s="229"/>
      <c r="L13" s="125">
        <f>INDEX(stats!$D:$D,MATCH(Elec_AI!T13,stats!$A:$A,0))</f>
        <v>135076408371.56239</v>
      </c>
      <c r="O13" s="125">
        <f>INDEX(stats!$D:$D,MATCH(Elec_AI!U13,stats!$A:$A,0))</f>
        <v>110303047936.4328</v>
      </c>
      <c r="P13" s="125">
        <f>INDEX(stats!$D:$D,MATCH(Elec_AI!V13,stats!$A:$A,0))</f>
        <v>24773360336.678638</v>
      </c>
      <c r="R13" s="19">
        <v>0</v>
      </c>
      <c r="S13" s="25" t="str">
        <f t="shared" si="6"/>
        <v>vat_elec_pc_benefits__yd_0</v>
      </c>
      <c r="T13" s="25" t="str">
        <f t="shared" si="6"/>
        <v>subsidy_elec_pc_benefits__yd_0</v>
      </c>
      <c r="U13" s="25" t="str">
        <f t="shared" si="6"/>
        <v>subsidy_elec_direct_pc_benefits__yd_0</v>
      </c>
      <c r="V13" s="25" t="str">
        <f t="shared" si="6"/>
        <v>subsidy_elec_indirect_pc_benefits__yd_0</v>
      </c>
      <c r="X13" s="25"/>
      <c r="Z13" s="126">
        <f t="shared" si="2"/>
        <v>0.99999999927114613</v>
      </c>
    </row>
    <row r="14">
      <c r="D14" s="22"/>
      <c r="E14" s="26"/>
      <c r="H14" s="229"/>
      <c r="I14" s="229"/>
      <c r="J14" s="241"/>
      <c r="K14" s="229"/>
      <c r="S14" s="127"/>
    </row>
    <row r="15">
      <c r="A15" s="19" t="s">
        <v>6</v>
      </c>
    </row>
    <row r="16">
      <c r="A16" s="19" t="s">
        <v>39</v>
      </c>
      <c r="B16" s="19" t="str" cm="1">
        <f t="array" aca="true" ref="B16" ca="true">INDIRECT(A16)</f>
        <v>Percentage of total tax</v>
      </c>
    </row>
    <row r="17">
      <c r="A17" s="19" t="s">
        <v>42</v>
      </c>
      <c r="B17" s="19" t="str" cm="1">
        <f t="array" aca="true" ref="B17" ca="true">INDIRECT(A17)</f>
        <v>Percentage of total subsidy</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honeticPr fontId="14" type="noConversion"/>
  <pageMargins left="0.7" right="0.7" top="0.75" bottom="0.75" header="0.3" footer="0.3"/>
  <pageSetup paperSize="9" orientation="portrait" r:id="rId1"/>
  <ignoredErrors>
    <ignoredError sqref="J4:J13" formula="true"/>
  </ignoredErrors>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6831D-513F-614E-9152-72455478CCE9}">
  <dimension ref="A1:R25"/>
  <sheetViews>
    <sheetView topLeftCell="F1" workbookViewId="0">
      <selection activeCell="R4" sqref="R4"/>
    </sheetView>
  </sheetViews>
  <sheetFormatPr defaultColWidth="10.85546875" defaultRowHeight="15"/>
  <cols>
    <col min="1" max="1" width="10.85546875" style="19" hidden="true" customWidth="true"/>
    <col min="2" max="2" width="17.140625" style="19" hidden="true" customWidth="true"/>
    <col min="3" max="3" width="12.140625" style="19" hidden="true" customWidth="true"/>
    <col min="4" max="4" width="9.28515625" style="19" hidden="true" customWidth="true"/>
    <col min="5" max="5" width="11.140625" style="19" hidden="true" customWidth="true"/>
    <col min="6" max="6" width="10.42578125" style="19" customWidth="true"/>
    <col min="7" max="7" width="22.42578125" style="19" customWidth="true"/>
    <col min="8" max="8" width="10.85546875" style="19"/>
    <col min="9" max="9" width="12" style="19" bestFit="true" customWidth="true"/>
    <col min="10" max="14" width="10.85546875" style="19"/>
    <col min="15" max="15" width="3" style="19" bestFit="true" customWidth="true"/>
    <col min="16" max="16" width="26.28515625" style="19" bestFit="true" customWidth="true"/>
    <col min="17" max="17" width="0.0" style="19" hidden="true" customWidth="true"/>
    <col min="18" max="18" width="35.5703125" style="19" bestFit="true" customWidth="true"/>
    <col min="19" max="23" width="0.0" style="19" hidden="true" customWidth="true"/>
    <col min="24" max="16384" width="10.85546875" style="19"/>
  </cols>
  <sheetData>
    <row r="1">
      <c r="I1" s="19" t="str">
        <f ca="true">+B16</f>
        <v>Percentage of population who pays VAT on electricity</v>
      </c>
      <c r="K1" s="19" t="str">
        <f ca="true">+B17</f>
        <v>Percentage of population receiving electricity subsidies</v>
      </c>
      <c r="M1" s="39"/>
    </row>
    <row r="2">
      <c r="A2" s="19" t="s">
        <v>14</v>
      </c>
      <c r="I2" s="131" t="s">
        <v>30</v>
      </c>
      <c r="J2" s="23" t="s">
        <v>31</v>
      </c>
      <c r="P2" s="227" t="s">
        <v>271</v>
      </c>
      <c r="R2" s="227" t="s">
        <v>272</v>
      </c>
    </row>
    <row r="3">
      <c r="A3" s="19" t="s">
        <v>16</v>
      </c>
      <c r="B3" s="19" t="str" cm="1">
        <f t="array" aca="true" ref="B3" ca="true">INDIRECT(A3)</f>
        <v>Bottom decile</v>
      </c>
      <c r="H3" s="22" t="str">
        <f t="shared" ref="H3:H12" ca="true" si="0">+B3</f>
        <v>Bottom decile</v>
      </c>
      <c r="I3" s="230">
        <f>100*INDEX(stats!$D:$D,MATCH(Fuels_Coverage!P3,stats!$A:$A,0))</f>
        <v>13.477967004427599</v>
      </c>
      <c r="J3" s="230">
        <f>100*INDEX(stats!$D:$D,MATCH(Fuels_Coverage!R3,stats!$A:$A,0))</f>
        <v>13.477967004427599</v>
      </c>
      <c r="O3" s="19">
        <v>1</v>
      </c>
      <c r="P3" s="39" t="str">
        <f>+_xlfn.CONCAT(P$2,$O3)</f>
        <v>vat_fuel_pc_coverage__yd_1</v>
      </c>
      <c r="R3" s="39" t="str">
        <f>+_xlfn.CONCAT(R$2,$O3)</f>
        <v>subsidy_fuel_direct_pc_coverage__yd_1</v>
      </c>
    </row>
    <row r="4">
      <c r="A4" s="19" t="s">
        <v>17</v>
      </c>
      <c r="B4" s="19" cm="1">
        <f t="array" aca="true" ref="B4" ca="true">INDIRECT(A4)</f>
        <v>2</v>
      </c>
      <c r="H4" s="22">
        <f t="shared" ca="true" si="0"/>
        <v>2</v>
      </c>
      <c r="I4" s="230">
        <f>100*INDEX(stats!$D:$D,MATCH(Fuels_Coverage!P4,stats!$A:$A,0))</f>
        <v>21.363055530959649</v>
      </c>
      <c r="J4" s="230">
        <f>100*INDEX(stats!$D:$D,MATCH(Fuels_Coverage!R4,stats!$A:$A,0))</f>
        <v>21.363055530959649</v>
      </c>
      <c r="O4" s="19">
        <v>2</v>
      </c>
      <c r="P4" s="39" t="str">
        <f t="shared" ref="P4:P12" si="1">+_xlfn.CONCAT(P$2,$O4)</f>
        <v>vat_fuel_pc_coverage__yd_2</v>
      </c>
      <c r="R4" s="39" t="str">
        <f t="shared" ref="R4:R12" si="2">+_xlfn.CONCAT(R$2,$O4)</f>
        <v>subsidy_fuel_direct_pc_coverage__yd_2</v>
      </c>
    </row>
    <row r="5">
      <c r="A5" s="19" t="s">
        <v>18</v>
      </c>
      <c r="B5" s="19" cm="1">
        <f t="array" aca="true" ref="B5" ca="true">INDIRECT(A5)</f>
        <v>3</v>
      </c>
      <c r="H5" s="22">
        <f t="shared" ca="true" si="0"/>
        <v>3</v>
      </c>
      <c r="I5" s="230">
        <f>100*INDEX(stats!$D:$D,MATCH(Fuels_Coverage!P5,stats!$A:$A,0))</f>
        <v>32.619834231154208</v>
      </c>
      <c r="J5" s="230">
        <f>100*INDEX(stats!$D:$D,MATCH(Fuels_Coverage!R5,stats!$A:$A,0))</f>
        <v>32.619834231154208</v>
      </c>
      <c r="O5" s="19">
        <v>3</v>
      </c>
      <c r="P5" s="39" t="str">
        <f t="shared" si="1"/>
        <v>vat_fuel_pc_coverage__yd_3</v>
      </c>
      <c r="R5" s="39" t="str">
        <f t="shared" si="2"/>
        <v>subsidy_fuel_direct_pc_coverage__yd_3</v>
      </c>
    </row>
    <row r="6">
      <c r="A6" s="19" t="s">
        <v>19</v>
      </c>
      <c r="B6" s="19" cm="1">
        <f t="array" aca="true" ref="B6" ca="true">INDIRECT(A6)</f>
        <v>4</v>
      </c>
      <c r="H6" s="22">
        <f t="shared" ca="true" si="0"/>
        <v>4</v>
      </c>
      <c r="I6" s="230">
        <f>100*INDEX(stats!$D:$D,MATCH(Fuels_Coverage!P6,stats!$A:$A,0))</f>
        <v>35.869685821978457</v>
      </c>
      <c r="J6" s="230">
        <f>100*INDEX(stats!$D:$D,MATCH(Fuels_Coverage!R6,stats!$A:$A,0))</f>
        <v>35.869685821978457</v>
      </c>
      <c r="O6" s="19">
        <v>4</v>
      </c>
      <c r="P6" s="39" t="str">
        <f t="shared" si="1"/>
        <v>vat_fuel_pc_coverage__yd_4</v>
      </c>
      <c r="R6" s="39" t="str">
        <f t="shared" si="2"/>
        <v>subsidy_fuel_direct_pc_coverage__yd_4</v>
      </c>
    </row>
    <row r="7">
      <c r="A7" s="19" t="s">
        <v>20</v>
      </c>
      <c r="B7" s="19" cm="1">
        <f t="array" aca="true" ref="B7" ca="true">INDIRECT(A7)</f>
        <v>5</v>
      </c>
      <c r="H7" s="22">
        <f t="shared" ca="true" si="0"/>
        <v>5</v>
      </c>
      <c r="I7" s="230">
        <f>100*INDEX(stats!$D:$D,MATCH(Fuels_Coverage!P7,stats!$A:$A,0))</f>
        <v>49.67650125332959</v>
      </c>
      <c r="J7" s="230">
        <f>100*INDEX(stats!$D:$D,MATCH(Fuels_Coverage!R7,stats!$A:$A,0))</f>
        <v>49.67650125332959</v>
      </c>
      <c r="O7" s="19">
        <v>5</v>
      </c>
      <c r="P7" s="39" t="str">
        <f t="shared" si="1"/>
        <v>vat_fuel_pc_coverage__yd_5</v>
      </c>
      <c r="R7" s="39" t="str">
        <f t="shared" si="2"/>
        <v>subsidy_fuel_direct_pc_coverage__yd_5</v>
      </c>
    </row>
    <row r="8">
      <c r="A8" s="19" t="s">
        <v>21</v>
      </c>
      <c r="B8" s="19" cm="1">
        <f t="array" aca="true" ref="B8" ca="true">INDIRECT(A8)</f>
        <v>6</v>
      </c>
      <c r="H8" s="22">
        <f t="shared" ca="true" si="0"/>
        <v>6</v>
      </c>
      <c r="I8" s="230">
        <f>100*INDEX(stats!$D:$D,MATCH(Fuels_Coverage!P8,stats!$A:$A,0))</f>
        <v>62.357975448843717</v>
      </c>
      <c r="J8" s="230">
        <f>100*INDEX(stats!$D:$D,MATCH(Fuels_Coverage!R8,stats!$A:$A,0))</f>
        <v>62.357975448843717</v>
      </c>
      <c r="O8" s="19">
        <v>6</v>
      </c>
      <c r="P8" s="39" t="str">
        <f t="shared" si="1"/>
        <v>vat_fuel_pc_coverage__yd_6</v>
      </c>
      <c r="R8" s="39" t="str">
        <f t="shared" si="2"/>
        <v>subsidy_fuel_direct_pc_coverage__yd_6</v>
      </c>
    </row>
    <row r="9">
      <c r="A9" s="19" t="s">
        <v>22</v>
      </c>
      <c r="B9" s="19" cm="1">
        <f t="array" aca="true" ref="B9" ca="true">INDIRECT(A9)</f>
        <v>7</v>
      </c>
      <c r="H9" s="22">
        <f t="shared" ca="true" si="0"/>
        <v>7</v>
      </c>
      <c r="I9" s="230">
        <f>100*INDEX(stats!$D:$D,MATCH(Fuels_Coverage!P9,stats!$A:$A,0))</f>
        <v>66.509172265735089</v>
      </c>
      <c r="J9" s="230">
        <f>100*INDEX(stats!$D:$D,MATCH(Fuels_Coverage!R9,stats!$A:$A,0))</f>
        <v>66.509172265735089</v>
      </c>
      <c r="O9" s="19">
        <v>7</v>
      </c>
      <c r="P9" s="39" t="str">
        <f t="shared" si="1"/>
        <v>vat_fuel_pc_coverage__yd_7</v>
      </c>
      <c r="R9" s="39" t="str">
        <f t="shared" si="2"/>
        <v>subsidy_fuel_direct_pc_coverage__yd_7</v>
      </c>
    </row>
    <row r="10">
      <c r="A10" s="19" t="s">
        <v>23</v>
      </c>
      <c r="B10" s="19" cm="1">
        <f t="array" aca="true" ref="B10" ca="true">INDIRECT(A10)</f>
        <v>8</v>
      </c>
      <c r="H10" s="22">
        <f t="shared" ca="true" si="0"/>
        <v>8</v>
      </c>
      <c r="I10" s="230">
        <f>100*INDEX(stats!$D:$D,MATCH(Fuels_Coverage!P10,stats!$A:$A,0))</f>
        <v>79.335678441259063</v>
      </c>
      <c r="J10" s="230">
        <f>100*INDEX(stats!$D:$D,MATCH(Fuels_Coverage!R10,stats!$A:$A,0))</f>
        <v>79.335678441259063</v>
      </c>
      <c r="O10" s="19">
        <v>8</v>
      </c>
      <c r="P10" s="39" t="str">
        <f t="shared" si="1"/>
        <v>vat_fuel_pc_coverage__yd_8</v>
      </c>
      <c r="R10" s="39" t="str">
        <f t="shared" si="2"/>
        <v>subsidy_fuel_direct_pc_coverage__yd_8</v>
      </c>
    </row>
    <row r="11">
      <c r="A11" s="19" t="s">
        <v>24</v>
      </c>
      <c r="B11" s="19" cm="1">
        <f t="array" aca="true" ref="B11" ca="true">INDIRECT(A11)</f>
        <v>9</v>
      </c>
      <c r="H11" s="22">
        <f t="shared" ca="true" si="0"/>
        <v>9</v>
      </c>
      <c r="I11" s="230">
        <f>100*INDEX(stats!$D:$D,MATCH(Fuels_Coverage!P11,stats!$A:$A,0))</f>
        <v>89.41446559291299</v>
      </c>
      <c r="J11" s="230">
        <f>100*INDEX(stats!$D:$D,MATCH(Fuels_Coverage!R11,stats!$A:$A,0))</f>
        <v>89.41446559291299</v>
      </c>
      <c r="O11" s="19">
        <v>9</v>
      </c>
      <c r="P11" s="39" t="str">
        <f t="shared" si="1"/>
        <v>vat_fuel_pc_coverage__yd_9</v>
      </c>
      <c r="R11" s="39" t="str">
        <f t="shared" si="2"/>
        <v>subsidy_fuel_direct_pc_coverage__yd_9</v>
      </c>
    </row>
    <row r="12">
      <c r="A12" s="19" t="s">
        <v>25</v>
      </c>
      <c r="B12" s="19" t="str" cm="1">
        <f t="array" aca="true" ref="B12" ca="true">INDIRECT(A12)</f>
        <v>Top decile</v>
      </c>
      <c r="H12" s="22" t="str">
        <f t="shared" ca="true" si="0"/>
        <v>Top decile</v>
      </c>
      <c r="I12" s="230">
        <f>100*INDEX(stats!$D:$D,MATCH(Fuels_Coverage!P12,stats!$A:$A,0))</f>
        <v>91.524558568742066</v>
      </c>
      <c r="J12" s="230">
        <f>100*INDEX(stats!$D:$D,MATCH(Fuels_Coverage!R12,stats!$A:$A,0))</f>
        <v>91.524558568742066</v>
      </c>
      <c r="O12" s="19">
        <v>10</v>
      </c>
      <c r="P12" s="39" t="str">
        <f t="shared" si="1"/>
        <v>vat_fuel_pc_coverage__yd_10</v>
      </c>
      <c r="R12" s="39" t="str">
        <f t="shared" si="2"/>
        <v>subsidy_fuel_direct_pc_coverage__yd_10</v>
      </c>
    </row>
    <row r="13" ht="38.25">
      <c r="A13" s="40" t="s">
        <v>36</v>
      </c>
      <c r="B13" s="41" t="str" cm="1">
        <f t="array" aca="true" ref="B13" ca="true">INDIRECT(A13)</f>
        <v>Deciles of per capita disposable income</v>
      </c>
    </row>
    <row r="15">
      <c r="A15" s="19" t="s">
        <v>6</v>
      </c>
    </row>
    <row r="16">
      <c r="A16" s="19" t="s">
        <v>26</v>
      </c>
      <c r="B16" s="19" t="str" cm="1">
        <f t="array" aca="true" ref="B16" ca="true">INDIRECT(A16)</f>
        <v>Percentage of population who pays VAT on electricity</v>
      </c>
    </row>
    <row r="17">
      <c r="A17" s="19" t="s">
        <v>33</v>
      </c>
      <c r="B17" s="19" t="str" cm="1">
        <f t="array" aca="true" ref="B17" ca="true">INDIRECT(A17)</f>
        <v>Percentage of population receiving electricity subsidies</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F9CE-D9D3-3644-9308-DE08A13AEEF8}">
  <dimension ref="A2:AA26"/>
  <sheetViews>
    <sheetView tabSelected="true" topLeftCell="F2" zoomScale="85" zoomScaleNormal="85" workbookViewId="0">
      <selection activeCell="G5" sqref="G5"/>
    </sheetView>
  </sheetViews>
  <sheetFormatPr defaultColWidth="10.85546875" defaultRowHeight="15"/>
  <cols>
    <col min="1" max="1" width="10.85546875" style="19" hidden="true" customWidth="true"/>
    <col min="2" max="2" width="18.7109375" style="19" hidden="true" customWidth="true"/>
    <col min="3" max="3" width="0.0" style="19" hidden="true" customWidth="true"/>
    <col min="4" max="4" width="11.85546875" style="19" hidden="true" customWidth="true"/>
    <col min="5" max="5" width="8.42578125" style="19" hidden="true" customWidth="true"/>
    <col min="6" max="9" width="10.85546875" style="19"/>
    <col min="10" max="10" width="11.85546875" style="19" customWidth="true"/>
    <col min="11" max="11" width="12.85546875" style="19" customWidth="true"/>
    <col min="12" max="13" width="10.85546875" style="19"/>
    <col min="14" max="26" width="9.140625" style="19" customWidth="true"/>
    <col min="27" max="27" width="12" style="19" bestFit="true" customWidth="true"/>
    <col min="28" max="16384" width="10.85546875" style="19"/>
  </cols>
  <sheetData>
    <row r="2">
      <c r="H2" s="21" t="s">
        <v>0</v>
      </c>
      <c r="I2" s="19" t="str">
        <f ca="true">B17</f>
        <v>Percentage of disposable income</v>
      </c>
      <c r="K2" s="19" t="str">
        <f>B18</f>
        <v>Percentage of disposable income</v>
      </c>
      <c r="M2" s="19" t="str">
        <f ca="true">+B17</f>
        <v>Percentage of disposable income</v>
      </c>
      <c r="P2" s="21"/>
      <c r="R2" s="21"/>
      <c r="T2" s="21"/>
    </row>
    <row r="3">
      <c r="A3" s="19" t="s">
        <v>14</v>
      </c>
      <c r="H3" s="22"/>
      <c r="I3" s="23" t="s">
        <v>60</v>
      </c>
      <c r="K3" s="23" t="s">
        <v>31</v>
      </c>
      <c r="M3" s="23" t="s">
        <v>1121</v>
      </c>
      <c r="N3" s="47" t="s">
        <v>1122</v>
      </c>
      <c r="O3" s="24"/>
      <c r="P3" s="391" t="s">
        <v>273</v>
      </c>
      <c r="R3" s="390" t="s">
        <v>274</v>
      </c>
      <c r="T3" s="244" t="s">
        <v>275</v>
      </c>
      <c r="U3" s="227" t="s">
        <v>276</v>
      </c>
      <c r="Z3" s="359"/>
      <c r="AA3" s="359" t="s">
        <v>292</v>
      </c>
    </row>
    <row r="4" ht="15.75">
      <c r="A4" s="19" t="s">
        <v>16</v>
      </c>
      <c r="B4" s="19" t="str" cm="1">
        <f t="array" aca="true" ref="B4" ca="true">INDIRECT(A4)</f>
        <v>Bottom decile</v>
      </c>
      <c r="H4" s="22" t="str">
        <f t="shared" ref="H4:H7" ca="true" si="0">+B4</f>
        <v>Bottom decile</v>
      </c>
      <c r="I4" s="19">
        <f>100*INDEX(stats!$D:$D,MATCH(Fuels_RI!P4,stats!$A:$A,0))</f>
        <v>-0.11431216708780441</v>
      </c>
      <c r="J4" s="130"/>
      <c r="K4" s="19">
        <f>100*INDEX(stats!$D:$D,MATCH(Fuels_RI!R4,stats!$A:$A,0))</f>
        <v>0.8283126301119822</v>
      </c>
      <c r="M4" s="19">
        <f>100*INDEX(stats!$D:$D,MATCH(Fuels_RI!T4,stats!$A:$A,0))</f>
        <v>0.23368629515077141</v>
      </c>
      <c r="N4" s="19">
        <f>100*INDEX(stats!$D:$D,MATCH(Fuels_RI!U4,stats!$A:$A,0))</f>
        <v>0.59462633040327462</v>
      </c>
      <c r="O4" s="24">
        <v>1</v>
      </c>
      <c r="P4" s="25" t="str">
        <f>+_xlfn.CONCAT(P$3,$O4)</f>
        <v>vat_fuel_pc_netcash__yd_1</v>
      </c>
      <c r="R4" s="25" t="str">
        <f>+_xlfn.CONCAT(R$3,$O4)</f>
        <v>subsidy_fuel_pc_netcash__yd_1</v>
      </c>
      <c r="T4" s="25" t="str">
        <f>+_xlfn.CONCAT(T$3,$O4)</f>
        <v>subsidy_fuel_direct_pc_netcash__yd_1</v>
      </c>
      <c r="U4" s="25" t="str">
        <f>+_xlfn.CONCAT(U$3,$O4)</f>
        <v>subsidy_fuel_indirect_pc_netcash__yd_1</v>
      </c>
      <c r="AA4" s="360">
        <f>+N4+M4+I4</f>
        <v>0.71400045846624161</v>
      </c>
    </row>
    <row r="5" ht="15.75">
      <c r="A5" s="19" t="s">
        <v>17</v>
      </c>
      <c r="B5" s="19" cm="1">
        <f t="array" aca="true" ref="B5" ca="true">INDIRECT(A5)</f>
        <v>2</v>
      </c>
      <c r="G5" s="390"/>
      <c r="H5" s="22">
        <f t="shared" ca="true" si="0"/>
        <v>2</v>
      </c>
      <c r="I5" s="19">
        <f>100*INDEX(stats!$D:$D,MATCH(Fuels_RI!P5,stats!$A:$A,0))</f>
        <v>-0.15724054302865351</v>
      </c>
      <c r="J5" s="130"/>
      <c r="K5" s="19">
        <f>100*INDEX(stats!$D:$D,MATCH(Fuels_RI!R5,stats!$A:$A,0))</f>
        <v>1.0146401437172039</v>
      </c>
      <c r="M5" s="19">
        <f>100*INDEX(stats!$D:$D,MATCH(Fuels_RI!T5,stats!$A:$A,0))</f>
        <v>0.35898737519319179</v>
      </c>
      <c r="N5" s="19">
        <f>100*INDEX(stats!$D:$D,MATCH(Fuels_RI!U5,stats!$A:$A,0))</f>
        <v>0.65565276287179708</v>
      </c>
      <c r="O5" s="24">
        <v>2</v>
      </c>
      <c r="P5" s="25" t="str">
        <f t="shared" ref="P5:P13" si="1">+_xlfn.CONCAT(P$3,$O5)</f>
        <v>vat_fuel_pc_netcash__yd_2</v>
      </c>
      <c r="R5" s="25" t="str">
        <f t="shared" ref="R5:R13" si="2">+_xlfn.CONCAT(R$3,$O5)</f>
        <v>subsidy_fuel_pc_netcash__yd_2</v>
      </c>
      <c r="T5" s="25" t="str">
        <f t="shared" ref="T5:U13" si="3">+_xlfn.CONCAT(T$3,$O5)</f>
        <v>subsidy_fuel_direct_pc_netcash__yd_2</v>
      </c>
      <c r="U5" s="25" t="str">
        <f t="shared" si="3"/>
        <v>subsidy_fuel_indirect_pc_netcash__yd_2</v>
      </c>
      <c r="AA5" s="360">
        <f t="shared" ref="AA5:AA13" si="4">+N5+M5+I5</f>
        <v>0.85739959503633523</v>
      </c>
    </row>
    <row r="6" ht="15.75">
      <c r="A6" s="19" t="s">
        <v>18</v>
      </c>
      <c r="B6" s="19" cm="1">
        <f t="array" aca="true" ref="B6" ca="true">INDIRECT(A6)</f>
        <v>3</v>
      </c>
      <c r="H6" s="22">
        <f t="shared" ca="true" si="0"/>
        <v>3</v>
      </c>
      <c r="I6" s="19">
        <f>100*INDEX(stats!$D:$D,MATCH(Fuels_RI!P6,stats!$A:$A,0))</f>
        <v>-0.13374558829975269</v>
      </c>
      <c r="J6" s="130"/>
      <c r="K6" s="19">
        <f>100*INDEX(stats!$D:$D,MATCH(Fuels_RI!R6,stats!$A:$A,0))</f>
        <v>1.0120553165857931</v>
      </c>
      <c r="M6" s="19">
        <f>100*INDEX(stats!$D:$D,MATCH(Fuels_RI!T6,stats!$A:$A,0))</f>
        <v>0.35480133347532644</v>
      </c>
      <c r="N6" s="19">
        <f>100*INDEX(stats!$D:$D,MATCH(Fuels_RI!U6,stats!$A:$A,0))</f>
        <v>0.65725397556090448</v>
      </c>
      <c r="O6" s="24">
        <v>3</v>
      </c>
      <c r="P6" s="25" t="str">
        <f t="shared" si="1"/>
        <v>vat_fuel_pc_netcash__yd_3</v>
      </c>
      <c r="R6" s="25" t="str">
        <f t="shared" si="2"/>
        <v>subsidy_fuel_pc_netcash__yd_3</v>
      </c>
      <c r="T6" s="25" t="str">
        <f t="shared" si="3"/>
        <v>subsidy_fuel_direct_pc_netcash__yd_3</v>
      </c>
      <c r="U6" s="25" t="str">
        <f t="shared" si="3"/>
        <v>subsidy_fuel_indirect_pc_netcash__yd_3</v>
      </c>
      <c r="AA6" s="360">
        <f t="shared" si="4"/>
        <v>0.87830972073647828</v>
      </c>
    </row>
    <row r="7" ht="15.75">
      <c r="A7" s="19" t="s">
        <v>19</v>
      </c>
      <c r="B7" s="19" cm="1">
        <f t="array" aca="true" ref="B7" ca="true">INDIRECT(A7)</f>
        <v>4</v>
      </c>
      <c r="H7" s="22">
        <f t="shared" ca="true" si="0"/>
        <v>4</v>
      </c>
      <c r="I7" s="19">
        <f>100*INDEX(stats!$D:$D,MATCH(Fuels_RI!P7,stats!$A:$A,0))</f>
        <v>-0.1476931201748713</v>
      </c>
      <c r="J7" s="130"/>
      <c r="K7" s="19">
        <f>100*INDEX(stats!$D:$D,MATCH(Fuels_RI!R7,stats!$A:$A,0))</f>
        <v>1.1080534018719022</v>
      </c>
      <c r="M7" s="19">
        <f>100*INDEX(stats!$D:$D,MATCH(Fuels_RI!T7,stats!$A:$A,0))</f>
        <v>0.40885431836552638</v>
      </c>
      <c r="N7" s="19">
        <f>100*INDEX(stats!$D:$D,MATCH(Fuels_RI!U7,stats!$A:$A,0))</f>
        <v>0.6991990858149506</v>
      </c>
      <c r="O7" s="24">
        <v>4</v>
      </c>
      <c r="P7" s="25" t="str">
        <f t="shared" si="1"/>
        <v>vat_fuel_pc_netcash__yd_4</v>
      </c>
      <c r="R7" s="25" t="str">
        <f t="shared" si="2"/>
        <v>subsidy_fuel_pc_netcash__yd_4</v>
      </c>
      <c r="T7" s="25" t="str">
        <f t="shared" si="3"/>
        <v>subsidy_fuel_direct_pc_netcash__yd_4</v>
      </c>
      <c r="U7" s="25" t="str">
        <f t="shared" si="3"/>
        <v>subsidy_fuel_indirect_pc_netcash__yd_4</v>
      </c>
      <c r="AA7" s="360">
        <f t="shared" si="4"/>
        <v>0.9603602840056058</v>
      </c>
    </row>
    <row r="8" ht="15.75">
      <c r="A8" s="19" t="s">
        <v>20</v>
      </c>
      <c r="B8" s="19" cm="1">
        <f t="array" aca="true" ref="B8" ca="true">INDIRECT(A8)</f>
        <v>5</v>
      </c>
      <c r="H8" s="22">
        <f ca="true">+B8</f>
        <v>5</v>
      </c>
      <c r="I8" s="19">
        <f>100*INDEX(stats!$D:$D,MATCH(Fuels_RI!P8,stats!$A:$A,0))</f>
        <v>-0.18006216487414781</v>
      </c>
      <c r="J8" s="130"/>
      <c r="K8" s="19">
        <f>100*INDEX(stats!$D:$D,MATCH(Fuels_RI!R8,stats!$A:$A,0))</f>
        <v>1.2215931984548791</v>
      </c>
      <c r="M8" s="19">
        <f>100*INDEX(stats!$D:$D,MATCH(Fuels_RI!T8,stats!$A:$A,0))</f>
        <v>0.50999532459968888</v>
      </c>
      <c r="N8" s="19">
        <f>100*INDEX(stats!$D:$D,MATCH(Fuels_RI!U8,stats!$A:$A,0))</f>
        <v>0.71159786634323585</v>
      </c>
      <c r="O8" s="24">
        <v>5</v>
      </c>
      <c r="P8" s="25" t="str">
        <f t="shared" si="1"/>
        <v>vat_fuel_pc_netcash__yd_5</v>
      </c>
      <c r="R8" s="25" t="str">
        <f t="shared" si="2"/>
        <v>subsidy_fuel_pc_netcash__yd_5</v>
      </c>
      <c r="T8" s="25" t="str">
        <f t="shared" si="3"/>
        <v>subsidy_fuel_direct_pc_netcash__yd_5</v>
      </c>
      <c r="U8" s="25" t="str">
        <f t="shared" si="3"/>
        <v>subsidy_fuel_indirect_pc_netcash__yd_5</v>
      </c>
      <c r="AA8" s="360">
        <f t="shared" si="4"/>
        <v>1.0415310260687769</v>
      </c>
    </row>
    <row r="9" ht="15.75">
      <c r="A9" s="19" t="s">
        <v>21</v>
      </c>
      <c r="B9" s="19" cm="1">
        <f t="array" aca="true" ref="B9" ca="true">INDIRECT(A9)</f>
        <v>6</v>
      </c>
      <c r="H9" s="22">
        <f t="shared" ref="H9:H13" ca="true" si="5">+B9</f>
        <v>6</v>
      </c>
      <c r="I9" s="19">
        <f>100*INDEX(stats!$D:$D,MATCH(Fuels_RI!P9,stats!$A:$A,0))</f>
        <v>-0.20992710498374681</v>
      </c>
      <c r="J9" s="130"/>
      <c r="K9" s="19">
        <f>100*INDEX(stats!$D:$D,MATCH(Fuels_RI!R9,stats!$A:$A,0))</f>
        <v>1.3180667152347629</v>
      </c>
      <c r="M9" s="19">
        <f>100*INDEX(stats!$D:$D,MATCH(Fuels_RI!T9,stats!$A:$A,0))</f>
        <v>0.60723216641972677</v>
      </c>
      <c r="N9" s="19">
        <f>100*INDEX(stats!$D:$D,MATCH(Fuels_RI!U9,stats!$A:$A,0))</f>
        <v>0.7108345469528573</v>
      </c>
      <c r="O9" s="24">
        <v>6</v>
      </c>
      <c r="P9" s="25" t="str">
        <f t="shared" si="1"/>
        <v>vat_fuel_pc_netcash__yd_6</v>
      </c>
      <c r="R9" s="25" t="str">
        <f t="shared" si="2"/>
        <v>subsidy_fuel_pc_netcash__yd_6</v>
      </c>
      <c r="T9" s="25" t="str">
        <f t="shared" si="3"/>
        <v>subsidy_fuel_direct_pc_netcash__yd_6</v>
      </c>
      <c r="U9" s="25" t="str">
        <f t="shared" si="3"/>
        <v>subsidy_fuel_indirect_pc_netcash__yd_6</v>
      </c>
      <c r="AA9" s="360">
        <f t="shared" si="4"/>
        <v>1.1081396083888373</v>
      </c>
    </row>
    <row r="10" ht="15.75">
      <c r="A10" s="19" t="s">
        <v>22</v>
      </c>
      <c r="B10" s="19" cm="1">
        <f t="array" aca="true" ref="B10" ca="true">INDIRECT(A10)</f>
        <v>7</v>
      </c>
      <c r="H10" s="22">
        <f t="shared" ca="true" si="5"/>
        <v>7</v>
      </c>
      <c r="I10" s="19">
        <f>100*INDEX(stats!$D:$D,MATCH(Fuels_RI!P10,stats!$A:$A,0))</f>
        <v>-0.22135519850541172</v>
      </c>
      <c r="J10" s="130"/>
      <c r="K10" s="19">
        <f>100*INDEX(stats!$D:$D,MATCH(Fuels_RI!R10,stats!$A:$A,0))</f>
        <v>1.4072481358391369</v>
      </c>
      <c r="M10" s="19">
        <f>100*INDEX(stats!$D:$D,MATCH(Fuels_RI!T10,stats!$A:$A,0))</f>
        <v>0.68149702681589752</v>
      </c>
      <c r="N10" s="19">
        <f>100*INDEX(stats!$D:$D,MATCH(Fuels_RI!U10,stats!$A:$A,0))</f>
        <v>0.72575110744107185</v>
      </c>
      <c r="O10" s="24">
        <v>7</v>
      </c>
      <c r="P10" s="25" t="str">
        <f t="shared" si="1"/>
        <v>vat_fuel_pc_netcash__yd_7</v>
      </c>
      <c r="R10" s="25" t="str">
        <f t="shared" si="2"/>
        <v>subsidy_fuel_pc_netcash__yd_7</v>
      </c>
      <c r="T10" s="25" t="str">
        <f t="shared" si="3"/>
        <v>subsidy_fuel_direct_pc_netcash__yd_7</v>
      </c>
      <c r="U10" s="25" t="str">
        <f t="shared" si="3"/>
        <v>subsidy_fuel_indirect_pc_netcash__yd_7</v>
      </c>
      <c r="AA10" s="360">
        <f t="shared" si="4"/>
        <v>1.1858929357515577</v>
      </c>
    </row>
    <row r="11" ht="15.75">
      <c r="A11" s="19" t="s">
        <v>23</v>
      </c>
      <c r="B11" s="19" cm="1">
        <f t="array" aca="true" ref="B11" ca="true">INDIRECT(A11)</f>
        <v>8</v>
      </c>
      <c r="H11" s="22">
        <f t="shared" ca="true" si="5"/>
        <v>8</v>
      </c>
      <c r="I11" s="19">
        <f>100*INDEX(stats!$D:$D,MATCH(Fuels_RI!P11,stats!$A:$A,0))</f>
        <v>-0.29283044089443977</v>
      </c>
      <c r="J11" s="130"/>
      <c r="K11" s="19">
        <f>100*INDEX(stats!$D:$D,MATCH(Fuels_RI!R11,stats!$A:$A,0))</f>
        <v>1.5969645798955692</v>
      </c>
      <c r="M11" s="19">
        <f>100*INDEX(stats!$D:$D,MATCH(Fuels_RI!T11,stats!$A:$A,0))</f>
        <v>0.86465665795214752</v>
      </c>
      <c r="N11" s="19">
        <f>100*INDEX(stats!$D:$D,MATCH(Fuels_RI!U11,stats!$A:$A,0))</f>
        <v>0.73230792022985136</v>
      </c>
      <c r="O11" s="24">
        <v>8</v>
      </c>
      <c r="P11" s="25" t="str">
        <f t="shared" si="1"/>
        <v>vat_fuel_pc_netcash__yd_8</v>
      </c>
      <c r="R11" s="25" t="str">
        <f t="shared" si="2"/>
        <v>subsidy_fuel_pc_netcash__yd_8</v>
      </c>
      <c r="T11" s="25" t="str">
        <f t="shared" si="3"/>
        <v>subsidy_fuel_direct_pc_netcash__yd_8</v>
      </c>
      <c r="U11" s="25" t="str">
        <f t="shared" si="3"/>
        <v>subsidy_fuel_indirect_pc_netcash__yd_8</v>
      </c>
      <c r="AA11" s="360">
        <f t="shared" si="4"/>
        <v>1.3041341372875592</v>
      </c>
    </row>
    <row r="12" ht="15.75">
      <c r="A12" s="19" t="s">
        <v>24</v>
      </c>
      <c r="B12" s="19" cm="1">
        <f t="array" aca="true" ref="B12" ca="true">INDIRECT(A12)</f>
        <v>9</v>
      </c>
      <c r="H12" s="22">
        <f t="shared" ca="true" si="5"/>
        <v>9</v>
      </c>
      <c r="I12" s="19">
        <f>100*INDEX(stats!$D:$D,MATCH(Fuels_RI!P12,stats!$A:$A,0))</f>
        <v>-0.30795705841950788</v>
      </c>
      <c r="J12" s="130"/>
      <c r="K12" s="19">
        <f>100*INDEX(stats!$D:$D,MATCH(Fuels_RI!R12,stats!$A:$A,0))</f>
        <v>1.6429904836781299</v>
      </c>
      <c r="M12" s="19">
        <f>100*INDEX(stats!$D:$D,MATCH(Fuels_RI!T12,stats!$A:$A,0))</f>
        <v>0.91674334012949144</v>
      </c>
      <c r="N12" s="19">
        <f>100*INDEX(stats!$D:$D,MATCH(Fuels_RI!U12,stats!$A:$A,0))</f>
        <v>0.7262471489892639</v>
      </c>
      <c r="O12" s="24">
        <v>9</v>
      </c>
      <c r="P12" s="25" t="str">
        <f t="shared" si="1"/>
        <v>vat_fuel_pc_netcash__yd_9</v>
      </c>
      <c r="R12" s="25" t="str">
        <f t="shared" si="2"/>
        <v>subsidy_fuel_pc_netcash__yd_9</v>
      </c>
      <c r="T12" s="25" t="str">
        <f t="shared" si="3"/>
        <v>subsidy_fuel_direct_pc_netcash__yd_9</v>
      </c>
      <c r="U12" s="25" t="str">
        <f t="shared" si="3"/>
        <v>subsidy_fuel_indirect_pc_netcash__yd_9</v>
      </c>
      <c r="AA12" s="360">
        <f t="shared" si="4"/>
        <v>1.3350334306992475</v>
      </c>
    </row>
    <row r="13" ht="15.75">
      <c r="A13" s="19" t="s">
        <v>25</v>
      </c>
      <c r="B13" s="19" t="str" cm="1">
        <f t="array" aca="true" ref="B13" ca="true">INDIRECT(A13)</f>
        <v>Top decile</v>
      </c>
      <c r="H13" s="22" t="str">
        <f t="shared" ca="true" si="5"/>
        <v>Top decile</v>
      </c>
      <c r="I13" s="19">
        <f>100*INDEX(stats!$D:$D,MATCH(Fuels_RI!P13,stats!$A:$A,0))</f>
        <v>-0.3760178044334081</v>
      </c>
      <c r="J13" s="130"/>
      <c r="K13" s="19">
        <f>100*INDEX(stats!$D:$D,MATCH(Fuels_RI!R13,stats!$A:$A,0))</f>
        <v>1.7635973780965259</v>
      </c>
      <c r="M13" s="19">
        <f>100*INDEX(stats!$D:$D,MATCH(Fuels_RI!T13,stats!$A:$A,0))</f>
        <v>1.0050703420245219</v>
      </c>
      <c r="N13" s="19">
        <f>100*INDEX(stats!$D:$D,MATCH(Fuels_RI!U13,stats!$A:$A,0))</f>
        <v>0.75852702364757663</v>
      </c>
      <c r="O13" s="24">
        <v>10</v>
      </c>
      <c r="P13" s="25" t="str">
        <f t="shared" si="1"/>
        <v>vat_fuel_pc_netcash__yd_10</v>
      </c>
      <c r="R13" s="25" t="str">
        <f t="shared" si="2"/>
        <v>subsidy_fuel_pc_netcash__yd_10</v>
      </c>
      <c r="T13" s="25" t="str">
        <f t="shared" si="3"/>
        <v>subsidy_fuel_direct_pc_netcash__yd_10</v>
      </c>
      <c r="U13" s="25" t="str">
        <f t="shared" si="3"/>
        <v>subsidy_fuel_indirect_pc_netcash__yd_10</v>
      </c>
      <c r="AA13" s="360">
        <f t="shared" si="4"/>
        <v>1.3875795612386905</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2126-E7BD-A14E-95B9-96351D105979}">
  <dimension ref="A2:U26"/>
  <sheetViews>
    <sheetView topLeftCell="F1" zoomScale="70" zoomScaleNormal="70" workbookViewId="0">
      <selection activeCell="N1" sqref="N1:Z1048576"/>
    </sheetView>
  </sheetViews>
  <sheetFormatPr defaultColWidth="10.85546875" defaultRowHeight="15"/>
  <cols>
    <col min="1" max="1" width="10.85546875" style="19" hidden="true" customWidth="true"/>
    <col min="2" max="2" width="18.7109375" style="19" hidden="true" customWidth="true"/>
    <col min="3" max="3" width="0.0" style="19" hidden="true" customWidth="true"/>
    <col min="4" max="4" width="11.85546875" style="19" hidden="true" customWidth="true"/>
    <col min="5" max="5" width="8.42578125" style="19" hidden="true" customWidth="true"/>
    <col min="6" max="9" width="10.85546875" style="19"/>
    <col min="10" max="10" width="11.85546875" style="19" customWidth="true"/>
    <col min="11" max="11" width="12.85546875" style="19" customWidth="true"/>
    <col min="12" max="13" width="10.85546875" style="19"/>
    <col min="14" max="14" width="29.42578125" style="19" customWidth="true"/>
    <col min="15" max="15" width="0.0" style="19" hidden="true" customWidth="true"/>
    <col min="16" max="16" width="13" style="19" hidden="true" customWidth="true"/>
    <col min="17" max="19" width="0.0" style="19" hidden="true" customWidth="true"/>
    <col min="20" max="20" width="39.7109375" style="19" hidden="true" customWidth="true"/>
    <col min="21" max="24" width="0.0" style="19" hidden="true" customWidth="true"/>
    <col min="25" max="25" width="12" style="19" hidden="true" customWidth="true"/>
    <col min="26" max="16384" width="10.85546875" style="19"/>
  </cols>
  <sheetData>
    <row r="2">
      <c r="H2" s="21" t="s">
        <v>0</v>
      </c>
      <c r="I2" s="19" t="str">
        <f ca="true">B17</f>
        <v>Percentage of disposable income</v>
      </c>
      <c r="K2" s="19" t="str">
        <f>B18</f>
        <v>Percentage of disposable income</v>
      </c>
      <c r="M2" s="19" t="str">
        <f ca="true">+B17</f>
        <v>Percentage of disposable income</v>
      </c>
      <c r="P2" s="21" t="s">
        <v>64</v>
      </c>
      <c r="R2" s="21"/>
      <c r="T2" s="21"/>
    </row>
    <row r="3">
      <c r="A3" s="19" t="s">
        <v>14</v>
      </c>
      <c r="H3" s="22"/>
      <c r="I3" s="23" t="s">
        <v>30</v>
      </c>
      <c r="K3" s="23" t="s">
        <v>31</v>
      </c>
      <c r="M3" s="23" t="s">
        <v>62</v>
      </c>
      <c r="N3" s="47" t="s">
        <v>63</v>
      </c>
      <c r="O3" s="24"/>
      <c r="P3" s="128" t="s">
        <v>135</v>
      </c>
      <c r="R3" s="129" t="s">
        <v>136</v>
      </c>
      <c r="T3" s="129" t="s">
        <v>137</v>
      </c>
      <c r="U3" s="129" t="s">
        <v>138</v>
      </c>
    </row>
    <row r="4">
      <c r="A4" s="19" t="s">
        <v>16</v>
      </c>
      <c r="B4" s="19" t="str" cm="1">
        <f t="array" aca="true" ref="B4" ca="true">INDIRECT(A4)</f>
        <v>Bottom decile</v>
      </c>
      <c r="H4" s="22" t="str">
        <f t="shared" ref="H4:H7" ca="true" si="0">+B4</f>
        <v>Bottom decile</v>
      </c>
      <c r="I4" s="19">
        <f>100*INDEX(stats!$D:$D,MATCH(Fuels_RI_Con!P4,stats!$A:$A,0))</f>
        <v>-0.84814102193789387</v>
      </c>
      <c r="J4" s="130"/>
      <c r="K4" s="19">
        <f>100*INDEX(stats!$D:$D,MATCH(Fuels_RI_Con!R4,stats!$A:$A,0))</f>
        <v>0.8283126301119822</v>
      </c>
      <c r="M4" s="19">
        <f>100*INDEX(stats!$D:$D,MATCH(Fuels_RI_Con!T4,stats!$A:$A,0))</f>
        <v>1.7338393473882521</v>
      </c>
      <c r="N4" s="19">
        <f>100*INDEX(stats!$D:$D,MATCH(Fuels_RI_Con!U4,stats!$A:$A,0))</f>
        <v>0.59462633040327462</v>
      </c>
      <c r="O4" s="24">
        <v>1</v>
      </c>
      <c r="P4" s="25" t="str">
        <f>+_xlfn.CONCAT(P$3,$P$2,"_yd_",$O4)</f>
        <v>vat_fuel_pc_cond_netcash__yd_1</v>
      </c>
      <c r="R4" s="25" t="str">
        <f>+_xlfn.CONCAT(R$3,$P$2,"_yd_",$O4)</f>
        <v>subsidy_fuel_pc_cond_netcash__yd_1</v>
      </c>
      <c r="T4" s="25" t="str">
        <f>+_xlfn.CONCAT(T$3,$P$2,"_yd_",$O4)</f>
        <v>subsidy_fuel_direct_pc_cond_netcash__yd_1</v>
      </c>
      <c r="U4" s="25" t="str">
        <f>+_xlfn.CONCAT(U$3,$P$2,"_yd_",$O4)</f>
        <v>subsidy_fuel_indirect_pc_cond_netcash__yd_1</v>
      </c>
    </row>
    <row r="5">
      <c r="A5" s="19" t="s">
        <v>17</v>
      </c>
      <c r="B5" s="19" cm="1">
        <f t="array" aca="true" ref="B5" ca="true">INDIRECT(A5)</f>
        <v>2</v>
      </c>
      <c r="H5" s="22">
        <f t="shared" ca="true" si="0"/>
        <v>2</v>
      </c>
      <c r="I5" s="19">
        <f>100*INDEX(stats!$D:$D,MATCH(Fuels_RI_Con!P5,stats!$A:$A,0))</f>
        <v>-0.73603957449241419</v>
      </c>
      <c r="J5" s="130"/>
      <c r="K5" s="19">
        <f>100*INDEX(stats!$D:$D,MATCH(Fuels_RI_Con!R5,stats!$A:$A,0))</f>
        <v>1.0146401437172039</v>
      </c>
      <c r="M5" s="19">
        <f>100*INDEX(stats!$D:$D,MATCH(Fuels_RI_Con!T5,stats!$A:$A,0))</f>
        <v>1.6804121239723511</v>
      </c>
      <c r="N5" s="19">
        <f>100*INDEX(stats!$D:$D,MATCH(Fuels_RI_Con!U5,stats!$A:$A,0))</f>
        <v>0.65565276287179708</v>
      </c>
      <c r="O5" s="24">
        <v>2</v>
      </c>
      <c r="P5" s="25" t="str">
        <f t="shared" ref="P5:U13" si="1">+_xlfn.CONCAT(P$3,$P$2,"_yd_",$O5)</f>
        <v>vat_fuel_pc_cond_netcash__yd_2</v>
      </c>
      <c r="R5" s="25" t="str">
        <f t="shared" si="1"/>
        <v>subsidy_fuel_pc_cond_netcash__yd_2</v>
      </c>
      <c r="T5" s="25" t="str">
        <f t="shared" si="1"/>
        <v>subsidy_fuel_direct_pc_cond_netcash__yd_2</v>
      </c>
      <c r="U5" s="25" t="str">
        <f t="shared" si="1"/>
        <v>subsidy_fuel_indirect_pc_cond_netcash__yd_2</v>
      </c>
    </row>
    <row r="6">
      <c r="A6" s="19" t="s">
        <v>18</v>
      </c>
      <c r="B6" s="19" cm="1">
        <f t="array" aca="true" ref="B6" ca="true">INDIRECT(A6)</f>
        <v>3</v>
      </c>
      <c r="H6" s="22">
        <f t="shared" ca="true" si="0"/>
        <v>3</v>
      </c>
      <c r="I6" s="19">
        <f>100*INDEX(stats!$D:$D,MATCH(Fuels_RI_Con!P6,stats!$A:$A,0))</f>
        <v>-0.41001308391695129</v>
      </c>
      <c r="J6" s="130"/>
      <c r="K6" s="19">
        <f>100*INDEX(stats!$D:$D,MATCH(Fuels_RI_Con!R6,stats!$A:$A,0))</f>
        <v>1.0120553165857931</v>
      </c>
      <c r="M6" s="19">
        <f>100*INDEX(stats!$D:$D,MATCH(Fuels_RI_Con!T6,stats!$A:$A,0))</f>
        <v>1.0876858875526301</v>
      </c>
      <c r="N6" s="19">
        <f>100*INDEX(stats!$D:$D,MATCH(Fuels_RI_Con!U6,stats!$A:$A,0))</f>
        <v>0.65725397556090448</v>
      </c>
      <c r="O6" s="24">
        <v>3</v>
      </c>
      <c r="P6" s="25" t="str">
        <f t="shared" si="1"/>
        <v>vat_fuel_pc_cond_netcash__yd_3</v>
      </c>
      <c r="R6" s="25" t="str">
        <f t="shared" si="1"/>
        <v>subsidy_fuel_pc_cond_netcash__yd_3</v>
      </c>
      <c r="T6" s="25" t="str">
        <f t="shared" si="1"/>
        <v>subsidy_fuel_direct_pc_cond_netcash__yd_3</v>
      </c>
      <c r="U6" s="25" t="str">
        <f t="shared" si="1"/>
        <v>subsidy_fuel_indirect_pc_cond_netcash__yd_3</v>
      </c>
    </row>
    <row r="7">
      <c r="A7" s="19" t="s">
        <v>19</v>
      </c>
      <c r="B7" s="19" cm="1">
        <f t="array" aca="true" ref="B7" ca="true">INDIRECT(A7)</f>
        <v>4</v>
      </c>
      <c r="H7" s="22">
        <f t="shared" ca="true" si="0"/>
        <v>4</v>
      </c>
      <c r="I7" s="19">
        <f>100*INDEX(stats!$D:$D,MATCH(Fuels_RI_Con!P7,stats!$A:$A,0))</f>
        <v>-0.4117491324230535</v>
      </c>
      <c r="J7" s="130"/>
      <c r="K7" s="19">
        <f>100*INDEX(stats!$D:$D,MATCH(Fuels_RI_Con!R7,stats!$A:$A,0))</f>
        <v>1.1080534018719022</v>
      </c>
      <c r="M7" s="19">
        <f>100*INDEX(stats!$D:$D,MATCH(Fuels_RI_Con!T7,stats!$A:$A,0))</f>
        <v>1.1398324490341889</v>
      </c>
      <c r="N7" s="19">
        <f>100*INDEX(stats!$D:$D,MATCH(Fuels_RI_Con!U7,stats!$A:$A,0))</f>
        <v>0.6991990858149506</v>
      </c>
      <c r="O7" s="24">
        <v>4</v>
      </c>
      <c r="P7" s="25" t="str">
        <f t="shared" si="1"/>
        <v>vat_fuel_pc_cond_netcash__yd_4</v>
      </c>
      <c r="R7" s="25" t="str">
        <f t="shared" si="1"/>
        <v>subsidy_fuel_pc_cond_netcash__yd_4</v>
      </c>
      <c r="T7" s="25" t="str">
        <f t="shared" si="1"/>
        <v>subsidy_fuel_direct_pc_cond_netcash__yd_4</v>
      </c>
      <c r="U7" s="25" t="str">
        <f t="shared" si="1"/>
        <v>subsidy_fuel_indirect_pc_cond_netcash__yd_4</v>
      </c>
    </row>
    <row r="8">
      <c r="A8" s="19" t="s">
        <v>20</v>
      </c>
      <c r="B8" s="19" cm="1">
        <f t="array" aca="true" ref="B8" ca="true">INDIRECT(A8)</f>
        <v>5</v>
      </c>
      <c r="H8" s="22">
        <f ca="true">+B8</f>
        <v>5</v>
      </c>
      <c r="I8" s="19">
        <f>100*INDEX(stats!$D:$D,MATCH(Fuels_RI_Con!P8,stats!$A:$A,0))</f>
        <v>-0.36246949831652869</v>
      </c>
      <c r="J8" s="130"/>
      <c r="K8" s="19">
        <f>100*INDEX(stats!$D:$D,MATCH(Fuels_RI_Con!R8,stats!$A:$A,0))</f>
        <v>1.2215931984548791</v>
      </c>
      <c r="M8" s="19">
        <f>100*INDEX(stats!$D:$D,MATCH(Fuels_RI_Con!T8,stats!$A:$A,0))</f>
        <v>1.026632938577787</v>
      </c>
      <c r="N8" s="19">
        <f>100*INDEX(stats!$D:$D,MATCH(Fuels_RI_Con!U8,stats!$A:$A,0))</f>
        <v>0.71159786634323585</v>
      </c>
      <c r="O8" s="24">
        <v>5</v>
      </c>
      <c r="P8" s="25" t="str">
        <f t="shared" si="1"/>
        <v>vat_fuel_pc_cond_netcash__yd_5</v>
      </c>
      <c r="R8" s="25" t="str">
        <f t="shared" si="1"/>
        <v>subsidy_fuel_pc_cond_netcash__yd_5</v>
      </c>
      <c r="T8" s="25" t="str">
        <f t="shared" si="1"/>
        <v>subsidy_fuel_direct_pc_cond_netcash__yd_5</v>
      </c>
      <c r="U8" s="25" t="str">
        <f t="shared" si="1"/>
        <v>subsidy_fuel_indirect_pc_cond_netcash__yd_5</v>
      </c>
    </row>
    <row r="9">
      <c r="A9" s="19" t="s">
        <v>21</v>
      </c>
      <c r="B9" s="19" cm="1">
        <f t="array" aca="true" ref="B9" ca="true">INDIRECT(A9)</f>
        <v>6</v>
      </c>
      <c r="H9" s="22">
        <f t="shared" ref="H9:H13" ca="true" si="2">+B9</f>
        <v>6</v>
      </c>
      <c r="I9" s="19">
        <f>100*INDEX(stats!$D:$D,MATCH(Fuels_RI_Con!P9,stats!$A:$A,0))</f>
        <v>-0.33664836530166631</v>
      </c>
      <c r="J9" s="130"/>
      <c r="K9" s="19">
        <f>100*INDEX(stats!$D:$D,MATCH(Fuels_RI_Con!R9,stats!$A:$A,0))</f>
        <v>1.3180667152347629</v>
      </c>
      <c r="M9" s="19">
        <f>100*INDEX(stats!$D:$D,MATCH(Fuels_RI_Con!T9,stats!$A:$A,0))</f>
        <v>0.97378428669140893</v>
      </c>
      <c r="N9" s="19">
        <f>100*INDEX(stats!$D:$D,MATCH(Fuels_RI_Con!U9,stats!$A:$A,0))</f>
        <v>0.7108345469528573</v>
      </c>
      <c r="O9" s="24">
        <v>6</v>
      </c>
      <c r="P9" s="25" t="str">
        <f t="shared" si="1"/>
        <v>vat_fuel_pc_cond_netcash__yd_6</v>
      </c>
      <c r="R9" s="25" t="str">
        <f t="shared" si="1"/>
        <v>subsidy_fuel_pc_cond_netcash__yd_6</v>
      </c>
      <c r="T9" s="25" t="str">
        <f t="shared" si="1"/>
        <v>subsidy_fuel_direct_pc_cond_netcash__yd_6</v>
      </c>
      <c r="U9" s="25" t="str">
        <f t="shared" si="1"/>
        <v>subsidy_fuel_indirect_pc_cond_netcash__yd_6</v>
      </c>
    </row>
    <row r="10">
      <c r="A10" s="19" t="s">
        <v>22</v>
      </c>
      <c r="B10" s="19" cm="1">
        <f t="array" aca="true" ref="B10" ca="true">INDIRECT(A10)</f>
        <v>7</v>
      </c>
      <c r="H10" s="22">
        <f t="shared" ca="true" si="2"/>
        <v>7</v>
      </c>
      <c r="I10" s="19">
        <f>100*INDEX(stats!$D:$D,MATCH(Fuels_RI_Con!P10,stats!$A:$A,0))</f>
        <v>-0.3328190548229869</v>
      </c>
      <c r="J10" s="130"/>
      <c r="K10" s="19">
        <f>100*INDEX(stats!$D:$D,MATCH(Fuels_RI_Con!R10,stats!$A:$A,0))</f>
        <v>1.4072481358391369</v>
      </c>
      <c r="M10" s="19">
        <f>100*INDEX(stats!$D:$D,MATCH(Fuels_RI_Con!T10,stats!$A:$A,0))</f>
        <v>1.0246662281301591</v>
      </c>
      <c r="N10" s="19">
        <f>100*INDEX(stats!$D:$D,MATCH(Fuels_RI_Con!U10,stats!$A:$A,0))</f>
        <v>0.72575110744107185</v>
      </c>
      <c r="O10" s="24">
        <v>7</v>
      </c>
      <c r="P10" s="25" t="str">
        <f t="shared" si="1"/>
        <v>vat_fuel_pc_cond_netcash__yd_7</v>
      </c>
      <c r="R10" s="25" t="str">
        <f t="shared" si="1"/>
        <v>subsidy_fuel_pc_cond_netcash__yd_7</v>
      </c>
      <c r="T10" s="25" t="str">
        <f t="shared" si="1"/>
        <v>subsidy_fuel_direct_pc_cond_netcash__yd_7</v>
      </c>
      <c r="U10" s="25" t="str">
        <f t="shared" si="1"/>
        <v>subsidy_fuel_indirect_pc_cond_netcash__yd_7</v>
      </c>
    </row>
    <row r="11">
      <c r="A11" s="19" t="s">
        <v>23</v>
      </c>
      <c r="B11" s="19" cm="1">
        <f t="array" aca="true" ref="B11" ca="true">INDIRECT(A11)</f>
        <v>8</v>
      </c>
      <c r="H11" s="22">
        <f t="shared" ca="true" si="2"/>
        <v>8</v>
      </c>
      <c r="I11" s="19">
        <f>100*INDEX(stats!$D:$D,MATCH(Fuels_RI_Con!P11,stats!$A:$A,0))</f>
        <v>-0.36910309037220168</v>
      </c>
      <c r="J11" s="130"/>
      <c r="K11" s="19">
        <f>100*INDEX(stats!$D:$D,MATCH(Fuels_RI_Con!R11,stats!$A:$A,0))</f>
        <v>1.5969645798955692</v>
      </c>
      <c r="M11" s="19">
        <f>100*INDEX(stats!$D:$D,MATCH(Fuels_RI_Con!T11,stats!$A:$A,0))</f>
        <v>1.089871133568673</v>
      </c>
      <c r="N11" s="19">
        <f>100*INDEX(stats!$D:$D,MATCH(Fuels_RI_Con!U11,stats!$A:$A,0))</f>
        <v>0.73230792022985136</v>
      </c>
      <c r="O11" s="24">
        <v>8</v>
      </c>
      <c r="P11" s="25" t="str">
        <f t="shared" si="1"/>
        <v>vat_fuel_pc_cond_netcash__yd_8</v>
      </c>
      <c r="R11" s="25" t="str">
        <f t="shared" si="1"/>
        <v>subsidy_fuel_pc_cond_netcash__yd_8</v>
      </c>
      <c r="T11" s="25" t="str">
        <f t="shared" si="1"/>
        <v>subsidy_fuel_direct_pc_cond_netcash__yd_8</v>
      </c>
      <c r="U11" s="25" t="str">
        <f t="shared" si="1"/>
        <v>subsidy_fuel_indirect_pc_cond_netcash__yd_8</v>
      </c>
    </row>
    <row r="12">
      <c r="A12" s="19" t="s">
        <v>24</v>
      </c>
      <c r="B12" s="19" cm="1">
        <f t="array" aca="true" ref="B12" ca="true">INDIRECT(A12)</f>
        <v>9</v>
      </c>
      <c r="H12" s="22">
        <f t="shared" ca="true" si="2"/>
        <v>9</v>
      </c>
      <c r="I12" s="19">
        <f>100*INDEX(stats!$D:$D,MATCH(Fuels_RI_Con!P12,stats!$A:$A,0))</f>
        <v>-0.34441525359171488</v>
      </c>
      <c r="J12" s="130"/>
      <c r="K12" s="19">
        <f>100*INDEX(stats!$D:$D,MATCH(Fuels_RI_Con!R12,stats!$A:$A,0))</f>
        <v>1.6429904836781299</v>
      </c>
      <c r="M12" s="19">
        <f>100*INDEX(stats!$D:$D,MATCH(Fuels_RI_Con!T12,stats!$A:$A,0))</f>
        <v>1.0252740807099929</v>
      </c>
      <c r="N12" s="19">
        <f>100*INDEX(stats!$D:$D,MATCH(Fuels_RI_Con!U12,stats!$A:$A,0))</f>
        <v>0.7262471489892639</v>
      </c>
      <c r="O12" s="24">
        <v>9</v>
      </c>
      <c r="P12" s="25" t="str">
        <f t="shared" si="1"/>
        <v>vat_fuel_pc_cond_netcash__yd_9</v>
      </c>
      <c r="R12" s="25" t="str">
        <f t="shared" si="1"/>
        <v>subsidy_fuel_pc_cond_netcash__yd_9</v>
      </c>
      <c r="T12" s="25" t="str">
        <f t="shared" si="1"/>
        <v>subsidy_fuel_direct_pc_cond_netcash__yd_9</v>
      </c>
      <c r="U12" s="25" t="str">
        <f t="shared" si="1"/>
        <v>subsidy_fuel_indirect_pc_cond_netcash__yd_9</v>
      </c>
    </row>
    <row r="13">
      <c r="A13" s="19" t="s">
        <v>25</v>
      </c>
      <c r="B13" s="19" t="str" cm="1">
        <f t="array" aca="true" ref="B13" ca="true">INDIRECT(A13)</f>
        <v>Top decile</v>
      </c>
      <c r="H13" s="22" t="str">
        <f t="shared" ca="true" si="2"/>
        <v>Top decile</v>
      </c>
      <c r="I13" s="19">
        <f>100*INDEX(stats!$D:$D,MATCH(Fuels_RI_Con!P13,stats!$A:$A,0))</f>
        <v>-0.41083815132633439</v>
      </c>
      <c r="J13" s="130"/>
      <c r="K13" s="19">
        <f>100*INDEX(stats!$D:$D,MATCH(Fuels_RI_Con!R13,stats!$A:$A,0))</f>
        <v>1.7635973780965259</v>
      </c>
      <c r="M13" s="19">
        <f>100*INDEX(stats!$D:$D,MATCH(Fuels_RI_Con!T13,stats!$A:$A,0))</f>
        <v>1.098142791117245</v>
      </c>
      <c r="N13" s="19">
        <f>100*INDEX(stats!$D:$D,MATCH(Fuels_RI_Con!U13,stats!$A:$A,0))</f>
        <v>0.75852702364757663</v>
      </c>
      <c r="O13" s="24">
        <v>10</v>
      </c>
      <c r="P13" s="25" t="str">
        <f t="shared" si="1"/>
        <v>vat_fuel_pc_cond_netcash__yd_10</v>
      </c>
      <c r="R13" s="25" t="str">
        <f t="shared" si="1"/>
        <v>subsidy_fuel_pc_cond_netcash__yd_10</v>
      </c>
      <c r="T13" s="25" t="str">
        <f t="shared" si="1"/>
        <v>subsidy_fuel_direct_pc_cond_netcash__yd_10</v>
      </c>
      <c r="U13" s="25" t="str">
        <f t="shared" si="1"/>
        <v>subsidy_fuel_indirect_pc_cond_netcash__yd_10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3A0DE-7363-8C4C-9F02-44593A90924C}">
  <dimension ref="A1:Z25"/>
  <sheetViews>
    <sheetView topLeftCell="F1" zoomScale="130" zoomScaleNormal="130" workbookViewId="0">
      <selection activeCell="L3" sqref="L3"/>
    </sheetView>
  </sheetViews>
  <sheetFormatPr defaultColWidth="10.85546875" defaultRowHeight="15"/>
  <cols>
    <col min="1" max="1" width="8.140625" style="19" hidden="true" customWidth="true"/>
    <col min="2" max="2" width="28.140625" style="19" hidden="true" customWidth="true"/>
    <col min="3" max="3" width="0.0" style="19" hidden="true" customWidth="true"/>
    <col min="4" max="4" width="13.140625" style="19" hidden="true" customWidth="true"/>
    <col min="5" max="5" width="0.0" style="19" hidden="true" customWidth="true"/>
    <col min="6" max="8" width="10.85546875" style="19"/>
    <col min="9" max="9" width="16.140625" style="19" customWidth="true"/>
    <col min="10" max="10" width="15.140625" style="19" hidden="true" customWidth="true"/>
    <col min="11" max="11" width="15" style="19" customWidth="true"/>
    <col min="12" max="12" width="4.28515625" style="19" customWidth="true"/>
    <col min="13" max="13" width="12" style="19" bestFit="true" customWidth="true"/>
    <col min="14" max="14" width="12.85546875" style="19" bestFit="true" customWidth="true"/>
    <col min="15" max="15" width="19" style="19" bestFit="true" customWidth="true"/>
    <col min="16" max="16" width="20.140625" style="19" bestFit="true" customWidth="true"/>
    <col min="17" max="17" width="27.42578125" style="19" customWidth="true"/>
    <col min="18" max="18" width="10.85546875" style="19" customWidth="true"/>
    <col min="19" max="19" width="11.140625" style="19" customWidth="true"/>
    <col min="20" max="20" width="10.85546875" style="19" customWidth="true"/>
    <col min="21" max="21" width="15.140625" style="19" customWidth="true"/>
    <col min="22" max="22" width="14.7109375" style="19" customWidth="true"/>
    <col min="23" max="24" width="10.85546875" style="19" customWidth="true"/>
    <col min="25" max="25" width="10.85546875" style="19"/>
    <col min="26" max="26" width="12.7109375" style="231" bestFit="true" customWidth="true"/>
    <col min="27" max="16384" width="10.85546875" style="19"/>
  </cols>
  <sheetData>
    <row r="1">
      <c r="I1" s="19" t="str">
        <f ca="true">B16</f>
        <v>Percentage of total tax</v>
      </c>
      <c r="K1" s="19" t="str">
        <f ca="true">B17</f>
        <v>Percentage of total subsidy</v>
      </c>
      <c r="M1" s="19" t="str">
        <f ca="true">B17</f>
        <v>Percentage of total subsidy</v>
      </c>
    </row>
    <row r="2">
      <c r="A2" s="19" t="s">
        <v>14</v>
      </c>
      <c r="H2" s="22" t="str">
        <f ca="true">+B13</f>
        <v>Deciles of per capita disposable income</v>
      </c>
      <c r="I2" s="23" t="s">
        <v>30</v>
      </c>
      <c r="J2" s="123"/>
      <c r="K2" s="23" t="s">
        <v>31</v>
      </c>
      <c r="M2" s="23" t="s">
        <v>278</v>
      </c>
      <c r="N2" s="23" t="s">
        <v>277</v>
      </c>
      <c r="O2" s="23"/>
      <c r="Q2" s="23"/>
      <c r="R2" s="24"/>
      <c r="S2" s="209" t="s">
        <v>260</v>
      </c>
      <c r="T2" s="124" t="s">
        <v>261</v>
      </c>
      <c r="U2" s="124" t="s">
        <v>262</v>
      </c>
      <c r="V2" s="124" t="s">
        <v>263</v>
      </c>
      <c r="X2" s="124"/>
      <c r="Z2" s="231" t="s">
        <v>76</v>
      </c>
    </row>
    <row r="3">
      <c r="A3" s="19" t="s">
        <v>16</v>
      </c>
      <c r="B3" s="19" t="str" cm="1">
        <f t="array" aca="true" ref="B3" ca="true">INDIRECT(A3)</f>
        <v>Bottom decile</v>
      </c>
      <c r="H3" s="22" t="str">
        <f t="shared" ref="H3:H5" ca="true" si="0">+B3</f>
        <v>Bottom decile</v>
      </c>
      <c r="I3" s="19">
        <f>100*J3/J$13</f>
        <v>1.1204501820548709</v>
      </c>
      <c r="J3" s="21">
        <f>INDEX(stats!$D:$D,MATCH(Fuels_AI!S3,stats!$A:$A,0))</f>
        <v>331033484.82126713</v>
      </c>
      <c r="K3" s="19">
        <f>100*L3/L$13</f>
        <v>1.5664477689381191</v>
      </c>
      <c r="L3" s="125">
        <f>INDEX(stats!$D:$D,MATCH(Fuels_AI!T3,stats!$A:$A,0))</f>
        <v>2462688429.3660331</v>
      </c>
      <c r="M3" s="19">
        <f>100*O3/(O$13)</f>
        <v>0.82952946326494226</v>
      </c>
      <c r="N3" s="19">
        <f t="shared" ref="N3:N11" si="1">100*P3/(P$13)</f>
        <v>2.3571490260037726</v>
      </c>
      <c r="O3" s="125">
        <f>INDEX(stats!$D:$D,MATCH(Fuels_AI!U3,stats!$A:$A,0))</f>
        <v>675029241.93672061</v>
      </c>
      <c r="P3" s="125">
        <f>INDEX(stats!$D:$D,MATCH(Fuels_AI!V3,stats!$A:$A,0))</f>
        <v>1787659171.651144</v>
      </c>
      <c r="R3" s="24">
        <v>1</v>
      </c>
      <c r="S3" s="25" t="str">
        <f>+_xlfn.CONCAT(S$2,$R3)</f>
        <v>vat_fuel_pc_benefits__yd_1</v>
      </c>
      <c r="T3" s="25" t="str">
        <f>+_xlfn.CONCAT(T$2,$R3)</f>
        <v>subsidy_fuel_pc_benefits__yd_1</v>
      </c>
      <c r="U3" s="25" t="str">
        <f>+_xlfn.CONCAT(U$2,$R3)</f>
        <v>subsidy_fuel_direct_pc_benefits__yd_1</v>
      </c>
      <c r="V3" s="25" t="str">
        <f>+_xlfn.CONCAT(V$2,$R3)</f>
        <v>subsidy_fuel_indirect_pc_benefits__yd_1</v>
      </c>
      <c r="X3" s="25"/>
      <c r="Z3" s="232">
        <f>+(P3+O3)/L3</f>
        <v>0.99999999359311231</v>
      </c>
    </row>
    <row r="4">
      <c r="A4" s="19" t="s">
        <v>17</v>
      </c>
      <c r="B4" s="19" cm="1">
        <f t="array" aca="true" ref="B4" ca="true">INDIRECT(A4)</f>
        <v>2</v>
      </c>
      <c r="H4" s="22">
        <f t="shared" ca="true" si="0"/>
        <v>2</v>
      </c>
      <c r="I4" s="19">
        <f t="shared" ref="I4:I12" si="2">100*J4/J$13</f>
        <v>2.302053364376456</v>
      </c>
      <c r="J4" s="21">
        <f>INDEX(stats!$D:$D,MATCH(Fuels_AI!S4,stats!$A:$A,0))</f>
        <v>680134431.37335396</v>
      </c>
      <c r="K4" s="19">
        <f t="shared" ref="K4:K12" si="3">100*L4/L$13</f>
        <v>2.7938349242820153</v>
      </c>
      <c r="L4" s="125">
        <f>INDEX(stats!$D:$D,MATCH(Fuels_AI!T4,stats!$A:$A,0))</f>
        <v>4392323241.1714373</v>
      </c>
      <c r="M4" s="19">
        <f t="shared" ref="M4:M11" si="4">100*O4/(O$13)</f>
        <v>1.913655040372827</v>
      </c>
      <c r="N4" s="19">
        <f>100*P4/(P$13)</f>
        <v>3.7382535048627021</v>
      </c>
      <c r="O4" s="125">
        <f>INDEX(stats!$D:$D,MATCH(Fuels_AI!U4,stats!$A:$A,0))</f>
        <v>1557235961.3930631</v>
      </c>
      <c r="P4" s="125">
        <f>INDEX(stats!$D:$D,MATCH(Fuels_AI!V4,stats!$A:$A,0))</f>
        <v>2835087255.9188581</v>
      </c>
      <c r="R4" s="24">
        <v>2</v>
      </c>
      <c r="S4" s="25" t="str">
        <f t="shared" ref="S4:V13" si="5">+_xlfn.CONCAT(S$2,$R4)</f>
        <v>vat_fuel_pc_benefits__yd_2</v>
      </c>
      <c r="T4" s="25" t="str">
        <f t="shared" si="5"/>
        <v>subsidy_fuel_pc_benefits__yd_2</v>
      </c>
      <c r="U4" s="25" t="str">
        <f t="shared" si="5"/>
        <v>subsidy_fuel_direct_pc_benefits__yd_2</v>
      </c>
      <c r="V4" s="25" t="str">
        <f t="shared" si="5"/>
        <v>subsidy_fuel_indirect_pc_benefits__yd_2</v>
      </c>
      <c r="X4" s="25"/>
      <c r="Z4" s="232">
        <f t="shared" ref="Z4:Z13" si="6">+(P4+O4)/L4</f>
        <v>0.99999999456790523</v>
      </c>
    </row>
    <row r="5">
      <c r="A5" s="19" t="s">
        <v>18</v>
      </c>
      <c r="B5" s="19" cm="1">
        <f t="array" aca="true" ref="B5" ca="true">INDIRECT(A5)</f>
        <v>3</v>
      </c>
      <c r="H5" s="22">
        <f t="shared" ca="true" si="0"/>
        <v>3</v>
      </c>
      <c r="I5" s="19">
        <f t="shared" si="2"/>
        <v>2.366535124770496</v>
      </c>
      <c r="J5" s="21">
        <f>INDEX(stats!$D:$D,MATCH(Fuels_AI!S5,stats!$A:$A,0))</f>
        <v>699185364.8218199</v>
      </c>
      <c r="K5" s="19">
        <f t="shared" si="3"/>
        <v>3.3681041294023277</v>
      </c>
      <c r="L5" s="125">
        <f>INDEX(stats!$D:$D,MATCH(Fuels_AI!T5,stats!$A:$A,0))</f>
        <v>5295159680.9396954</v>
      </c>
      <c r="M5" s="19">
        <f t="shared" si="4"/>
        <v>2.279840742260995</v>
      </c>
      <c r="N5" s="19">
        <f t="shared" si="1"/>
        <v>4.5357928861173393</v>
      </c>
      <c r="O5" s="125">
        <f>INDEX(stats!$D:$D,MATCH(Fuels_AI!U5,stats!$A:$A,0))</f>
        <v>1855219417.9188111</v>
      </c>
      <c r="P5" s="125">
        <f>INDEX(stats!$D:$D,MATCH(Fuels_AI!V5,stats!$A:$A,0))</f>
        <v>3439940226.1487298</v>
      </c>
      <c r="R5" s="24">
        <v>3</v>
      </c>
      <c r="S5" s="25" t="str">
        <f t="shared" si="5"/>
        <v>vat_fuel_pc_benefits__yd_3</v>
      </c>
      <c r="T5" s="25" t="str">
        <f t="shared" si="5"/>
        <v>subsidy_fuel_pc_benefits__yd_3</v>
      </c>
      <c r="U5" s="25" t="str">
        <f t="shared" si="5"/>
        <v>subsidy_fuel_direct_pc_benefits__yd_3</v>
      </c>
      <c r="V5" s="25" t="str">
        <f t="shared" si="5"/>
        <v>subsidy_fuel_indirect_pc_benefits__yd_3</v>
      </c>
      <c r="X5" s="25"/>
      <c r="Z5" s="232">
        <f t="shared" si="6"/>
        <v>0.99999999303663034</v>
      </c>
    </row>
    <row r="6">
      <c r="A6" s="19" t="s">
        <v>19</v>
      </c>
      <c r="B6" s="19" cm="1">
        <f t="array" aca="true" ref="B6" ca="true">INDIRECT(A6)</f>
        <v>4</v>
      </c>
      <c r="H6" s="22">
        <f ca="true">+B6</f>
        <v>4</v>
      </c>
      <c r="I6" s="19">
        <f t="shared" si="2"/>
        <v>3.1302103439312416</v>
      </c>
      <c r="J6" s="21">
        <f>INDEX(stats!$D:$D,MATCH(Fuels_AI!S6,stats!$A:$A,0))</f>
        <v>924810808.16531181</v>
      </c>
      <c r="K6" s="19">
        <f t="shared" si="3"/>
        <v>4.4069519190201722</v>
      </c>
      <c r="L6" s="125">
        <f>INDEX(stats!$D:$D,MATCH(Fuels_AI!T6,stats!$A:$A,0))</f>
        <v>6928382621.4649534</v>
      </c>
      <c r="M6" s="19">
        <f t="shared" si="4"/>
        <v>3.1436281567612947</v>
      </c>
      <c r="N6" s="19">
        <f t="shared" si="1"/>
        <v>5.7624776603399104</v>
      </c>
      <c r="O6" s="125">
        <f>INDEX(stats!$D:$D,MATCH(Fuels_AI!U6,stats!$A:$A,0))</f>
        <v>2558126052.8557639</v>
      </c>
      <c r="P6" s="125">
        <f>INDEX(stats!$D:$D,MATCH(Fuels_AI!V6,stats!$A:$A,0))</f>
        <v>4370256580.0033464</v>
      </c>
      <c r="R6" s="24">
        <v>4</v>
      </c>
      <c r="S6" s="25" t="str">
        <f t="shared" si="5"/>
        <v>vat_fuel_pc_benefits__yd_4</v>
      </c>
      <c r="T6" s="25" t="str">
        <f t="shared" si="5"/>
        <v>subsidy_fuel_pc_benefits__yd_4</v>
      </c>
      <c r="U6" s="25" t="str">
        <f t="shared" si="5"/>
        <v>subsidy_fuel_direct_pc_benefits__yd_4</v>
      </c>
      <c r="V6" s="25" t="str">
        <f t="shared" si="5"/>
        <v>subsidy_fuel_indirect_pc_benefits__yd_4</v>
      </c>
      <c r="X6" s="25"/>
      <c r="Z6" s="232">
        <f t="shared" si="6"/>
        <v>1.0000000016445623</v>
      </c>
    </row>
    <row r="7">
      <c r="A7" s="19" t="s">
        <v>20</v>
      </c>
      <c r="B7" s="19" cm="1">
        <f t="array" aca="true" ref="B7" ca="true">INDIRECT(A7)</f>
        <v>5</v>
      </c>
      <c r="H7" s="22">
        <f t="shared" ref="H7:H12" ca="true" si="7">+B7</f>
        <v>5</v>
      </c>
      <c r="I7" s="19">
        <f t="shared" si="2"/>
        <v>4.4433249944727802</v>
      </c>
      <c r="J7" s="21">
        <f>INDEX(stats!$D:$D,MATCH(Fuels_AI!S7,stats!$A:$A,0))</f>
        <v>1312766404.6751249</v>
      </c>
      <c r="K7" s="19">
        <f t="shared" si="3"/>
        <v>5.6722597296347912</v>
      </c>
      <c r="L7" s="125">
        <f>INDEX(stats!$D:$D,MATCH(Fuels_AI!T7,stats!$A:$A,0))</f>
        <v>8917634332.6148491</v>
      </c>
      <c r="M7" s="19">
        <f t="shared" si="4"/>
        <v>4.5730905581772987</v>
      </c>
      <c r="N7" s="19">
        <f t="shared" si="1"/>
        <v>6.8516502206158627</v>
      </c>
      <c r="O7" s="125">
        <f>INDEX(stats!$D:$D,MATCH(Fuels_AI!U7,stats!$A:$A,0))</f>
        <v>3721350463.724823</v>
      </c>
      <c r="P7" s="125">
        <f>INDEX(stats!$D:$D,MATCH(Fuels_AI!V7,stats!$A:$A,0))</f>
        <v>5196283825.3782635</v>
      </c>
      <c r="R7" s="24">
        <v>5</v>
      </c>
      <c r="S7" s="25" t="str">
        <f t="shared" si="5"/>
        <v>vat_fuel_pc_benefits__yd_5</v>
      </c>
      <c r="T7" s="25" t="str">
        <f t="shared" si="5"/>
        <v>subsidy_fuel_pc_benefits__yd_5</v>
      </c>
      <c r="U7" s="25" t="str">
        <f t="shared" si="5"/>
        <v>subsidy_fuel_direct_pc_benefits__yd_5</v>
      </c>
      <c r="V7" s="25" t="str">
        <f t="shared" si="5"/>
        <v>subsidy_fuel_indirect_pc_benefits__yd_5</v>
      </c>
      <c r="X7" s="25"/>
      <c r="Z7" s="232">
        <f t="shared" si="6"/>
        <v>0.9999999951207057</v>
      </c>
    </row>
    <row r="8">
      <c r="A8" s="19" t="s">
        <v>21</v>
      </c>
      <c r="B8" s="19" cm="1">
        <f t="array" aca="true" ref="B8" ca="true">INDIRECT(A8)</f>
        <v>6</v>
      </c>
      <c r="H8" s="22">
        <f t="shared" ca="true" si="7"/>
        <v>6</v>
      </c>
      <c r="I8" s="19">
        <f t="shared" si="2"/>
        <v>6.0974335743840475</v>
      </c>
      <c r="J8" s="21">
        <f>INDEX(stats!$D:$D,MATCH(Fuels_AI!S8,stats!$A:$A,0))</f>
        <v>1801467585.9061961</v>
      </c>
      <c r="K8" s="19">
        <f t="shared" si="3"/>
        <v>7.1950206531062344</v>
      </c>
      <c r="L8" s="125">
        <f>INDEX(stats!$D:$D,MATCH(Fuels_AI!T8,stats!$A:$A,0))</f>
        <v>11311640555.666901</v>
      </c>
      <c r="M8" s="19">
        <f t="shared" si="4"/>
        <v>6.4140788379241735</v>
      </c>
      <c r="N8" s="19">
        <f t="shared" si="1"/>
        <v>8.0329585025182748</v>
      </c>
      <c r="O8" s="125">
        <f>INDEX(stats!$D:$D,MATCH(Fuels_AI!U8,stats!$A:$A,0))</f>
        <v>5219453880.0889616</v>
      </c>
      <c r="P8" s="125">
        <f>INDEX(stats!$D:$D,MATCH(Fuels_AI!V8,stats!$A:$A,0))</f>
        <v>6092186698.4649658</v>
      </c>
      <c r="R8" s="24">
        <v>6</v>
      </c>
      <c r="S8" s="25" t="str">
        <f t="shared" si="5"/>
        <v>vat_fuel_pc_benefits__yd_6</v>
      </c>
      <c r="T8" s="25" t="str">
        <f t="shared" si="5"/>
        <v>subsidy_fuel_pc_benefits__yd_6</v>
      </c>
      <c r="U8" s="25" t="str">
        <f t="shared" si="5"/>
        <v>subsidy_fuel_direct_pc_benefits__yd_6</v>
      </c>
      <c r="V8" s="25" t="str">
        <f t="shared" si="5"/>
        <v>subsidy_fuel_indirect_pc_benefits__yd_6</v>
      </c>
      <c r="X8" s="25"/>
      <c r="Z8" s="232">
        <f t="shared" si="6"/>
        <v>1.0000000020233164</v>
      </c>
    </row>
    <row r="9">
      <c r="A9" s="19" t="s">
        <v>22</v>
      </c>
      <c r="B9" s="19" cm="1">
        <f t="array" aca="true" ref="B9" ca="true">INDIRECT(A9)</f>
        <v>7</v>
      </c>
      <c r="H9" s="22">
        <f t="shared" ca="true" si="7"/>
        <v>7</v>
      </c>
      <c r="I9" s="19">
        <f t="shared" si="2"/>
        <v>7.6891585129965998</v>
      </c>
      <c r="J9" s="21">
        <f>INDEX(stats!$D:$D,MATCH(Fuels_AI!S9,stats!$A:$A,0))</f>
        <v>2271737716.3813291</v>
      </c>
      <c r="K9" s="19">
        <f t="shared" si="3"/>
        <v>9.2196725760618978</v>
      </c>
      <c r="L9" s="125">
        <f>INDEX(stats!$D:$D,MATCH(Fuels_AI!T9,stats!$A:$A,0))</f>
        <v>14494693934.80167</v>
      </c>
      <c r="M9" s="19">
        <f t="shared" si="4"/>
        <v>8.6170748159730657</v>
      </c>
      <c r="N9" s="19">
        <f t="shared" si="1"/>
        <v>9.8662501576414723</v>
      </c>
      <c r="O9" s="125">
        <f>INDEX(stats!$D:$D,MATCH(Fuels_AI!U9,stats!$A:$A,0))</f>
        <v>7012140904.3677235</v>
      </c>
      <c r="P9" s="125">
        <f>INDEX(stats!$D:$D,MATCH(Fuels_AI!V9,stats!$A:$A,0))</f>
        <v>7482553028.9081078</v>
      </c>
      <c r="R9" s="24">
        <v>7</v>
      </c>
      <c r="S9" s="25" t="str">
        <f t="shared" si="5"/>
        <v>vat_fuel_pc_benefits__yd_7</v>
      </c>
      <c r="T9" s="25" t="str">
        <f t="shared" si="5"/>
        <v>subsidy_fuel_pc_benefits__yd_7</v>
      </c>
      <c r="U9" s="25" t="str">
        <f t="shared" si="5"/>
        <v>subsidy_fuel_direct_pc_benefits__yd_7</v>
      </c>
      <c r="V9" s="25" t="str">
        <f t="shared" si="5"/>
        <v>subsidy_fuel_indirect_pc_benefits__yd_7</v>
      </c>
      <c r="X9" s="25"/>
      <c r="Z9" s="232">
        <f t="shared" si="6"/>
        <v>0.99999999989473121</v>
      </c>
    </row>
    <row r="10">
      <c r="A10" s="19" t="s">
        <v>23</v>
      </c>
      <c r="B10" s="19" cm="1">
        <f t="array" aca="true" ref="B10" ca="true">INDIRECT(A10)</f>
        <v>8</v>
      </c>
      <c r="H10" s="22">
        <f t="shared" ca="true" si="7"/>
        <v>8</v>
      </c>
      <c r="I10" s="19">
        <f t="shared" si="2"/>
        <v>12.299616569594914</v>
      </c>
      <c r="J10" s="21">
        <f>INDEX(stats!$D:$D,MATCH(Fuels_AI!S10,stats!$A:$A,0))</f>
        <v>3633883058.9783502</v>
      </c>
      <c r="K10" s="19">
        <f t="shared" si="3"/>
        <v>12.676872858899294</v>
      </c>
      <c r="L10" s="125">
        <f>INDEX(stats!$D:$D,MATCH(Fuels_AI!T10,stats!$A:$A,0))</f>
        <v>19929925995.118752</v>
      </c>
      <c r="M10" s="19">
        <f t="shared" si="4"/>
        <v>13.233095439424675</v>
      </c>
      <c r="N10" s="19">
        <f t="shared" si="1"/>
        <v>12.080055239441876</v>
      </c>
      <c r="O10" s="125">
        <f>INDEX(stats!$D:$D,MATCH(Fuels_AI!U10,stats!$A:$A,0))</f>
        <v>10768425690.141041</v>
      </c>
      <c r="P10" s="125">
        <f>INDEX(stats!$D:$D,MATCH(Fuels_AI!V10,stats!$A:$A,0))</f>
        <v>9161500314.4082775</v>
      </c>
      <c r="R10" s="24">
        <v>8</v>
      </c>
      <c r="S10" s="25" t="str">
        <f t="shared" si="5"/>
        <v>vat_fuel_pc_benefits__yd_8</v>
      </c>
      <c r="T10" s="25" t="str">
        <f t="shared" si="5"/>
        <v>subsidy_fuel_pc_benefits__yd_8</v>
      </c>
      <c r="U10" s="25" t="str">
        <f t="shared" si="5"/>
        <v>subsidy_fuel_direct_pc_benefits__yd_8</v>
      </c>
      <c r="V10" s="25" t="str">
        <f t="shared" si="5"/>
        <v>subsidy_fuel_indirect_pc_benefits__yd_8</v>
      </c>
      <c r="X10" s="25"/>
      <c r="Z10" s="232">
        <f t="shared" si="6"/>
        <v>1.0000000004731862</v>
      </c>
    </row>
    <row r="11">
      <c r="A11" s="19" t="s">
        <v>24</v>
      </c>
      <c r="B11" s="19" cm="1">
        <f t="array" aca="true" ref="B11" ca="true">INDIRECT(A11)</f>
        <v>9</v>
      </c>
      <c r="H11" s="22">
        <f t="shared" ca="true" si="7"/>
        <v>9</v>
      </c>
      <c r="I11" s="19">
        <f t="shared" si="2"/>
        <v>16.886224295422405</v>
      </c>
      <c r="J11" s="21">
        <f>INDEX(stats!$D:$D,MATCH(Fuels_AI!S11,stats!$A:$A,0))</f>
        <v>4988981896.3084211</v>
      </c>
      <c r="K11" s="19">
        <f t="shared" si="3"/>
        <v>16.950388260435734</v>
      </c>
      <c r="L11" s="125">
        <f>INDEX(stats!$D:$D,MATCH(Fuels_AI!T11,stats!$A:$A,0))</f>
        <v>26648526602.66769</v>
      </c>
      <c r="M11" s="19">
        <f t="shared" si="4"/>
        <v>18.273103139404913</v>
      </c>
      <c r="N11" s="19">
        <f t="shared" si="1"/>
        <v>15.53113704402813</v>
      </c>
      <c r="O11" s="125">
        <f>INDEX(stats!$D:$D,MATCH(Fuels_AI!U11,stats!$A:$A,0))</f>
        <v>14869729776.05304</v>
      </c>
      <c r="P11" s="125">
        <f>INDEX(stats!$D:$D,MATCH(Fuels_AI!V11,stats!$A:$A,0))</f>
        <v>11778796875.647051</v>
      </c>
      <c r="R11" s="24">
        <v>9</v>
      </c>
      <c r="S11" s="25" t="str">
        <f t="shared" si="5"/>
        <v>vat_fuel_pc_benefits__yd_9</v>
      </c>
      <c r="T11" s="25" t="str">
        <f t="shared" si="5"/>
        <v>subsidy_fuel_pc_benefits__yd_9</v>
      </c>
      <c r="U11" s="25" t="str">
        <f t="shared" si="5"/>
        <v>subsidy_fuel_direct_pc_benefits__yd_9</v>
      </c>
      <c r="V11" s="25" t="str">
        <f t="shared" si="5"/>
        <v>subsidy_fuel_indirect_pc_benefits__yd_9</v>
      </c>
      <c r="X11" s="25"/>
      <c r="Z11" s="232">
        <f t="shared" si="6"/>
        <v>1.0000000018399666</v>
      </c>
    </row>
    <row r="12">
      <c r="A12" s="19" t="s">
        <v>25</v>
      </c>
      <c r="B12" s="19" t="str" cm="1">
        <f t="array" aca="true" ref="B12" ca="true">INDIRECT(A12)</f>
        <v>Top decile</v>
      </c>
      <c r="H12" s="22" t="str">
        <f t="shared" ca="true" si="7"/>
        <v>Top decile</v>
      </c>
      <c r="I12" s="19">
        <f t="shared" si="2"/>
        <v>43.664993037996176</v>
      </c>
      <c r="J12" s="21">
        <f>INDEX(stats!$D:$D,MATCH(Fuels_AI!S12,stats!$A:$A,0))</f>
        <v>12900684958.214741</v>
      </c>
      <c r="K12" s="19">
        <f t="shared" si="3"/>
        <v>36.15044718021943</v>
      </c>
      <c r="L12" s="125">
        <f>INDEX(stats!$D:$D,MATCH(Fuels_AI!T12,stats!$A:$A,0))</f>
        <v>56833869441.740227</v>
      </c>
      <c r="M12" s="19">
        <f>100*O12/(O$13)</f>
        <v>40.722903806435809</v>
      </c>
      <c r="N12" s="19">
        <f>100*P12/(P$13)</f>
        <v>31.244275758430664</v>
      </c>
      <c r="O12" s="125">
        <f>INDEX(stats!$D:$D,MATCH(Fuels_AI!U12,stats!$A:$A,0))</f>
        <v>33138245358.671051</v>
      </c>
      <c r="P12" s="125">
        <f>INDEX(stats!$D:$D,MATCH(Fuels_AI!V12,stats!$A:$A,0))</f>
        <v>23695623613.518059</v>
      </c>
      <c r="R12" s="24">
        <v>10</v>
      </c>
      <c r="S12" s="25" t="str">
        <f t="shared" si="5"/>
        <v>vat_fuel_pc_benefits__yd_10</v>
      </c>
      <c r="T12" s="25" t="str">
        <f t="shared" si="5"/>
        <v>subsidy_fuel_pc_benefits__yd_10</v>
      </c>
      <c r="U12" s="25" t="str">
        <f t="shared" si="5"/>
        <v>subsidy_fuel_direct_pc_benefits__yd_10</v>
      </c>
      <c r="V12" s="25" t="str">
        <f t="shared" si="5"/>
        <v>subsidy_fuel_indirect_pc_benefits__yd_10</v>
      </c>
      <c r="X12" s="25"/>
      <c r="Z12" s="232">
        <f t="shared" si="6"/>
        <v>0.99999999173818144</v>
      </c>
    </row>
    <row r="13">
      <c r="A13" s="19" t="s">
        <v>36</v>
      </c>
      <c r="B13" s="19" t="str" cm="1">
        <f t="array" aca="true" ref="B13" ca="true">INDIRECT(A13)</f>
        <v>Deciles of per capita disposable income</v>
      </c>
      <c r="J13" s="21">
        <f>INDEX(stats!$D:$D,MATCH(Fuels_AI!S13,stats!$A:$A,0))</f>
        <v>29544685709.64592</v>
      </c>
      <c r="L13" s="125">
        <f>INDEX(stats!$D:$D,MATCH(Fuels_AI!T13,stats!$A:$A,0))</f>
        <v>157214844835.55219</v>
      </c>
      <c r="O13" s="362">
        <f>INDEX(stats!$D:$D,MATCH(Fuels_AI!U13,stats!$A:$A,0))</f>
        <v>81374956747.151001</v>
      </c>
      <c r="P13" s="362">
        <f>INDEX(stats!$D:$D,MATCH(Fuels_AI!V13,stats!$A:$A,0))</f>
        <v>75839887590.046799</v>
      </c>
      <c r="R13" s="19">
        <v>0</v>
      </c>
      <c r="S13" s="25" t="str">
        <f t="shared" si="5"/>
        <v>vat_fuel_pc_benefits__yd_0</v>
      </c>
      <c r="T13" s="25" t="str">
        <f t="shared" si="5"/>
        <v>subsidy_fuel_pc_benefits__yd_0</v>
      </c>
      <c r="U13" s="25" t="str">
        <f t="shared" si="5"/>
        <v>subsidy_fuel_direct_pc_benefits__yd_0</v>
      </c>
      <c r="V13" s="25" t="str">
        <f t="shared" si="5"/>
        <v>subsidy_fuel_indirect_pc_benefits__yd_0</v>
      </c>
      <c r="X13" s="25"/>
      <c r="Z13" s="232">
        <f t="shared" si="6"/>
        <v>0.9999999968301061</v>
      </c>
    </row>
    <row r="14">
      <c r="D14" s="22"/>
      <c r="E14" s="26"/>
      <c r="S14" s="127"/>
    </row>
    <row r="15">
      <c r="A15" s="19" t="s">
        <v>6</v>
      </c>
    </row>
    <row r="16">
      <c r="A16" s="19" t="s">
        <v>39</v>
      </c>
      <c r="B16" s="19" t="str" cm="1">
        <f t="array" aca="true" ref="B16" ca="true">INDIRECT(A16)</f>
        <v>Percentage of total tax</v>
      </c>
    </row>
    <row r="17">
      <c r="A17" s="19" t="s">
        <v>42</v>
      </c>
      <c r="B17" s="19" t="str" cm="1">
        <f t="array" aca="true" ref="B17" ca="true">INDIRECT(A17)</f>
        <v>Percentage of total subsidy</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BCFE-3909-AF44-BEF6-AD06650DCCED}">
  <dimension ref="A2:T26"/>
  <sheetViews>
    <sheetView topLeftCell="F1" zoomScale="85" zoomScaleNormal="85" workbookViewId="0">
      <selection activeCell="Q17" sqref="Q17"/>
    </sheetView>
  </sheetViews>
  <sheetFormatPr defaultColWidth="10.85546875" defaultRowHeight="15"/>
  <cols>
    <col min="1" max="1" width="10.85546875" style="19" hidden="true" customWidth="true"/>
    <col min="2" max="2" width="18.7109375" style="19" hidden="true" customWidth="true"/>
    <col min="3" max="3" width="0.0" style="19" hidden="true" customWidth="true"/>
    <col min="4" max="4" width="11.85546875" style="19" hidden="true" customWidth="true"/>
    <col min="5" max="5" width="8.42578125" style="19" hidden="true" customWidth="true"/>
    <col min="6" max="8" width="10.85546875" style="19"/>
    <col min="9" max="9" width="15.140625" style="19" customWidth="true"/>
    <col min="10" max="10" width="16.140625" style="19" customWidth="true"/>
    <col min="11" max="11" width="10.85546875" style="19"/>
    <col min="12" max="12" width="14.140625" style="19" customWidth="true"/>
    <col min="13" max="13" width="18.7109375" style="19" customWidth="true"/>
    <col min="14" max="14" width="10.85546875" style="19" customWidth="true"/>
    <col min="15" max="15" width="13" style="19" customWidth="true"/>
    <col min="16" max="18" width="10.85546875" style="19" customWidth="true"/>
    <col min="19" max="19" width="39.7109375" style="19" customWidth="true"/>
    <col min="20" max="23" width="10.85546875" style="19" customWidth="true"/>
    <col min="24" max="24" width="12" style="19" customWidth="true"/>
    <col min="25" max="16384" width="10.85546875" style="19"/>
  </cols>
  <sheetData>
    <row r="2" ht="63.75" customHeight="true">
      <c r="H2" s="21" t="s">
        <v>0</v>
      </c>
      <c r="I2" s="119" t="str">
        <f ca="true">B17</f>
        <v>Percentage of disposable income</v>
      </c>
      <c r="J2" s="119" t="str">
        <f>B18</f>
        <v>Percentage of disposable income</v>
      </c>
      <c r="K2" s="120"/>
      <c r="L2" s="119" t="str">
        <f ca="true">+B17</f>
        <v>Percentage of disposable income</v>
      </c>
      <c r="N2" s="231"/>
      <c r="O2" s="231" t="s">
        <v>69</v>
      </c>
      <c r="P2" s="345" t="s">
        <v>300</v>
      </c>
      <c r="Q2" s="231"/>
      <c r="R2" s="231"/>
      <c r="S2" s="231"/>
    </row>
    <row r="3">
      <c r="A3" s="19" t="s">
        <v>14</v>
      </c>
      <c r="H3" s="22"/>
      <c r="I3" s="23" t="s">
        <v>1118</v>
      </c>
      <c r="J3" s="23" t="s">
        <v>1119</v>
      </c>
      <c r="L3" s="23" t="s">
        <v>1115</v>
      </c>
      <c r="M3" s="47"/>
      <c r="N3" s="346"/>
      <c r="O3" s="346" t="s">
        <v>297</v>
      </c>
      <c r="P3" s="231"/>
      <c r="Q3" s="346" t="s">
        <v>298</v>
      </c>
      <c r="R3" s="231"/>
      <c r="S3" s="346" t="s">
        <v>299</v>
      </c>
      <c r="T3" s="343"/>
    </row>
    <row r="4">
      <c r="A4" s="19" t="s">
        <v>16</v>
      </c>
      <c r="B4" s="19" t="str" cm="1">
        <f t="array" aca="true" ref="B4" ca="true">INDIRECT(A4)</f>
        <v>Bottom decile</v>
      </c>
      <c r="H4" s="22" t="str">
        <f t="shared" ref="H4:H7" ca="true" si="0">+B4</f>
        <v>Bottom decile</v>
      </c>
      <c r="I4" s="19">
        <f>100*INDEX(stats!$D:$D,MATCH(Total_RI!O4,stats!$A:$A,0))</f>
        <v>0.11546119560293441</v>
      </c>
      <c r="J4" s="19">
        <f>100*INDEX(stats!$D:$D,MATCH(Total_RI!Q4,stats!$A:$A,0))</f>
        <v>1.309198437003432</v>
      </c>
      <c r="L4" s="19">
        <f>100*INDEX(stats!$D:$D,MATCH(Total_RI!S4,stats!$A:$A,0))</f>
        <v>1.1937372473651051</v>
      </c>
      <c r="N4" s="346">
        <v>1</v>
      </c>
      <c r="O4" s="347" t="str">
        <f>+_xlfn.CONCAT(O$3,$O$2,"_yd_",$N4)</f>
        <v>all_tax_pc_netcash__yd_1</v>
      </c>
      <c r="P4" s="231"/>
      <c r="Q4" s="347" t="str">
        <f>+_xlfn.CONCAT(Q$3,$O$2,"_yd_",$N4)</f>
        <v>all_subs_pc_netcash__yd_1</v>
      </c>
      <c r="R4" s="231"/>
      <c r="S4" s="347" t="str">
        <f>+_xlfn.CONCAT(S$3,$O$2,"_yd_",$N4)</f>
        <v>all_policies_pc_netcash__yd_1</v>
      </c>
      <c r="T4" s="25"/>
    </row>
    <row r="5">
      <c r="A5" s="19" t="s">
        <v>17</v>
      </c>
      <c r="B5" s="19" cm="1">
        <f t="array" aca="true" ref="B5" ca="true">INDIRECT(A5)</f>
        <v>2</v>
      </c>
      <c r="H5" s="22">
        <f t="shared" ca="true" si="0"/>
        <v>2</v>
      </c>
      <c r="I5" s="19">
        <f>100*INDEX(stats!$D:$D,MATCH(Total_RI!O5,stats!$A:$A,0))</f>
        <v>0.16580056131036741</v>
      </c>
      <c r="J5" s="19">
        <f>100*INDEX(stats!$D:$D,MATCH(Total_RI!Q5,stats!$A:$A,0))</f>
        <v>1.6403779104078329</v>
      </c>
      <c r="L5" s="19">
        <f>100*INDEX(stats!$D:$D,MATCH(Total_RI!S5,stats!$A:$A,0))</f>
        <v>1.474577349227983</v>
      </c>
      <c r="N5" s="346">
        <v>2</v>
      </c>
      <c r="O5" s="347" t="str">
        <f t="shared" ref="O5:Q13" si="1">+_xlfn.CONCAT(O$3,$O$2,"_yd_",$N5)</f>
        <v>all_tax_pc_netcash__yd_2</v>
      </c>
      <c r="P5" s="231"/>
      <c r="Q5" s="347" t="str">
        <f t="shared" si="1"/>
        <v>all_subs_pc_netcash__yd_2</v>
      </c>
      <c r="R5" s="231"/>
      <c r="S5" s="347" t="str">
        <f t="shared" ref="S5:S13" si="2">+_xlfn.CONCAT(S$3,$O$2,"_yd_",$N5)</f>
        <v>all_policies_pc_netcash__yd_2</v>
      </c>
      <c r="T5" s="25"/>
    </row>
    <row r="6">
      <c r="A6" s="19" t="s">
        <v>18</v>
      </c>
      <c r="B6" s="19" cm="1">
        <f t="array" aca="true" ref="B6" ca="true">INDIRECT(A6)</f>
        <v>3</v>
      </c>
      <c r="H6" s="22">
        <f t="shared" ca="true" si="0"/>
        <v>3</v>
      </c>
      <c r="I6" s="19">
        <f>100*INDEX(stats!$D:$D,MATCH(Total_RI!O6,stats!$A:$A,0))</f>
        <v>0.14487658146622509</v>
      </c>
      <c r="J6" s="19">
        <f>100*INDEX(stats!$D:$D,MATCH(Total_RI!Q6,stats!$A:$A,0))</f>
        <v>1.7641960122983251</v>
      </c>
      <c r="L6" s="19">
        <f>100*INDEX(stats!$D:$D,MATCH(Total_RI!S6,stats!$A:$A,0))</f>
        <v>1.6193194340678909</v>
      </c>
      <c r="N6" s="346">
        <v>3</v>
      </c>
      <c r="O6" s="347" t="str">
        <f t="shared" si="1"/>
        <v>all_tax_pc_netcash__yd_3</v>
      </c>
      <c r="P6" s="231"/>
      <c r="Q6" s="347" t="str">
        <f t="shared" si="1"/>
        <v>all_subs_pc_netcash__yd_3</v>
      </c>
      <c r="R6" s="231"/>
      <c r="S6" s="347" t="str">
        <f t="shared" si="2"/>
        <v>all_policies_pc_netcash__yd_3</v>
      </c>
      <c r="T6" s="25"/>
    </row>
    <row r="7">
      <c r="A7" s="19" t="s">
        <v>19</v>
      </c>
      <c r="B7" s="19" cm="1">
        <f t="array" aca="true" ref="B7" ca="true">INDIRECT(A7)</f>
        <v>4</v>
      </c>
      <c r="H7" s="22">
        <f t="shared" ca="true" si="0"/>
        <v>4</v>
      </c>
      <c r="I7" s="19">
        <f>100*INDEX(stats!$D:$D,MATCH(Total_RI!O7,stats!$A:$A,0))</f>
        <v>0.15340599089933921</v>
      </c>
      <c r="J7" s="19">
        <f>100*INDEX(stats!$D:$D,MATCH(Total_RI!Q7,stats!$A:$A,0))</f>
        <v>2.0112689783938489</v>
      </c>
      <c r="L7" s="19">
        <f>100*INDEX(stats!$D:$D,MATCH(Total_RI!S7,stats!$A:$A,0))</f>
        <v>1.8578629773333539</v>
      </c>
      <c r="N7" s="346">
        <v>4</v>
      </c>
      <c r="O7" s="347" t="str">
        <f t="shared" si="1"/>
        <v>all_tax_pc_netcash__yd_4</v>
      </c>
      <c r="P7" s="231"/>
      <c r="Q7" s="347" t="str">
        <f t="shared" si="1"/>
        <v>all_subs_pc_netcash__yd_4</v>
      </c>
      <c r="R7" s="231"/>
      <c r="S7" s="347" t="str">
        <f t="shared" si="2"/>
        <v>all_policies_pc_netcash__yd_4</v>
      </c>
      <c r="T7" s="25"/>
    </row>
    <row r="8">
      <c r="A8" s="19" t="s">
        <v>20</v>
      </c>
      <c r="B8" s="19" cm="1">
        <f t="array" aca="true" ref="B8" ca="true">INDIRECT(A8)</f>
        <v>5</v>
      </c>
      <c r="H8" s="22">
        <f ca="true">+B8</f>
        <v>5</v>
      </c>
      <c r="I8" s="19">
        <f>100*INDEX(stats!$D:$D,MATCH(Total_RI!O8,stats!$A:$A,0))</f>
        <v>0.18430597180473479</v>
      </c>
      <c r="J8" s="19">
        <f>100*INDEX(stats!$D:$D,MATCH(Total_RI!Q8,stats!$A:$A,0))</f>
        <v>2.1653014181591561</v>
      </c>
      <c r="L8" s="19">
        <f>100*INDEX(stats!$D:$D,MATCH(Total_RI!S8,stats!$A:$A,0))</f>
        <v>1.9809954338280891</v>
      </c>
      <c r="N8" s="346">
        <v>5</v>
      </c>
      <c r="O8" s="347" t="str">
        <f t="shared" si="1"/>
        <v>all_tax_pc_netcash__yd_5</v>
      </c>
      <c r="P8" s="231"/>
      <c r="Q8" s="347" t="str">
        <f t="shared" si="1"/>
        <v>all_subs_pc_netcash__yd_5</v>
      </c>
      <c r="R8" s="231"/>
      <c r="S8" s="347" t="str">
        <f t="shared" si="2"/>
        <v>all_policies_pc_netcash__yd_5</v>
      </c>
      <c r="T8" s="25"/>
    </row>
    <row r="9">
      <c r="A9" s="19" t="s">
        <v>21</v>
      </c>
      <c r="B9" s="19" cm="1">
        <f t="array" aca="true" ref="B9" ca="true">INDIRECT(A9)</f>
        <v>6</v>
      </c>
      <c r="H9" s="22">
        <f t="shared" ref="H9:H13" ca="true" si="3">+B9</f>
        <v>6</v>
      </c>
      <c r="I9" s="19">
        <f>100*INDEX(stats!$D:$D,MATCH(Total_RI!O9,stats!$A:$A,0))</f>
        <v>0.22769186653664739</v>
      </c>
      <c r="J9" s="19">
        <f>100*INDEX(stats!$D:$D,MATCH(Total_RI!Q9,stats!$A:$A,0))</f>
        <v>2.4670362501130971</v>
      </c>
      <c r="L9" s="19">
        <f>100*INDEX(stats!$D:$D,MATCH(Total_RI!S9,stats!$A:$A,0))</f>
        <v>2.239344379552318</v>
      </c>
      <c r="N9" s="346">
        <v>6</v>
      </c>
      <c r="O9" s="347" t="str">
        <f t="shared" si="1"/>
        <v>all_tax_pc_netcash__yd_6</v>
      </c>
      <c r="P9" s="231"/>
      <c r="Q9" s="347" t="str">
        <f t="shared" si="1"/>
        <v>all_subs_pc_netcash__yd_6</v>
      </c>
      <c r="R9" s="231"/>
      <c r="S9" s="347" t="str">
        <f t="shared" si="2"/>
        <v>all_policies_pc_netcash__yd_6</v>
      </c>
      <c r="T9" s="25"/>
    </row>
    <row r="10">
      <c r="A10" s="19" t="s">
        <v>22</v>
      </c>
      <c r="B10" s="19" cm="1">
        <f t="array" aca="true" ref="B10" ca="true">INDIRECT(A10)</f>
        <v>7</v>
      </c>
      <c r="H10" s="22">
        <f t="shared" ca="true" si="3"/>
        <v>7</v>
      </c>
      <c r="I10" s="19">
        <f>100*INDEX(stats!$D:$D,MATCH(Total_RI!O10,stats!$A:$A,0))</f>
        <v>0.24186022872094431</v>
      </c>
      <c r="J10" s="19">
        <f>100*INDEX(stats!$D:$D,MATCH(Total_RI!Q10,stats!$A:$A,0))</f>
        <v>2.7147099362614462</v>
      </c>
      <c r="L10" s="19">
        <f>100*INDEX(stats!$D:$D,MATCH(Total_RI!S10,stats!$A:$A,0))</f>
        <v>2.4728497086932339</v>
      </c>
      <c r="N10" s="346">
        <v>7</v>
      </c>
      <c r="O10" s="347" t="str">
        <f t="shared" si="1"/>
        <v>all_tax_pc_netcash__yd_7</v>
      </c>
      <c r="P10" s="231"/>
      <c r="Q10" s="347" t="str">
        <f t="shared" si="1"/>
        <v>all_subs_pc_netcash__yd_7</v>
      </c>
      <c r="R10" s="231"/>
      <c r="S10" s="347" t="str">
        <f t="shared" si="2"/>
        <v>all_policies_pc_netcash__yd_7</v>
      </c>
      <c r="T10" s="25"/>
    </row>
    <row r="11">
      <c r="A11" s="19" t="s">
        <v>23</v>
      </c>
      <c r="B11" s="19" cm="1">
        <f t="array" aca="true" ref="B11" ca="true">INDIRECT(A11)</f>
        <v>8</v>
      </c>
      <c r="H11" s="22">
        <f t="shared" ca="true" si="3"/>
        <v>8</v>
      </c>
      <c r="I11" s="19">
        <f>100*INDEX(stats!$D:$D,MATCH(Total_RI!O11,stats!$A:$A,0))</f>
        <v>0.3177735064760045</v>
      </c>
      <c r="J11" s="19">
        <f>100*INDEX(stats!$D:$D,MATCH(Total_RI!Q11,stats!$A:$A,0))</f>
        <v>2.9967582648781002</v>
      </c>
      <c r="L11" s="19">
        <f>100*INDEX(stats!$D:$D,MATCH(Total_RI!S11,stats!$A:$A,0))</f>
        <v>2.6789847807168412</v>
      </c>
      <c r="N11" s="346">
        <v>8</v>
      </c>
      <c r="O11" s="347" t="str">
        <f t="shared" si="1"/>
        <v>all_tax_pc_netcash__yd_8</v>
      </c>
      <c r="P11" s="231"/>
      <c r="Q11" s="347" t="str">
        <f t="shared" si="1"/>
        <v>all_subs_pc_netcash__yd_8</v>
      </c>
      <c r="R11" s="231"/>
      <c r="S11" s="347" t="str">
        <f t="shared" si="2"/>
        <v>all_policies_pc_netcash__yd_8</v>
      </c>
      <c r="T11" s="25"/>
    </row>
    <row r="12">
      <c r="A12" s="19" t="s">
        <v>24</v>
      </c>
      <c r="B12" s="19" cm="1">
        <f t="array" aca="true" ref="B12" ca="true">INDIRECT(A12)</f>
        <v>9</v>
      </c>
      <c r="H12" s="22">
        <f t="shared" ca="true" si="3"/>
        <v>9</v>
      </c>
      <c r="I12" s="19">
        <f>100*INDEX(stats!$D:$D,MATCH(Total_RI!O12,stats!$A:$A,0))</f>
        <v>0.33799696612554009</v>
      </c>
      <c r="J12" s="19">
        <f>100*INDEX(stats!$D:$D,MATCH(Total_RI!Q12,stats!$A:$A,0))</f>
        <v>3.134825091956873</v>
      </c>
      <c r="L12" s="19">
        <f>100*INDEX(stats!$D:$D,MATCH(Total_RI!S12,stats!$A:$A,0))</f>
        <v>2.7968281327296549</v>
      </c>
      <c r="N12" s="346">
        <v>9</v>
      </c>
      <c r="O12" s="347" t="str">
        <f t="shared" si="1"/>
        <v>all_tax_pc_netcash__yd_9</v>
      </c>
      <c r="P12" s="231"/>
      <c r="Q12" s="347" t="str">
        <f t="shared" si="1"/>
        <v>all_subs_pc_netcash__yd_9</v>
      </c>
      <c r="R12" s="231"/>
      <c r="S12" s="347" t="str">
        <f t="shared" si="2"/>
        <v>all_policies_pc_netcash__yd_9</v>
      </c>
      <c r="T12" s="25"/>
    </row>
    <row r="13">
      <c r="A13" s="19" t="s">
        <v>25</v>
      </c>
      <c r="B13" s="19" t="str" cm="1">
        <f t="array" aca="true" ref="B13" ca="true">INDIRECT(A13)</f>
        <v>Top decile</v>
      </c>
      <c r="H13" s="22" t="str">
        <f t="shared" ca="true" si="3"/>
        <v>Top decile</v>
      </c>
      <c r="I13" s="19">
        <f>100*INDEX(stats!$D:$D,MATCH(Total_RI!O13,stats!$A:$A,0))</f>
        <v>0.4409280623471114</v>
      </c>
      <c r="J13" s="19">
        <f>100*INDEX(stats!$D:$D,MATCH(Total_RI!Q13,stats!$A:$A,0))</f>
        <v>3.2617564865171311</v>
      </c>
      <c r="L13" s="19">
        <f>100*INDEX(stats!$D:$D,MATCH(Total_RI!S13,stats!$A:$A,0))</f>
        <v>2.8208284299095063</v>
      </c>
      <c r="N13" s="346">
        <v>10</v>
      </c>
      <c r="O13" s="347" t="str">
        <f t="shared" si="1"/>
        <v>all_tax_pc_netcash__yd_10</v>
      </c>
      <c r="P13" s="231"/>
      <c r="Q13" s="347" t="str">
        <f t="shared" si="1"/>
        <v>all_subs_pc_netcash__yd_10</v>
      </c>
      <c r="R13" s="231"/>
      <c r="S13" s="347" t="str">
        <f t="shared" si="2"/>
        <v>all_policies_pc_netcash__yd_10</v>
      </c>
      <c r="T13" s="25"/>
    </row>
    <row r="14">
      <c r="A14" s="19" t="s">
        <v>36</v>
      </c>
      <c r="B14" s="19" t="str" cm="1">
        <f t="array" aca="true" ref="B14" ca="true">INDIRECT(A14)</f>
        <v>Deciles of per capita disposable income</v>
      </c>
      <c r="N14" s="231"/>
      <c r="O14" s="231"/>
      <c r="P14" s="231"/>
      <c r="Q14" s="231"/>
      <c r="R14" s="231"/>
      <c r="S14" s="231"/>
    </row>
    <row r="15">
      <c r="D15" s="22"/>
      <c r="E15" s="26"/>
      <c r="O15" s="343"/>
    </row>
    <row r="16">
      <c r="A16" s="19" t="s">
        <v>6</v>
      </c>
      <c r="O16" s="25"/>
    </row>
    <row r="17">
      <c r="A17" s="19" t="s">
        <v>38</v>
      </c>
      <c r="B17" s="19" t="str" cm="1">
        <f t="array" aca="true" ref="B17" ca="true">+INDIRECT(A17)</f>
        <v>Percentage of disposable income</v>
      </c>
      <c r="O17" s="25"/>
    </row>
    <row r="18">
      <c r="A18" s="19" t="s">
        <v>38</v>
      </c>
      <c r="B18" s="19" t="s">
        <v>7</v>
      </c>
      <c r="O18" s="25"/>
    </row>
    <row r="19">
      <c r="A19" s="19" t="s">
        <v>5</v>
      </c>
      <c r="O19" s="25"/>
    </row>
    <row r="20">
      <c r="A20" s="19" t="s">
        <v>27</v>
      </c>
      <c r="B20" s="19" t="str">
        <f>+labels!A3</f>
        <v>Tranche1</v>
      </c>
      <c r="O20" s="25"/>
    </row>
    <row r="21">
      <c r="A21" s="19" t="s">
        <v>28</v>
      </c>
      <c r="B21" s="19" t="str">
        <f>+labels!A4</f>
        <v>Tranche2</v>
      </c>
      <c r="O21" s="25"/>
    </row>
    <row r="22">
      <c r="A22" s="19" t="s">
        <v>29</v>
      </c>
      <c r="B22" s="19" t="str">
        <f>+labels!A5</f>
        <v>Tranche3</v>
      </c>
      <c r="O22" s="25"/>
    </row>
    <row r="23">
      <c r="O23" s="25"/>
    </row>
    <row r="24">
      <c r="A24" s="23" t="s">
        <v>2</v>
      </c>
      <c r="B24" s="19" t="s">
        <v>11</v>
      </c>
      <c r="O24" s="25"/>
    </row>
    <row r="25">
      <c r="A25" s="27" t="s">
        <v>1</v>
      </c>
      <c r="B25" s="26" t="s">
        <v>12</v>
      </c>
      <c r="O25" s="25"/>
    </row>
    <row r="26">
      <c r="A26" s="23" t="s">
        <v>0</v>
      </c>
      <c r="B26" s="19" t="s">
        <v>13</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73A2D-62D4-FB44-AB02-29216CA71E9E}">
  <dimension ref="A1:Z26"/>
  <sheetViews>
    <sheetView topLeftCell="F1" zoomScale="75" zoomScaleNormal="55" workbookViewId="0">
      <selection activeCell="K6" sqref="K6"/>
    </sheetView>
  </sheetViews>
  <sheetFormatPr defaultColWidth="10.85546875" defaultRowHeight="15"/>
  <cols>
    <col min="1" max="1" width="8.140625" style="19" hidden="true" customWidth="true"/>
    <col min="2" max="2" width="28.140625" style="19" hidden="true" customWidth="true"/>
    <col min="3" max="3" width="0.0" style="19" hidden="true" customWidth="true"/>
    <col min="4" max="4" width="13.140625" style="19" hidden="true" customWidth="true"/>
    <col min="5" max="5" width="0.0" style="19" hidden="true" customWidth="true"/>
    <col min="6" max="8" width="10.85546875" style="19"/>
    <col min="9" max="9" width="16.140625" style="19" customWidth="true"/>
    <col min="10" max="10" width="15.140625" style="19" hidden="true" customWidth="true"/>
    <col min="11" max="11" width="15" style="19" customWidth="true"/>
    <col min="12" max="12" width="15.140625" style="19" hidden="true" customWidth="true"/>
    <col min="13" max="14" width="12" style="19" bestFit="true" customWidth="true"/>
    <col min="15" max="15" width="15.140625" style="19" hidden="true" customWidth="true"/>
    <col min="16" max="17" width="27.42578125" style="19" customWidth="true"/>
    <col min="18" max="18" width="10.85546875" style="19" customWidth="true"/>
    <col min="19" max="19" width="21.7109375" style="19" customWidth="true"/>
    <col min="20" max="20" width="10.85546875" style="19" customWidth="true"/>
    <col min="21" max="21" width="15.140625" style="19" customWidth="true"/>
    <col min="22" max="22" width="14.7109375" style="19" customWidth="true"/>
    <col min="23" max="24" width="10.85546875" style="19" customWidth="true"/>
    <col min="25" max="25" width="10.85546875" style="19"/>
    <col min="26" max="26" width="12.7109375" style="231" bestFit="true" customWidth="true"/>
    <col min="27" max="16384" width="10.85546875" style="19"/>
  </cols>
  <sheetData>
    <row r="1">
      <c r="I1" s="19" t="str">
        <f ca="true">B16</f>
        <v>Percentage of total tax</v>
      </c>
      <c r="K1" s="19" t="str">
        <f ca="true">B17</f>
        <v>Percentage of total subsidy</v>
      </c>
      <c r="M1" s="19" t="str">
        <f ca="true">B17</f>
        <v>Percentage of total subsidy</v>
      </c>
      <c r="S1"/>
    </row>
    <row r="2">
      <c r="A2" s="19" t="s">
        <v>14</v>
      </c>
      <c r="H2" s="22" t="str">
        <f ca="true">+B13</f>
        <v>Deciles of per capita disposable income</v>
      </c>
      <c r="I2" s="23" t="s">
        <v>1116</v>
      </c>
      <c r="K2" s="23" t="s">
        <v>1117</v>
      </c>
      <c r="M2" s="23" t="s">
        <v>1115</v>
      </c>
      <c r="N2" s="23"/>
      <c r="O2" s="23"/>
      <c r="Q2" s="23"/>
      <c r="R2" s="24"/>
      <c r="S2" s="124" t="s">
        <v>1113</v>
      </c>
      <c r="T2" s="124" t="s">
        <v>1114</v>
      </c>
      <c r="U2" s="124" t="s">
        <v>1114</v>
      </c>
      <c r="V2" s="344" t="s">
        <v>304</v>
      </c>
      <c r="X2" s="124"/>
      <c r="Z2" s="231" t="s">
        <v>76</v>
      </c>
    </row>
    <row r="3">
      <c r="A3" s="19" t="s">
        <v>16</v>
      </c>
      <c r="B3" s="19" t="str" cm="1">
        <f t="array" aca="true" ref="B3" ca="true">INDIRECT(A3)</f>
        <v>Bottom decile</v>
      </c>
      <c r="H3" s="22" t="str">
        <f t="shared" ref="H3:H5" ca="true" si="0">+B3</f>
        <v>Bottom decile</v>
      </c>
      <c r="I3" s="19">
        <f>100*J3/J$13</f>
        <v>0.98764750303763316</v>
      </c>
      <c r="J3" s="21">
        <f>INDEX(stats!$D:$D,MATCH(Total_AI!S3,stats!$A:$A,0))</f>
        <v>334632661.54773623</v>
      </c>
      <c r="K3" s="19">
        <f>100*L3/L$13</f>
        <v>1.336245540256829</v>
      </c>
      <c r="L3" s="125">
        <f>INDEX(stats!$D:$D,MATCH(Total_AI!T3,stats!$A:$A,0))</f>
        <v>3905728829.343935</v>
      </c>
      <c r="M3" s="19">
        <f>100*O3/(O$13+P$13)</f>
        <v>1.336245540256829</v>
      </c>
      <c r="O3" s="125">
        <f>INDEX(stats!$D:$D,MATCH(Total_AI!U3,stats!$A:$A,0))</f>
        <v>3905728829.343935</v>
      </c>
      <c r="P3" s="125"/>
      <c r="R3" s="24">
        <v>1</v>
      </c>
      <c r="S3" s="25" t="str">
        <f>+_xlfn.CONCAT(S$2,$R3)</f>
        <v>all_tax_pc_benefits__yd_1</v>
      </c>
      <c r="T3" s="25" t="str">
        <f>+_xlfn.CONCAT(T$2,$R3)</f>
        <v>all_subs_pc_benefits__yd_1</v>
      </c>
      <c r="U3" s="25" t="str">
        <f>+_xlfn.CONCAT(U$2,$R3)</f>
        <v>all_subs_pc_benefits__yd_1</v>
      </c>
      <c r="V3" s="25" t="str">
        <f>+_xlfn.CONCAT(V$2,$R3)</f>
        <v>all_policies_pc_benefits__yd_1</v>
      </c>
      <c r="X3" s="25"/>
      <c r="Z3" s="232">
        <f>+(P3+O3)/L3</f>
        <v>1</v>
      </c>
    </row>
    <row r="4">
      <c r="A4" s="19" t="s">
        <v>17</v>
      </c>
      <c r="B4" s="19" cm="1">
        <f t="array" aca="true" ref="B4" ca="true">INDIRECT(A4)</f>
        <v>2</v>
      </c>
      <c r="H4" s="22">
        <f t="shared" ca="true" si="0"/>
        <v>2</v>
      </c>
      <c r="I4" s="19">
        <f t="shared" ref="I4:I12" si="1">100*J4/J$13</f>
        <v>2.1190336767679212</v>
      </c>
      <c r="J4" s="21">
        <f>INDEX(stats!$D:$D,MATCH(Total_AI!S4,stats!$A:$A,0))</f>
        <v>717966558.90407848</v>
      </c>
      <c r="K4" s="19">
        <f t="shared" ref="K4:K12" si="2">100*L4/L$13</f>
        <v>2.4363121298500103</v>
      </c>
      <c r="L4" s="125">
        <f>INDEX(stats!$D:$D,MATCH(Total_AI!T4,stats!$A:$A,0))</f>
        <v>7121127245.0769768</v>
      </c>
      <c r="M4" s="19">
        <f t="shared" ref="M4:M12" si="3">100*O4/(O$13+P$13)</f>
        <v>2.4363121298500103</v>
      </c>
      <c r="O4" s="125">
        <f>INDEX(stats!$D:$D,MATCH(Total_AI!U4,stats!$A:$A,0))</f>
        <v>7121127245.0769768</v>
      </c>
      <c r="P4" s="125"/>
      <c r="R4" s="24">
        <v>2</v>
      </c>
      <c r="S4" s="25" t="str">
        <f t="shared" ref="S4:V13" si="4">+_xlfn.CONCAT(S$2,$R4)</f>
        <v>all_tax_pc_benefits__yd_2</v>
      </c>
      <c r="T4" s="25" t="str">
        <f t="shared" si="4"/>
        <v>all_subs_pc_benefits__yd_2</v>
      </c>
      <c r="U4" s="25" t="str">
        <f t="shared" si="4"/>
        <v>all_subs_pc_benefits__yd_2</v>
      </c>
      <c r="V4" s="25" t="str">
        <f t="shared" si="4"/>
        <v>all_policies_pc_benefits__yd_2</v>
      </c>
      <c r="X4" s="25"/>
      <c r="Z4" s="232">
        <f t="shared" ref="Z4:Z13" si="5">+(P4+O4)/L4</f>
        <v>1</v>
      </c>
    </row>
    <row r="5">
      <c r="A5" s="19" t="s">
        <v>18</v>
      </c>
      <c r="B5" s="19" cm="1">
        <f t="array" aca="true" ref="B5" ca="true">INDIRECT(A5)</f>
        <v>3</v>
      </c>
      <c r="H5" s="22">
        <f t="shared" ca="true" si="0"/>
        <v>3</v>
      </c>
      <c r="I5" s="19">
        <f t="shared" si="1"/>
        <v>2.2304376555625054</v>
      </c>
      <c r="J5" s="21">
        <f>INDEX(stats!$D:$D,MATCH(Total_AI!S5,stats!$A:$A,0))</f>
        <v>755712222.02415097</v>
      </c>
      <c r="K5" s="19">
        <f t="shared" si="2"/>
        <v>3.1572762690285527</v>
      </c>
      <c r="L5" s="125">
        <f>INDEX(stats!$D:$D,MATCH(Total_AI!T5,stats!$A:$A,0))</f>
        <v>9228442359.3123035</v>
      </c>
      <c r="M5" s="19">
        <f t="shared" si="3"/>
        <v>3.1572762690285527</v>
      </c>
      <c r="O5" s="125">
        <f>INDEX(stats!$D:$D,MATCH(Total_AI!U5,stats!$A:$A,0))</f>
        <v>9228442359.3123035</v>
      </c>
      <c r="P5" s="125"/>
      <c r="R5" s="24">
        <v>3</v>
      </c>
      <c r="S5" s="25" t="str">
        <f t="shared" si="4"/>
        <v>all_tax_pc_benefits__yd_3</v>
      </c>
      <c r="T5" s="25" t="str">
        <f t="shared" si="4"/>
        <v>all_subs_pc_benefits__yd_3</v>
      </c>
      <c r="U5" s="25" t="str">
        <f t="shared" si="4"/>
        <v>all_subs_pc_benefits__yd_3</v>
      </c>
      <c r="V5" s="25" t="str">
        <f t="shared" si="4"/>
        <v>all_policies_pc_benefits__yd_3</v>
      </c>
      <c r="X5" s="25"/>
      <c r="Z5" s="232">
        <f t="shared" si="5"/>
        <v>1</v>
      </c>
    </row>
    <row r="6">
      <c r="A6" s="19" t="s">
        <v>19</v>
      </c>
      <c r="B6" s="19" cm="1">
        <f t="array" aca="true" ref="B6" ca="true">INDIRECT(A6)</f>
        <v>4</v>
      </c>
      <c r="H6" s="22">
        <f ca="true">+B6</f>
        <v>4</v>
      </c>
      <c r="I6" s="19">
        <f t="shared" si="1"/>
        <v>2.8344312933493669</v>
      </c>
      <c r="J6" s="21">
        <f>INDEX(stats!$D:$D,MATCH(Total_AI!S6,stats!$A:$A,0))</f>
        <v>960356083.26906264</v>
      </c>
      <c r="K6" s="19">
        <f t="shared" si="2"/>
        <v>4.3047080922905918</v>
      </c>
      <c r="L6" s="125">
        <f>INDEX(stats!$D:$D,MATCH(Total_AI!T6,stats!$A:$A,0))</f>
        <v>12582285209.900869</v>
      </c>
      <c r="M6" s="19">
        <f t="shared" si="3"/>
        <v>4.3047080922905918</v>
      </c>
      <c r="O6" s="125">
        <f>INDEX(stats!$D:$D,MATCH(Total_AI!U6,stats!$A:$A,0))</f>
        <v>12582285209.900869</v>
      </c>
      <c r="P6" s="125"/>
      <c r="R6" s="24">
        <v>4</v>
      </c>
      <c r="S6" s="25" t="str">
        <f t="shared" si="4"/>
        <v>all_tax_pc_benefits__yd_4</v>
      </c>
      <c r="T6" s="25" t="str">
        <f t="shared" si="4"/>
        <v>all_subs_pc_benefits__yd_4</v>
      </c>
      <c r="U6" s="25" t="str">
        <f t="shared" si="4"/>
        <v>all_subs_pc_benefits__yd_4</v>
      </c>
      <c r="V6" s="25" t="str">
        <f t="shared" si="4"/>
        <v>all_policies_pc_benefits__yd_4</v>
      </c>
      <c r="X6" s="25"/>
      <c r="Z6" s="232">
        <f t="shared" si="5"/>
        <v>1</v>
      </c>
    </row>
    <row r="7">
      <c r="A7" s="19" t="s">
        <v>20</v>
      </c>
      <c r="B7" s="19" cm="1">
        <f t="array" aca="true" ref="B7" ca="true">INDIRECT(A7)</f>
        <v>5</v>
      </c>
      <c r="H7" s="22">
        <f t="shared" ref="H7:H12" ca="true" si="6">+B7</f>
        <v>5</v>
      </c>
      <c r="I7" s="19">
        <f t="shared" si="1"/>
        <v>3.967143903891571</v>
      </c>
      <c r="J7" s="21">
        <f>INDEX(stats!$D:$D,MATCH(Total_AI!S7,stats!$A:$A,0))</f>
        <v>1344139401.1720891</v>
      </c>
      <c r="K7" s="19">
        <f t="shared" si="2"/>
        <v>5.4028063867638698</v>
      </c>
      <c r="L7" s="125">
        <f>INDEX(stats!$D:$D,MATCH(Total_AI!T7,stats!$A:$A,0))</f>
        <v>15791930471.170259</v>
      </c>
      <c r="M7" s="19">
        <f t="shared" si="3"/>
        <v>5.4028063867638698</v>
      </c>
      <c r="O7" s="125">
        <f>INDEX(stats!$D:$D,MATCH(Total_AI!U7,stats!$A:$A,0))</f>
        <v>15791930471.170259</v>
      </c>
      <c r="P7" s="125"/>
      <c r="R7" s="24">
        <v>5</v>
      </c>
      <c r="S7" s="25" t="str">
        <f t="shared" si="4"/>
        <v>all_tax_pc_benefits__yd_5</v>
      </c>
      <c r="T7" s="25" t="str">
        <f t="shared" si="4"/>
        <v>all_subs_pc_benefits__yd_5</v>
      </c>
      <c r="U7" s="25" t="str">
        <f t="shared" si="4"/>
        <v>all_subs_pc_benefits__yd_5</v>
      </c>
      <c r="V7" s="25" t="str">
        <f t="shared" si="4"/>
        <v>all_policies_pc_benefits__yd_5</v>
      </c>
      <c r="X7" s="25"/>
      <c r="Z7" s="232">
        <f t="shared" si="5"/>
        <v>1</v>
      </c>
    </row>
    <row r="8">
      <c r="A8" s="19" t="s">
        <v>21</v>
      </c>
      <c r="B8" s="19" cm="1">
        <f t="array" aca="true" ref="B8" ca="true">INDIRECT(A8)</f>
        <v>6</v>
      </c>
      <c r="H8" s="22">
        <f t="shared" ca="true" si="6"/>
        <v>6</v>
      </c>
      <c r="I8" s="19">
        <f t="shared" si="1"/>
        <v>5.7644159188130732</v>
      </c>
      <c r="J8" s="21">
        <f>INDEX(stats!$D:$D,MATCH(Total_AI!S8,stats!$A:$A,0))</f>
        <v>1953087346.697881</v>
      </c>
      <c r="K8" s="19">
        <f t="shared" si="2"/>
        <v>7.2453930660542509</v>
      </c>
      <c r="L8" s="125">
        <f>INDEX(stats!$D:$D,MATCH(Total_AI!T8,stats!$A:$A,0))</f>
        <v>21177650158.950352</v>
      </c>
      <c r="M8" s="19">
        <f t="shared" si="3"/>
        <v>7.2453930660542509</v>
      </c>
      <c r="O8" s="125">
        <f>INDEX(stats!$D:$D,MATCH(Total_AI!U8,stats!$A:$A,0))</f>
        <v>21177650158.950352</v>
      </c>
      <c r="P8" s="125"/>
      <c r="R8" s="24">
        <v>6</v>
      </c>
      <c r="S8" s="25" t="str">
        <f t="shared" si="4"/>
        <v>all_tax_pc_benefits__yd_6</v>
      </c>
      <c r="T8" s="25" t="str">
        <f t="shared" si="4"/>
        <v>all_subs_pc_benefits__yd_6</v>
      </c>
      <c r="U8" s="25" t="str">
        <f t="shared" si="4"/>
        <v>all_subs_pc_benefits__yd_6</v>
      </c>
      <c r="V8" s="25" t="str">
        <f t="shared" si="4"/>
        <v>all_policies_pc_benefits__yd_6</v>
      </c>
      <c r="X8" s="25"/>
      <c r="Z8" s="232">
        <f t="shared" si="5"/>
        <v>1</v>
      </c>
    </row>
    <row r="9">
      <c r="A9" s="19" t="s">
        <v>22</v>
      </c>
      <c r="B9" s="19" cm="1">
        <f t="array" aca="true" ref="B9" ca="true">INDIRECT(A9)</f>
        <v>7</v>
      </c>
      <c r="H9" s="22">
        <f t="shared" ca="true" si="6"/>
        <v>7</v>
      </c>
      <c r="I9" s="19">
        <f t="shared" si="1"/>
        <v>7.3612563381522458</v>
      </c>
      <c r="J9" s="21">
        <f>INDEX(stats!$D:$D,MATCH(Total_AI!S9,stats!$A:$A,0))</f>
        <v>2494125478.1638088</v>
      </c>
      <c r="K9" s="19">
        <f t="shared" si="2"/>
        <v>9.585662172529128</v>
      </c>
      <c r="L9" s="125">
        <f>INDEX(stats!$D:$D,MATCH(Total_AI!T9,stats!$A:$A,0))</f>
        <v>28018052047.831551</v>
      </c>
      <c r="M9" s="19">
        <f t="shared" si="3"/>
        <v>9.585662172529128</v>
      </c>
      <c r="O9" s="125">
        <f>INDEX(stats!$D:$D,MATCH(Total_AI!U9,stats!$A:$A,0))</f>
        <v>28018052047.831551</v>
      </c>
      <c r="P9" s="125"/>
      <c r="R9" s="24">
        <v>7</v>
      </c>
      <c r="S9" s="25" t="str">
        <f t="shared" si="4"/>
        <v>all_tax_pc_benefits__yd_7</v>
      </c>
      <c r="T9" s="25" t="str">
        <f t="shared" si="4"/>
        <v>all_subs_pc_benefits__yd_7</v>
      </c>
      <c r="U9" s="25" t="str">
        <f t="shared" si="4"/>
        <v>all_subs_pc_benefits__yd_7</v>
      </c>
      <c r="V9" s="25" t="str">
        <f t="shared" si="4"/>
        <v>all_policies_pc_benefits__yd_7</v>
      </c>
      <c r="X9" s="25"/>
      <c r="Z9" s="232">
        <f t="shared" si="5"/>
        <v>1</v>
      </c>
    </row>
    <row r="10">
      <c r="A10" s="19" t="s">
        <v>23</v>
      </c>
      <c r="B10" s="19" cm="1">
        <f t="array" aca="true" ref="B10" ca="true">INDIRECT(A10)</f>
        <v>8</v>
      </c>
      <c r="H10" s="22">
        <f t="shared" ca="true" si="6"/>
        <v>8</v>
      </c>
      <c r="I10" s="19">
        <f t="shared" si="1"/>
        <v>11.63404946609147</v>
      </c>
      <c r="J10" s="21">
        <f>INDEX(stats!$D:$D,MATCH(Total_AI!S10,stats!$A:$A,0))</f>
        <v>3941824310.2345648</v>
      </c>
      <c r="K10" s="19">
        <f t="shared" si="2"/>
        <v>12.796566658371098</v>
      </c>
      <c r="L10" s="125">
        <f>INDEX(stats!$D:$D,MATCH(Total_AI!T10,stats!$A:$A,0))</f>
        <v>37403244993.891724</v>
      </c>
      <c r="M10" s="19">
        <f t="shared" si="3"/>
        <v>12.796566658371098</v>
      </c>
      <c r="O10" s="125">
        <f>INDEX(stats!$D:$D,MATCH(Total_AI!U10,stats!$A:$A,0))</f>
        <v>37403244993.891724</v>
      </c>
      <c r="P10" s="125"/>
      <c r="R10" s="24">
        <v>8</v>
      </c>
      <c r="S10" s="25" t="str">
        <f t="shared" si="4"/>
        <v>all_tax_pc_benefits__yd_8</v>
      </c>
      <c r="T10" s="25" t="str">
        <f t="shared" si="4"/>
        <v>all_subs_pc_benefits__yd_8</v>
      </c>
      <c r="U10" s="25" t="str">
        <f t="shared" si="4"/>
        <v>all_subs_pc_benefits__yd_8</v>
      </c>
      <c r="V10" s="25" t="str">
        <f t="shared" si="4"/>
        <v>all_policies_pc_benefits__yd_8</v>
      </c>
      <c r="X10" s="25"/>
      <c r="Z10" s="232">
        <f t="shared" si="5"/>
        <v>1</v>
      </c>
    </row>
    <row r="11">
      <c r="A11" s="19" t="s">
        <v>24</v>
      </c>
      <c r="B11" s="19" cm="1">
        <f t="array" aca="true" ref="B11" ca="true">INDIRECT(A11)</f>
        <v>9</v>
      </c>
      <c r="H11" s="22">
        <f t="shared" ca="true" si="6"/>
        <v>9</v>
      </c>
      <c r="I11" s="19">
        <f t="shared" si="1"/>
        <v>16.16657102589183</v>
      </c>
      <c r="J11" s="21">
        <f>INDEX(stats!$D:$D,MATCH(Total_AI!S11,stats!$A:$A,0))</f>
        <v>5477523786.4278421</v>
      </c>
      <c r="K11" s="19">
        <f t="shared" si="2"/>
        <v>17.407002151698808</v>
      </c>
      <c r="L11" s="125">
        <f>INDEX(stats!$D:$D,MATCH(Total_AI!T11,stats!$A:$A,0))</f>
        <v>50879144654.263687</v>
      </c>
      <c r="M11" s="19">
        <f t="shared" si="3"/>
        <v>17.407002151698808</v>
      </c>
      <c r="O11" s="125">
        <f>INDEX(stats!$D:$D,MATCH(Total_AI!U11,stats!$A:$A,0))</f>
        <v>50879144654.263687</v>
      </c>
      <c r="P11" s="125"/>
      <c r="R11" s="24">
        <v>9</v>
      </c>
      <c r="S11" s="25" t="str">
        <f t="shared" si="4"/>
        <v>all_tax_pc_benefits__yd_9</v>
      </c>
      <c r="T11" s="25" t="str">
        <f t="shared" si="4"/>
        <v>all_subs_pc_benefits__yd_9</v>
      </c>
      <c r="U11" s="25" t="str">
        <f t="shared" si="4"/>
        <v>all_subs_pc_benefits__yd_9</v>
      </c>
      <c r="V11" s="25" t="str">
        <f t="shared" si="4"/>
        <v>all_policies_pc_benefits__yd_9</v>
      </c>
      <c r="X11" s="25"/>
      <c r="Z11" s="232">
        <f t="shared" si="5"/>
        <v>1</v>
      </c>
    </row>
    <row r="12">
      <c r="A12" s="19" t="s">
        <v>25</v>
      </c>
      <c r="B12" s="19" t="str" cm="1">
        <f t="array" aca="true" ref="B12" ca="true">INDIRECT(A12)</f>
        <v>Top decile</v>
      </c>
      <c r="H12" s="22" t="str">
        <f t="shared" ca="true" si="6"/>
        <v>Top decile</v>
      </c>
      <c r="I12" s="19">
        <f t="shared" si="1"/>
        <v>46.935013218442364</v>
      </c>
      <c r="J12" s="21">
        <f>INDEX(stats!$D:$D,MATCH(Total_AI!S12,stats!$A:$A,0))</f>
        <v>15902423025.178341</v>
      </c>
      <c r="K12" s="19">
        <f t="shared" si="2"/>
        <v>36.328027533156856</v>
      </c>
      <c r="L12" s="125">
        <f>INDEX(stats!$D:$D,MATCH(Total_AI!T12,stats!$A:$A,0))</f>
        <v>106183646773.6161</v>
      </c>
      <c r="M12" s="19">
        <f t="shared" si="3"/>
        <v>36.328027533156856</v>
      </c>
      <c r="O12" s="125">
        <f>INDEX(stats!$D:$D,MATCH(Total_AI!U12,stats!$A:$A,0))</f>
        <v>106183646773.6161</v>
      </c>
      <c r="P12" s="125"/>
      <c r="R12" s="24">
        <v>10</v>
      </c>
      <c r="S12" s="25" t="str">
        <f t="shared" si="4"/>
        <v>all_tax_pc_benefits__yd_10</v>
      </c>
      <c r="T12" s="25" t="str">
        <f t="shared" si="4"/>
        <v>all_subs_pc_benefits__yd_10</v>
      </c>
      <c r="U12" s="25" t="str">
        <f t="shared" si="4"/>
        <v>all_subs_pc_benefits__yd_10</v>
      </c>
      <c r="V12" s="25" t="str">
        <f t="shared" si="4"/>
        <v>all_policies_pc_benefits__yd_10</v>
      </c>
      <c r="X12" s="25"/>
      <c r="Z12" s="232">
        <f t="shared" si="5"/>
        <v>1</v>
      </c>
    </row>
    <row r="13">
      <c r="A13" s="19" t="s">
        <v>36</v>
      </c>
      <c r="B13" s="19" t="str" cm="1">
        <f t="array" aca="true" ref="B13" ca="true">INDIRECT(A13)</f>
        <v>Deciles of per capita disposable income</v>
      </c>
      <c r="J13" s="21">
        <f>INDEX(stats!$D:$D,MATCH(Total_AI!S13,stats!$A:$A,0))</f>
        <v>33881790873.61956</v>
      </c>
      <c r="L13" s="125">
        <f>INDEX(stats!$D:$D,MATCH(Total_AI!T13,stats!$A:$A,0))</f>
        <v>292291252743.35779</v>
      </c>
      <c r="O13" s="125">
        <f>INDEX(stats!$D:$D,MATCH(Total_AI!U13,stats!$A:$A,0))</f>
        <v>292291252743.35779</v>
      </c>
      <c r="P13" s="125"/>
      <c r="R13" s="19">
        <v>0</v>
      </c>
      <c r="S13" s="25" t="str">
        <f t="shared" si="4"/>
        <v>all_tax_pc_benefits__yd_0</v>
      </c>
      <c r="T13" s="25" t="str">
        <f t="shared" si="4"/>
        <v>all_subs_pc_benefits__yd_0</v>
      </c>
      <c r="U13" s="25" t="str">
        <f t="shared" si="4"/>
        <v>all_subs_pc_benefits__yd_0</v>
      </c>
      <c r="V13" s="25" t="str">
        <f t="shared" si="4"/>
        <v>all_policies_pc_benefits__yd_0</v>
      </c>
      <c r="X13" s="25"/>
      <c r="Z13" s="232">
        <f t="shared" si="5"/>
        <v>1</v>
      </c>
    </row>
    <row r="14">
      <c r="D14" s="22"/>
      <c r="E14" s="26"/>
      <c r="S14" s="127"/>
    </row>
    <row r="15">
      <c r="A15" s="19" t="s">
        <v>6</v>
      </c>
      <c r="S15" s="344"/>
    </row>
    <row r="16">
      <c r="A16" s="19" t="s">
        <v>39</v>
      </c>
      <c r="B16" s="19" t="str" cm="1">
        <f t="array" aca="true" ref="B16" ca="true">INDIRECT(A16)</f>
        <v>Percentage of total tax</v>
      </c>
      <c r="S16" s="25"/>
    </row>
    <row r="17">
      <c r="A17" s="19" t="s">
        <v>42</v>
      </c>
      <c r="B17" s="19" t="str" cm="1">
        <f t="array" aca="true" ref="B17" ca="true">INDIRECT(A17)</f>
        <v>Percentage of total subsidy</v>
      </c>
      <c r="S17" s="25"/>
    </row>
    <row r="18">
      <c r="A18" s="19" t="s">
        <v>5</v>
      </c>
      <c r="S18" s="25"/>
    </row>
    <row r="19">
      <c r="A19" s="19" t="s">
        <v>27</v>
      </c>
      <c r="B19" s="19" t="str">
        <f>+labels!A3</f>
        <v>Tranche1</v>
      </c>
      <c r="S19" s="25"/>
    </row>
    <row r="20">
      <c r="A20" s="19" t="s">
        <v>28</v>
      </c>
      <c r="B20" s="19" t="str">
        <f>+labels!A4</f>
        <v>Tranche2</v>
      </c>
      <c r="S20" s="25"/>
    </row>
    <row r="21">
      <c r="A21" s="19" t="s">
        <v>29</v>
      </c>
      <c r="B21" s="19" t="str">
        <f>+labels!A5</f>
        <v>Tranche3</v>
      </c>
      <c r="S21" s="25"/>
    </row>
    <row r="22">
      <c r="S22" s="25"/>
    </row>
    <row r="23">
      <c r="A23" s="23" t="s">
        <v>2</v>
      </c>
      <c r="B23" s="19" t="s">
        <v>11</v>
      </c>
      <c r="S23" s="25"/>
    </row>
    <row r="24">
      <c r="A24" s="27" t="s">
        <v>1</v>
      </c>
      <c r="B24" s="26" t="s">
        <v>12</v>
      </c>
      <c r="S24" s="25"/>
    </row>
    <row r="25">
      <c r="A25" s="23" t="s">
        <v>0</v>
      </c>
      <c r="B25" s="19" t="s">
        <v>13</v>
      </c>
      <c r="S25" s="25"/>
    </row>
    <row r="26">
      <c r="S26" s="25"/>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5B860-4C5F-7441-97E3-18F89B6BBBF4}">
  <dimension ref="A1:AF32"/>
  <sheetViews>
    <sheetView topLeftCell="F1" zoomScale="113" zoomScaleNormal="85" workbookViewId="0">
      <selection activeCell="N1" sqref="N1:N1048576"/>
    </sheetView>
  </sheetViews>
  <sheetFormatPr defaultColWidth="0.140625" defaultRowHeight="15"/>
  <cols>
    <col min="1" max="1" width="9" style="19" hidden="true" customWidth="true"/>
    <col min="2" max="2" width="38.7109375" style="19" hidden="true" customWidth="true"/>
    <col min="3" max="4" width="0.140625" style="19"/>
    <col min="5" max="6" width="13.28515625" style="19" customWidth="true"/>
    <col min="7" max="7" width="10.28515625" style="19" customWidth="true"/>
    <col min="8" max="8" width="34.42578125" style="19" customWidth="true"/>
    <col min="9" max="9" width="7.85546875" style="19" customWidth="true"/>
    <col min="10" max="10" width="9.42578125" style="19" customWidth="true"/>
    <col min="11" max="11" width="1.42578125" style="19" customWidth="true"/>
    <col min="12" max="12" width="8.85546875" style="19" customWidth="true"/>
    <col min="13" max="13" width="9.28515625" style="19" customWidth="true"/>
    <col min="14" max="14" width="2.7109375" style="19" customWidth="true"/>
    <col min="15" max="16" width="10.85546875" style="19" customWidth="true"/>
    <col min="17" max="17" width="9" style="19" customWidth="true"/>
    <col min="18" max="18" width="11.42578125" style="19" customWidth="true"/>
    <col min="19" max="19" width="18.28515625" style="316" customWidth="true"/>
    <col min="20" max="20" width="14.85546875" style="316" bestFit="true" customWidth="true"/>
    <col min="21" max="21" width="13.42578125" style="316" customWidth="true"/>
    <col min="22" max="22" width="2" style="316" customWidth="true"/>
    <col min="23" max="25" width="13.42578125" style="316" customWidth="true"/>
    <col min="26" max="26" width="15.42578125" style="316" customWidth="true"/>
    <col min="27" max="27" width="20" style="316" customWidth="true"/>
    <col min="28" max="28" width="14.42578125" style="316" customWidth="true"/>
    <col min="29" max="29" width="19.85546875" style="316" customWidth="true"/>
    <col min="30" max="30" width="18.85546875" style="19" customWidth="true"/>
    <col min="31" max="32" width="18.85546875" style="316" customWidth="true"/>
    <col min="33" max="33" width="18.85546875" style="19" customWidth="true"/>
    <col min="34" max="34" width="17.7109375" style="19" customWidth="true"/>
    <col min="35" max="44" width="0.140625" style="19"/>
    <col min="45" max="45" width="0.140625" style="19" customWidth="true"/>
    <col min="46" max="194" width="0.140625" style="19"/>
    <col min="195" max="195" width="0.28515625" style="19" customWidth="true"/>
    <col min="196" max="214" width="0.140625" style="19"/>
    <col min="215" max="215" width="0.0" style="19" hidden="true" customWidth="true"/>
    <col min="216" max="249" width="0.140625" style="19" hidden="true" customWidth="true"/>
    <col min="250" max="16384" width="0.140625" style="19"/>
  </cols>
  <sheetData>
    <row r="1">
      <c r="T1" s="322" t="s">
        <v>30</v>
      </c>
      <c r="U1" s="322" t="s">
        <v>32</v>
      </c>
      <c r="V1" s="322"/>
      <c r="W1" s="322" t="s">
        <v>30</v>
      </c>
      <c r="X1" s="322" t="s">
        <v>32</v>
      </c>
      <c r="Y1" s="322" t="s">
        <v>30</v>
      </c>
      <c r="Z1" s="322" t="s">
        <v>32</v>
      </c>
      <c r="AA1" s="340" t="s">
        <v>303</v>
      </c>
      <c r="AB1" s="322"/>
      <c r="AC1" s="322"/>
      <c r="AD1" s="32"/>
      <c r="AE1" s="322"/>
      <c r="AF1" s="322"/>
    </row>
    <row r="2">
      <c r="S2" s="28" t="s">
        <v>256</v>
      </c>
      <c r="T2" s="323">
        <f>100*INDEX(stats!$D:$D,MATCH(_xlfn.CONCAT($S$2),stats!$A:$A,0))</f>
        <v>38.494498958556925</v>
      </c>
      <c r="U2" s="323">
        <f>100*INDEX(stats!$D:$D,MATCH(_xlfn.CONCAT($S$2),stats!$A:$A,0))</f>
        <v>38.494498958556925</v>
      </c>
      <c r="V2" s="335"/>
      <c r="W2" s="323">
        <f>100*INDEX(stats!$D:$D,MATCH(_xlfn.CONCAT($S$2),stats!$A:$A,0))</f>
        <v>38.494498958556925</v>
      </c>
      <c r="X2" s="323">
        <f>100*INDEX(stats!$D:$D,MATCH(_xlfn.CONCAT($S$2),stats!$A:$A,0))</f>
        <v>38.494498958556925</v>
      </c>
      <c r="Y2" s="323">
        <f>100*INDEX(stats!$D:$D,MATCH(_xlfn.CONCAT($S$2),stats!$A:$A,0))</f>
        <v>38.494498958556925</v>
      </c>
      <c r="Z2" s="323">
        <f>100*INDEX(stats!$D:$D,MATCH(_xlfn.CONCAT($S$2),stats!$A:$A,0))</f>
        <v>38.494498958556925</v>
      </c>
      <c r="AA2" s="323">
        <f>100*INDEX(stats!$D:$D,MATCH(_xlfn.CONCAT($S$2),stats!$A:$A,0))</f>
        <v>38.494498958556925</v>
      </c>
      <c r="AB2" s="323"/>
      <c r="AC2" s="323"/>
      <c r="AD2" s="234"/>
      <c r="AE2" s="323"/>
      <c r="AF2" s="323"/>
    </row>
    <row r="3">
      <c r="S3" s="28" t="s">
        <v>255</v>
      </c>
      <c r="T3" s="323">
        <f>100*INDEX(stats!$D:$D,MATCH(_xlfn.CONCAT($S$3),stats!$A:$A,0))</f>
        <v>37.85107</v>
      </c>
      <c r="U3" s="323">
        <f>100*INDEX(stats!$D:$D,MATCH(_xlfn.CONCAT($S$3),stats!$A:$A,0))</f>
        <v>37.85107</v>
      </c>
      <c r="V3" s="335"/>
      <c r="W3" s="323">
        <f>100*INDEX(stats!$D:$D,MATCH(_xlfn.CONCAT($S$3),stats!$A:$A,0))</f>
        <v>37.85107</v>
      </c>
      <c r="X3" s="323">
        <f>100*INDEX(stats!$D:$D,MATCH(_xlfn.CONCAT($S$3),stats!$A:$A,0))</f>
        <v>37.85107</v>
      </c>
      <c r="Y3" s="323">
        <f>100*INDEX(stats!$D:$D,MATCH(_xlfn.CONCAT($S$3),stats!$A:$A,0))</f>
        <v>37.85107</v>
      </c>
      <c r="Z3" s="323">
        <f>100*INDEX(stats!$D:$D,MATCH(_xlfn.CONCAT($S$3),stats!$A:$A,0))</f>
        <v>37.85107</v>
      </c>
      <c r="AA3" s="323">
        <f>100*INDEX(stats!$D:$D,MATCH(_xlfn.CONCAT($S$3),stats!$A:$A,0))</f>
        <v>37.85107</v>
      </c>
      <c r="AB3" s="323"/>
      <c r="AC3" s="323"/>
      <c r="AD3" s="234"/>
      <c r="AE3" s="323"/>
      <c r="AF3" s="323"/>
    </row>
    <row r="4">
      <c r="H4" s="22"/>
      <c r="I4" s="22"/>
      <c r="J4" s="22"/>
      <c r="K4" s="22"/>
      <c r="L4" s="22"/>
      <c r="M4" s="22"/>
      <c r="N4" s="22"/>
      <c r="O4" s="24"/>
      <c r="P4" s="25"/>
      <c r="Z4" s="336"/>
    </row>
    <row r="5">
      <c r="H5" s="20"/>
      <c r="I5" s="389" t="s">
        <v>89</v>
      </c>
      <c r="J5" s="389"/>
      <c r="K5" s="205"/>
      <c r="L5" s="389" t="s">
        <v>90</v>
      </c>
      <c r="M5" s="389"/>
      <c r="N5" s="205"/>
      <c r="O5" s="389" t="s">
        <v>294</v>
      </c>
      <c r="P5" s="389"/>
      <c r="Q5" s="389"/>
      <c r="R5" s="233"/>
      <c r="T5" s="332" t="s">
        <v>65</v>
      </c>
      <c r="U5" s="322" t="s">
        <v>66</v>
      </c>
      <c r="W5" s="332" t="s">
        <v>135</v>
      </c>
      <c r="X5" s="322" t="s">
        <v>136</v>
      </c>
      <c r="Y5" s="324" t="s">
        <v>297</v>
      </c>
      <c r="Z5" s="322" t="s">
        <v>298</v>
      </c>
      <c r="AA5" s="340" t="s">
        <v>299</v>
      </c>
      <c r="AB5" s="324"/>
      <c r="AC5" s="322"/>
      <c r="AE5" s="332"/>
      <c r="AF5" s="322"/>
    </row>
    <row r="6">
      <c r="A6" s="36" t="s">
        <v>6</v>
      </c>
      <c r="H6" s="37"/>
      <c r="I6" s="206" t="s">
        <v>60</v>
      </c>
      <c r="J6" s="206" t="s">
        <v>61</v>
      </c>
      <c r="K6" s="206"/>
      <c r="L6" s="206" t="s">
        <v>60</v>
      </c>
      <c r="M6" s="206" t="s">
        <v>61</v>
      </c>
      <c r="N6" s="233"/>
      <c r="O6" s="313" t="s">
        <v>293</v>
      </c>
      <c r="P6" s="320" t="s">
        <v>61</v>
      </c>
      <c r="Q6" s="206" t="s">
        <v>292</v>
      </c>
      <c r="R6" s="233"/>
      <c r="T6" s="337" t="s">
        <v>86</v>
      </c>
      <c r="U6" s="337" t="s">
        <v>87</v>
      </c>
      <c r="W6" s="333" t="s">
        <v>258</v>
      </c>
      <c r="X6" s="333" t="s">
        <v>259</v>
      </c>
      <c r="Y6" s="325" t="s">
        <v>301</v>
      </c>
      <c r="Z6" s="325" t="s">
        <v>302</v>
      </c>
      <c r="AA6" s="325" t="s">
        <v>296</v>
      </c>
      <c r="AB6" s="325"/>
      <c r="AC6" s="325"/>
      <c r="AE6" s="333"/>
      <c r="AF6" s="333"/>
    </row>
    <row r="7" ht="20.25" customHeight="true">
      <c r="A7" s="36"/>
      <c r="H7" s="34" t="s">
        <v>279</v>
      </c>
      <c r="I7" s="356">
        <f>+T7</f>
        <v>38.517819713341837</v>
      </c>
      <c r="J7" s="237">
        <f>+U7</f>
        <v>37.867939232945957</v>
      </c>
      <c r="K7" s="233"/>
      <c r="L7" s="237">
        <f>+W7</f>
        <v>38.622991746479144</v>
      </c>
      <c r="M7" s="237">
        <f>+X7</f>
        <v>37.747113540115947</v>
      </c>
      <c r="N7" s="237"/>
      <c r="O7" s="319">
        <f>+Y7</f>
        <v>38.646312501264049</v>
      </c>
      <c r="P7" s="314">
        <f>+Z7</f>
        <v>37.02664439156122</v>
      </c>
      <c r="Q7" s="319">
        <f>+AA7</f>
        <v>37.11644464726578</v>
      </c>
      <c r="R7" s="236"/>
      <c r="S7" s="28" t="s">
        <v>85</v>
      </c>
      <c r="T7" s="326">
        <f>100*INDEX(stats!$D:$D,MATCH(_xlfn.CONCAT(T$6,$S7),stats!$A:$A,0))</f>
        <v>38.517819713341837</v>
      </c>
      <c r="U7" s="326">
        <f>100*INDEX(stats!$D:$D,MATCH(_xlfn.CONCAT(U$6,$S7),stats!$A:$A,0))</f>
        <v>37.867939232945957</v>
      </c>
      <c r="W7" s="326">
        <f>100*INDEX(stats!$D:$D,MATCH(_xlfn.CONCAT(W$6,$S7),stats!$A:$A,0))</f>
        <v>38.622991746479144</v>
      </c>
      <c r="X7" s="326">
        <f>100*INDEX(stats!$D:$D,MATCH(_xlfn.CONCAT(X$6,$S7),stats!$A:$A,0))</f>
        <v>37.747113540115947</v>
      </c>
      <c r="Y7" s="326">
        <f>100*INDEX(stats!$D:$D,MATCH(_xlfn.CONCAT(Y$6,$S7),stats!$A:$A,0))</f>
        <v>38.646312501264049</v>
      </c>
      <c r="Z7" s="326">
        <f>100*INDEX(stats!$D:$D,MATCH(_xlfn.CONCAT(Z$6,$S7),stats!$A:$A,0))</f>
        <v>37.02664439156122</v>
      </c>
      <c r="AA7" s="326">
        <f>100*INDEX(stats!$D:$D,MATCH(_xlfn.CONCAT($AA6,$S7),stats!$A:$A,0))</f>
        <v>37.11644464726578</v>
      </c>
      <c r="AB7" s="326"/>
      <c r="AC7" s="326"/>
      <c r="AE7" s="326"/>
      <c r="AF7" s="326"/>
    </row>
    <row r="8" ht="20.25" customHeight="true">
      <c r="A8" s="36"/>
      <c r="H8" s="34" t="s">
        <v>280</v>
      </c>
      <c r="I8" s="237">
        <f>+T8</f>
        <v>37.834220000000002</v>
      </c>
      <c r="J8" s="237">
        <f>+U8</f>
        <v>38.025179999999999</v>
      </c>
      <c r="K8" s="233"/>
      <c r="L8" s="237">
        <f t="shared" ref="L8:M12" si="0">+W8</f>
        <v>37.798830000000002</v>
      </c>
      <c r="M8" s="237">
        <f t="shared" si="0"/>
        <v>38.009530000000005</v>
      </c>
      <c r="N8" s="237"/>
      <c r="O8" s="236">
        <f t="shared" ref="O8:O12" si="1">+Y8</f>
        <v>37.78192</v>
      </c>
      <c r="P8" s="314">
        <f t="shared" ref="P8:P12" si="2">+Z8</f>
        <v>38.179470000000002</v>
      </c>
      <c r="Q8" s="236">
        <f t="shared" ref="Q8:Q12" si="3">+AA8</f>
        <v>38.110779999999998</v>
      </c>
      <c r="R8" s="237"/>
      <c r="S8" s="28" t="s">
        <v>88</v>
      </c>
      <c r="T8" s="326">
        <f>100*INDEX(stats!$D:$D,MATCH(_xlfn.CONCAT(T$6,$S8),stats!$A:$A,0))</f>
        <v>37.834220000000002</v>
      </c>
      <c r="U8" s="326">
        <f>100*INDEX(stats!$D:$D,MATCH(_xlfn.CONCAT(U$6,$S8),stats!$A:$A,0))</f>
        <v>38.025179999999999</v>
      </c>
      <c r="W8" s="326">
        <f>100*INDEX(stats!$D:$D,MATCH(_xlfn.CONCAT(W$6,$S8),stats!$A:$A,0))</f>
        <v>37.798830000000002</v>
      </c>
      <c r="X8" s="326">
        <f>100*INDEX(stats!$D:$D,MATCH(_xlfn.CONCAT(X$6,$S8),stats!$A:$A,0))</f>
        <v>38.009530000000005</v>
      </c>
      <c r="Y8" s="326">
        <f>100*INDEX(stats!$D:$D,MATCH(_xlfn.CONCAT(Y$6,$S8),stats!$A:$A,0))</f>
        <v>37.78192</v>
      </c>
      <c r="Z8" s="326">
        <f>100*INDEX(stats!$D:$D,MATCH(_xlfn.CONCAT(Z$6,$S8),stats!$A:$A,0))</f>
        <v>38.179470000000002</v>
      </c>
      <c r="AA8" s="326">
        <f>100*INDEX(stats!$D:$D,MATCH(_xlfn.CONCAT($AA$6,$S8),stats!$A:$A,0))</f>
        <v>38.110779999999998</v>
      </c>
      <c r="AB8" s="326"/>
      <c r="AC8" s="326"/>
      <c r="AE8" s="326"/>
      <c r="AF8" s="326"/>
    </row>
    <row r="9" ht="20.25" customHeight="true">
      <c r="A9" s="21" t="s">
        <v>81</v>
      </c>
      <c r="B9" s="19" t="str" cm="1">
        <f t="array" aca="true" ref="B9" ca="true">INDIRECT(A9)</f>
        <v>MC to poverty headcount (percentage points)</v>
      </c>
      <c r="H9" s="34" t="s">
        <v>79</v>
      </c>
      <c r="I9" s="236">
        <f>+T9</f>
        <v>-2.3320754784911912E-2</v>
      </c>
      <c r="J9" s="236">
        <f t="shared" ref="I9:J12" si="4">+U9</f>
        <v>0.62655972561096718</v>
      </c>
      <c r="K9" s="235"/>
      <c r="L9" s="236">
        <f t="shared" si="0"/>
        <v>-0.12849278792221952</v>
      </c>
      <c r="M9" s="236">
        <f t="shared" si="0"/>
        <v>0.74738541844097739</v>
      </c>
      <c r="N9" s="236"/>
      <c r="O9" s="236">
        <f t="shared" si="1"/>
        <v>-0.15181354270712433</v>
      </c>
      <c r="P9" s="314">
        <f t="shared" si="2"/>
        <v>1.4678545669957046</v>
      </c>
      <c r="Q9" s="236">
        <f t="shared" si="3"/>
        <v>1.3780543112911445</v>
      </c>
      <c r="R9" s="237"/>
      <c r="S9" s="34"/>
      <c r="T9" s="242">
        <f>+T2-T7</f>
        <v>-2.3320754784911912E-2</v>
      </c>
      <c r="U9" s="327">
        <f>+U2-U7</f>
        <v>0.62655972561096718</v>
      </c>
      <c r="V9" s="326"/>
      <c r="W9" s="327">
        <f t="shared" ref="W9:Z10" si="5">+W2-W7</f>
        <v>-0.12849278792221952</v>
      </c>
      <c r="X9" s="327">
        <f t="shared" si="5"/>
        <v>0.74738541844097739</v>
      </c>
      <c r="Y9" s="242">
        <f t="shared" si="5"/>
        <v>-0.15181354270712433</v>
      </c>
      <c r="Z9" s="327">
        <f t="shared" si="5"/>
        <v>1.4678545669957046</v>
      </c>
      <c r="AA9" s="323">
        <f>AA2-AA7</f>
        <v>1.3780543112911445</v>
      </c>
      <c r="AB9" s="242"/>
      <c r="AC9" s="327"/>
      <c r="AD9" s="31"/>
      <c r="AE9" s="327"/>
      <c r="AF9" s="327"/>
    </row>
    <row r="10" ht="20.25" customHeight="true">
      <c r="A10" s="21" t="s">
        <v>82</v>
      </c>
      <c r="B10" s="19" t="str" cm="1">
        <f t="array" aca="true" ref="B10" ca="true">INDIRECT(A10)</f>
        <v>MC to inequality (Gini points)</v>
      </c>
      <c r="H10" s="34" t="s">
        <v>80</v>
      </c>
      <c r="I10" s="236">
        <f t="shared" si="4"/>
        <v>1.6849999999998033E-2</v>
      </c>
      <c r="J10" s="236">
        <f t="shared" si="4"/>
        <v>-0.17410999999999888</v>
      </c>
      <c r="K10" s="235"/>
      <c r="L10" s="236">
        <f t="shared" si="0"/>
        <v>5.2239999999997622E-2</v>
      </c>
      <c r="M10" s="236">
        <f t="shared" si="0"/>
        <v>-0.15846000000000515</v>
      </c>
      <c r="N10" s="236"/>
      <c r="O10" s="236">
        <f t="shared" si="1"/>
        <v>6.9150000000000489E-2</v>
      </c>
      <c r="P10" s="314">
        <f t="shared" si="2"/>
        <v>-0.32840000000000202</v>
      </c>
      <c r="Q10" s="236">
        <f t="shared" si="3"/>
        <v>-0.25970999999999833</v>
      </c>
      <c r="R10" s="237"/>
      <c r="S10" s="34"/>
      <c r="T10" s="242">
        <f>+T3-T8</f>
        <v>1.6849999999998033E-2</v>
      </c>
      <c r="U10" s="242">
        <f>+U3-U8</f>
        <v>-0.17410999999999888</v>
      </c>
      <c r="V10" s="326"/>
      <c r="W10" s="334">
        <f t="shared" si="5"/>
        <v>5.2239999999997622E-2</v>
      </c>
      <c r="X10" s="242">
        <f t="shared" si="5"/>
        <v>-0.15846000000000515</v>
      </c>
      <c r="Y10" s="242">
        <f t="shared" si="5"/>
        <v>6.9150000000000489E-2</v>
      </c>
      <c r="Z10" s="242">
        <f t="shared" si="5"/>
        <v>-0.32840000000000202</v>
      </c>
      <c r="AA10" s="323">
        <f>AA3-AA8</f>
        <v>-0.25970999999999833</v>
      </c>
      <c r="AB10" s="242"/>
      <c r="AC10" s="242"/>
      <c r="AD10" s="31"/>
      <c r="AE10" s="334"/>
      <c r="AF10" s="242"/>
    </row>
    <row r="11" ht="20.25" customHeight="true">
      <c r="A11" s="21" t="s">
        <v>83</v>
      </c>
      <c r="B11" s="19" t="str" cm="1">
        <f t="array" aca="true" ref="B11" ca="true">INDIRECT(A11)</f>
        <v>Total tax/subsidy (CFA bn)</v>
      </c>
      <c r="H11" s="34" t="s">
        <v>77</v>
      </c>
      <c r="I11" s="342">
        <f t="shared" si="4"/>
        <v>4.3371050934389705</v>
      </c>
      <c r="J11" s="237">
        <f t="shared" si="4"/>
        <v>135.07640837156239</v>
      </c>
      <c r="K11" s="207"/>
      <c r="L11" s="342">
        <f t="shared" si="0"/>
        <v>29.544685709645918</v>
      </c>
      <c r="M11" s="237">
        <f t="shared" si="0"/>
        <v>157.21484483555219</v>
      </c>
      <c r="N11" s="237"/>
      <c r="O11" s="236">
        <f t="shared" si="1"/>
        <v>33.881790873619558</v>
      </c>
      <c r="P11" s="314">
        <f t="shared" si="2"/>
        <v>292.2912527433578</v>
      </c>
      <c r="Q11" s="236">
        <f>+AA11</f>
        <v>258.4094623514942</v>
      </c>
      <c r="R11" s="237"/>
      <c r="S11" s="28" t="s">
        <v>281</v>
      </c>
      <c r="T11" s="328">
        <f>INDEX(stats!$D:$D,MATCH(_xlfn.CONCAT(T5,$S11),stats!$A:$A,0))/1000000000</f>
        <v>4.3371050934389705</v>
      </c>
      <c r="U11" s="328">
        <f>INDEX(stats!$D:$D,MATCH(_xlfn.CONCAT(U5,$S11),stats!$A:$A,0))/1000000000</f>
        <v>135.07640837156239</v>
      </c>
      <c r="V11" s="328"/>
      <c r="W11" s="328">
        <f>INDEX(stats!$D:$D,MATCH(_xlfn.CONCAT(W5,$S11),stats!$A:$A,0))/1000000000</f>
        <v>29.544685709645918</v>
      </c>
      <c r="X11" s="328">
        <f>INDEX(stats!$D:$D,MATCH(_xlfn.CONCAT(X5,$S11),stats!$A:$A,0))/1000000000</f>
        <v>157.21484483555219</v>
      </c>
      <c r="Y11" s="328">
        <f>INDEX(stats!$D:$D,MATCH(_xlfn.CONCAT(Y5,$S11),stats!$A:$A,0))/1000000000</f>
        <v>33.881790873619558</v>
      </c>
      <c r="Z11" s="328">
        <f>INDEX(stats!$D:$D,MATCH(_xlfn.CONCAT(Z5,$S11),stats!$A:$A,0))/1000000000</f>
        <v>292.2912527433578</v>
      </c>
      <c r="AA11" s="330">
        <f>INDEX(stats!$D:$D,MATCH(_xlfn.CONCAT(AA5,S11),stats!$A:$A,0))/1000000000</f>
        <v>258.4094623514942</v>
      </c>
      <c r="AB11" s="328"/>
      <c r="AC11" s="328"/>
      <c r="AD11" s="29"/>
      <c r="AE11" s="328"/>
      <c r="AF11" s="328"/>
    </row>
    <row r="12" ht="20.25" customHeight="true">
      <c r="A12" s="21" t="s">
        <v>84</v>
      </c>
      <c r="B12" s="19" t="str" cm="1">
        <f t="array" aca="true" ref="B12" ca="true">INDIRECT(A12)</f>
        <v>Total tax/subsidy as % of GDP</v>
      </c>
      <c r="H12" s="35" t="s">
        <v>78</v>
      </c>
      <c r="I12" s="321">
        <f>+T12</f>
        <v>2.831169324523632E-2</v>
      </c>
      <c r="J12" s="238">
        <f t="shared" si="4"/>
        <v>0.88174986681072887</v>
      </c>
      <c r="K12" s="208"/>
      <c r="L12" s="238">
        <f t="shared" si="0"/>
        <v>0.19286138122495156</v>
      </c>
      <c r="M12" s="238">
        <f t="shared" si="0"/>
        <v>1.0262648390316695</v>
      </c>
      <c r="N12" s="238"/>
      <c r="O12" s="321">
        <f t="shared" si="1"/>
        <v>0.22117307493062308</v>
      </c>
      <c r="P12" s="315">
        <f t="shared" si="2"/>
        <v>1.9080147028150936</v>
      </c>
      <c r="Q12" s="321">
        <f t="shared" si="3"/>
        <v>1.6868416310292702</v>
      </c>
      <c r="R12" s="237"/>
      <c r="S12" s="341">
        <v>15319.13</v>
      </c>
      <c r="T12" s="329">
        <f>100*(T11/$S12)</f>
        <v>2.831169324523632E-2</v>
      </c>
      <c r="U12" s="329">
        <f>100*(U11/$S12)</f>
        <v>0.88174986681072887</v>
      </c>
      <c r="V12" s="329"/>
      <c r="W12" s="329">
        <f>100*(W11/$S12)</f>
        <v>0.19286138122495156</v>
      </c>
      <c r="X12" s="329">
        <f>100*(X11/$S12)</f>
        <v>1.0262648390316695</v>
      </c>
      <c r="Y12" s="329">
        <f>100*(Y11/$S12)</f>
        <v>0.22117307493062308</v>
      </c>
      <c r="Z12" s="329">
        <f>100*(Z11/$S12)</f>
        <v>1.9080147028150936</v>
      </c>
      <c r="AA12" s="329">
        <f>100*(AA11/$S12)</f>
        <v>1.6868416310292702</v>
      </c>
      <c r="AB12" s="329"/>
      <c r="AC12" s="329"/>
      <c r="AD12" s="30"/>
      <c r="AE12" s="329"/>
      <c r="AF12" s="329"/>
    </row>
    <row r="13">
      <c r="Q13" s="130"/>
      <c r="R13" s="130"/>
    </row>
    <row r="14">
      <c r="A14" s="23" t="s">
        <v>2</v>
      </c>
      <c r="B14" s="19" t="s">
        <v>11</v>
      </c>
      <c r="D14" s="22"/>
      <c r="E14" s="26"/>
      <c r="T14" s="322"/>
      <c r="U14" s="322"/>
      <c r="V14" s="322"/>
      <c r="W14" s="322"/>
      <c r="X14" s="322"/>
    </row>
    <row r="15">
      <c r="A15" s="27" t="s">
        <v>1</v>
      </c>
      <c r="B15" s="26" t="s">
        <v>12</v>
      </c>
      <c r="M15" s="227"/>
      <c r="N15" s="227"/>
      <c r="P15" s="229"/>
      <c r="S15" s="28"/>
      <c r="T15" s="323"/>
      <c r="U15" s="323"/>
      <c r="V15" s="335"/>
      <c r="W15" s="323"/>
      <c r="X15" s="323"/>
    </row>
    <row r="16">
      <c r="A16" s="23" t="s">
        <v>0</v>
      </c>
      <c r="B16" s="19" t="s">
        <v>13</v>
      </c>
      <c r="F16" s="116"/>
      <c r="G16" s="116"/>
      <c r="H16" s="116"/>
      <c r="I16" s="116"/>
      <c r="J16" s="116"/>
      <c r="K16" s="116"/>
      <c r="L16" s="116"/>
      <c r="M16" s="116"/>
      <c r="N16" s="116"/>
      <c r="S16" s="28"/>
      <c r="T16" s="318" t="s">
        <v>257</v>
      </c>
      <c r="U16" s="323"/>
      <c r="V16" s="335"/>
      <c r="W16" s="323"/>
      <c r="X16" s="323"/>
    </row>
    <row r="17">
      <c r="F17" s="116"/>
      <c r="G17" s="116"/>
      <c r="H17" s="116"/>
      <c r="I17" s="116"/>
      <c r="J17" s="116"/>
      <c r="K17" s="116"/>
      <c r="L17" s="116"/>
      <c r="M17" s="116"/>
      <c r="N17" s="116"/>
    </row>
    <row r="18">
      <c r="F18" s="116"/>
      <c r="G18" s="116"/>
      <c r="H18" s="20"/>
      <c r="I18" s="389" t="s">
        <v>89</v>
      </c>
      <c r="J18" s="389"/>
      <c r="K18" s="205"/>
      <c r="L18" s="389" t="s">
        <v>90</v>
      </c>
      <c r="M18" s="389"/>
      <c r="N18" s="233"/>
      <c r="T18" s="318" t="s">
        <v>67</v>
      </c>
      <c r="U18" s="318" t="s">
        <v>68</v>
      </c>
      <c r="W18" s="318" t="s">
        <v>137</v>
      </c>
      <c r="X18" s="318" t="s">
        <v>138</v>
      </c>
      <c r="Z18" s="336"/>
      <c r="AB18" s="322"/>
      <c r="AC18" s="322"/>
      <c r="AD18" s="32"/>
      <c r="AE18" s="322"/>
      <c r="AF18" s="322"/>
    </row>
    <row r="19">
      <c r="F19" s="116"/>
      <c r="G19" s="116"/>
      <c r="H19" s="37"/>
      <c r="I19" s="206" t="s">
        <v>62</v>
      </c>
      <c r="J19" s="206" t="s">
        <v>63</v>
      </c>
      <c r="K19" s="206"/>
      <c r="L19" s="206" t="s">
        <v>62</v>
      </c>
      <c r="M19" s="206" t="s">
        <v>63</v>
      </c>
      <c r="N19" s="233"/>
      <c r="T19" s="338" t="s">
        <v>282</v>
      </c>
      <c r="U19" s="338" t="s">
        <v>283</v>
      </c>
      <c r="W19" s="339" t="s">
        <v>284</v>
      </c>
      <c r="X19" s="339" t="s">
        <v>285</v>
      </c>
      <c r="Z19" s="336"/>
      <c r="AA19" s="28"/>
      <c r="AB19" s="323"/>
      <c r="AC19" s="323"/>
      <c r="AD19" s="234"/>
      <c r="AE19" s="323"/>
      <c r="AF19" s="323"/>
    </row>
    <row r="20" ht="36.95" customHeight="true">
      <c r="F20" s="116"/>
      <c r="G20" s="116"/>
      <c r="H20" s="34" t="s">
        <v>279</v>
      </c>
      <c r="I20" s="237">
        <f t="shared" ref="I20:J25" si="6">+T20</f>
        <v>38.116988362760715</v>
      </c>
      <c r="J20" s="237">
        <f t="shared" si="6"/>
        <v>38.248112014584741</v>
      </c>
      <c r="K20" s="233"/>
      <c r="L20" s="237">
        <f t="shared" ref="L20:M25" si="7">+W20</f>
        <v>38.276011731239727</v>
      </c>
      <c r="M20" s="237">
        <f t="shared" si="7"/>
        <v>38.050076646855217</v>
      </c>
      <c r="N20" s="237"/>
      <c r="Q20" s="203"/>
      <c r="R20" s="203"/>
      <c r="S20" s="28" t="s">
        <v>85</v>
      </c>
      <c r="T20" s="326">
        <f>100*INDEX(stats!$D:$D,MATCH(_xlfn.CONCAT(T$19,$S20),stats!$A:$A,0))</f>
        <v>38.116988362760715</v>
      </c>
      <c r="U20" s="326">
        <f>100*INDEX(stats!$D:$D,MATCH(_xlfn.CONCAT(U$19,$S20),stats!$A:$A,0))</f>
        <v>38.248112014584741</v>
      </c>
      <c r="W20" s="326">
        <f>100*INDEX(stats!$D:$D,MATCH(_xlfn.CONCAT(W$19,$S20),stats!$A:$A,0))</f>
        <v>38.276011731239727</v>
      </c>
      <c r="X20" s="326">
        <f>100*INDEX(stats!$D:$D,MATCH(_xlfn.CONCAT(X$19,$S20),stats!$A:$A,0))</f>
        <v>38.050076646855217</v>
      </c>
      <c r="Z20" s="336"/>
      <c r="AA20" s="28"/>
      <c r="AB20" s="323"/>
      <c r="AC20" s="323"/>
      <c r="AD20" s="234"/>
      <c r="AE20" s="323"/>
      <c r="AF20" s="323"/>
    </row>
    <row r="21" ht="30.95" customHeight="true">
      <c r="F21" s="116"/>
      <c r="G21" s="116"/>
      <c r="H21" s="34" t="s">
        <v>280</v>
      </c>
      <c r="I21" s="237">
        <f t="shared" si="6"/>
        <v>38.019629999999999</v>
      </c>
      <c r="J21" s="237">
        <f t="shared" si="6"/>
        <v>37.857089999999999</v>
      </c>
      <c r="K21" s="233"/>
      <c r="L21" s="237">
        <f t="shared" si="7"/>
        <v>37.99306</v>
      </c>
      <c r="M21" s="237">
        <f t="shared" si="7"/>
        <v>37.868560000000002</v>
      </c>
      <c r="N21" s="237"/>
      <c r="Q21" s="203"/>
      <c r="R21" s="203"/>
      <c r="S21" s="28" t="s">
        <v>88</v>
      </c>
      <c r="T21" s="326">
        <f>100*INDEX(stats!$D:$D,MATCH(_xlfn.CONCAT(T$19,$S21),stats!$A:$A,0))</f>
        <v>38.019629999999999</v>
      </c>
      <c r="U21" s="326">
        <f>100*INDEX(stats!$D:$D,MATCH(_xlfn.CONCAT(U$19,$S21),stats!$A:$A,0))</f>
        <v>37.857089999999999</v>
      </c>
      <c r="W21" s="326">
        <f>100*INDEX(stats!$D:$D,MATCH(_xlfn.CONCAT(W$19,$S21),stats!$A:$A,0))</f>
        <v>37.99306</v>
      </c>
      <c r="X21" s="326">
        <f>100*INDEX(stats!$D:$D,MATCH(_xlfn.CONCAT(X$19,$S21),stats!$A:$A,0))</f>
        <v>37.868560000000002</v>
      </c>
      <c r="Z21" s="336"/>
    </row>
    <row r="22">
      <c r="F22" s="116"/>
      <c r="G22" s="116"/>
      <c r="H22" s="34" t="s">
        <v>79</v>
      </c>
      <c r="I22" s="236">
        <f t="shared" si="6"/>
        <v>0.37751059579620971</v>
      </c>
      <c r="J22" s="236">
        <f t="shared" si="6"/>
        <v>0.2463869439721833</v>
      </c>
      <c r="K22" s="235"/>
      <c r="L22" s="236">
        <f t="shared" si="7"/>
        <v>0.21848722731719761</v>
      </c>
      <c r="M22" s="236">
        <f t="shared" si="7"/>
        <v>0.44442231170170743</v>
      </c>
      <c r="N22" s="236"/>
      <c r="Q22" s="203"/>
      <c r="R22" s="203"/>
      <c r="S22" s="34"/>
      <c r="T22" s="242">
        <f>+T2-T20</f>
        <v>0.37751059579620971</v>
      </c>
      <c r="U22" s="242">
        <f>+U2-U20</f>
        <v>0.2463869439721833</v>
      </c>
      <c r="V22" s="326"/>
      <c r="W22" s="242">
        <f>+W2-W20</f>
        <v>0.21848722731719761</v>
      </c>
      <c r="X22" s="242">
        <f>+X2-X20</f>
        <v>0.44442231170170743</v>
      </c>
      <c r="Z22" s="336"/>
      <c r="AB22" s="324"/>
      <c r="AC22" s="324"/>
      <c r="AE22" s="332"/>
      <c r="AF22" s="322"/>
    </row>
    <row r="23" ht="15.75">
      <c r="F23" s="116"/>
      <c r="G23" s="116"/>
      <c r="H23" s="34" t="s">
        <v>80</v>
      </c>
      <c r="I23" s="236">
        <f t="shared" si="6"/>
        <v>-0.16855999999999938</v>
      </c>
      <c r="J23" s="236">
        <f t="shared" si="6"/>
        <v>-6.0199999999994702E-3</v>
      </c>
      <c r="K23" s="235"/>
      <c r="L23" s="236">
        <f t="shared" si="7"/>
        <v>-0.14198999999999984</v>
      </c>
      <c r="M23" s="236">
        <f t="shared" si="7"/>
        <v>-1.7490000000002226E-2</v>
      </c>
      <c r="N23" s="236"/>
      <c r="Q23" s="204"/>
      <c r="R23" s="204"/>
      <c r="S23" s="34"/>
      <c r="T23" s="242">
        <f>+T3-T21</f>
        <v>-0.16855999999999938</v>
      </c>
      <c r="U23" s="242">
        <f>+U3-U21</f>
        <v>-6.0199999999994702E-3</v>
      </c>
      <c r="V23" s="326"/>
      <c r="W23" s="334">
        <f>+W3-W21</f>
        <v>-0.14198999999999984</v>
      </c>
      <c r="X23" s="242">
        <f>+X3-X21</f>
        <v>-1.7490000000002226E-2</v>
      </c>
      <c r="Z23" s="336"/>
      <c r="AB23" s="325"/>
      <c r="AC23" s="325"/>
      <c r="AE23" s="333"/>
      <c r="AF23" s="333"/>
    </row>
    <row r="24">
      <c r="H24" s="34" t="s">
        <v>77</v>
      </c>
      <c r="I24" s="237">
        <f t="shared" si="6"/>
        <v>110.3030479364328</v>
      </c>
      <c r="J24" s="237">
        <f t="shared" si="6"/>
        <v>24.773360336678639</v>
      </c>
      <c r="K24" s="207"/>
      <c r="L24" s="237">
        <f t="shared" si="7"/>
        <v>81.374956747151003</v>
      </c>
      <c r="M24" s="237">
        <f t="shared" si="7"/>
        <v>75.8398875900468</v>
      </c>
      <c r="N24" s="237"/>
      <c r="S24" s="28" t="s">
        <v>281</v>
      </c>
      <c r="T24" s="328">
        <f>INDEX(stats!$D:$D,MATCH(_xlfn.CONCAT(T18,$S24),stats!$A:$A,0))/1000000000</f>
        <v>110.3030479364328</v>
      </c>
      <c r="U24" s="328">
        <f>INDEX(stats!$D:$D,MATCH(_xlfn.CONCAT(U18,$S24),stats!$A:$A,0))/1000000000</f>
        <v>24.773360336678639</v>
      </c>
      <c r="V24" s="328"/>
      <c r="W24" s="328">
        <f>INDEX(stats!$D:$D,MATCH(_xlfn.CONCAT(W18,$S24),stats!$A:$A,0))/1000000000</f>
        <v>81.374956747151003</v>
      </c>
      <c r="X24" s="328">
        <f>INDEX(stats!$D:$D,MATCH(_xlfn.CONCAT(X18,$S24),stats!$A:$A,0))/1000000000</f>
        <v>75.8398875900468</v>
      </c>
      <c r="AA24" s="28"/>
      <c r="AB24" s="326"/>
      <c r="AC24" s="326"/>
      <c r="AE24" s="326"/>
      <c r="AF24" s="326"/>
    </row>
    <row r="25">
      <c r="H25" s="35" t="s">
        <v>78</v>
      </c>
      <c r="I25" s="238">
        <f t="shared" si="6"/>
        <v>0.72003467518346542</v>
      </c>
      <c r="J25" s="238">
        <f t="shared" si="6"/>
        <v>0.16171519098459664</v>
      </c>
      <c r="K25" s="208"/>
      <c r="L25" s="238">
        <f t="shared" si="7"/>
        <v>0.53119829094178983</v>
      </c>
      <c r="M25" s="238">
        <f t="shared" si="7"/>
        <v>0.49506654483672902</v>
      </c>
      <c r="N25" s="237"/>
      <c r="S25" s="341">
        <v>15319.13</v>
      </c>
      <c r="T25" s="329">
        <f>100*(T24/$S25)</f>
        <v>0.72003467518346542</v>
      </c>
      <c r="U25" s="329">
        <f>100*(U24/$S25)</f>
        <v>0.16171519098459664</v>
      </c>
      <c r="V25" s="329"/>
      <c r="W25" s="329">
        <f>100*(W24/$S25)</f>
        <v>0.53119829094178983</v>
      </c>
      <c r="X25" s="329">
        <f>100*(X24/$S25)</f>
        <v>0.49506654483672902</v>
      </c>
      <c r="AA25" s="28"/>
      <c r="AB25" s="326"/>
      <c r="AC25" s="326"/>
      <c r="AE25" s="326"/>
      <c r="AF25" s="326"/>
    </row>
    <row r="26">
      <c r="AA26" s="34"/>
      <c r="AB26" s="323"/>
      <c r="AC26" s="323"/>
      <c r="AD26" s="31"/>
      <c r="AE26" s="327"/>
      <c r="AF26" s="327"/>
    </row>
    <row r="27">
      <c r="AA27" s="34"/>
      <c r="AB27" s="323"/>
      <c r="AC27" s="323"/>
      <c r="AD27" s="31"/>
      <c r="AE27" s="334"/>
      <c r="AF27" s="242"/>
    </row>
    <row r="28">
      <c r="I28" t="s">
        <v>287</v>
      </c>
      <c r="AA28" s="28"/>
      <c r="AB28" s="330"/>
      <c r="AC28" s="331"/>
      <c r="AD28" s="29"/>
      <c r="AE28" s="328"/>
      <c r="AF28" s="328"/>
    </row>
    <row r="29" ht="15.75">
      <c r="H29" t="s">
        <v>290</v>
      </c>
      <c r="I29" t="s">
        <v>286</v>
      </c>
      <c r="AA29" s="317"/>
      <c r="AB29" s="326"/>
      <c r="AC29" s="326"/>
      <c r="AD29" s="30"/>
      <c r="AE29" s="329"/>
      <c r="AF29" s="329"/>
    </row>
    <row r="30">
      <c r="AA30" s="318"/>
      <c r="AB30" s="330"/>
    </row>
    <row r="31">
      <c r="I31" t="s">
        <v>288</v>
      </c>
    </row>
    <row r="32">
      <c r="H32" t="s">
        <v>290</v>
      </c>
      <c r="I32" t="s">
        <v>289</v>
      </c>
    </row>
  </sheetData>
  <mergeCells count="5">
    <mergeCell ref="I5:J5"/>
    <mergeCell ref="L5:M5"/>
    <mergeCell ref="I18:J18"/>
    <mergeCell ref="L18:M18"/>
    <mergeCell ref="O5:Q5"/>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true"/>
  <dimension ref="A1:H834"/>
  <sheetViews>
    <sheetView workbookViewId="0">
      <selection activeCell="A20" sqref="A20"/>
    </sheetView>
  </sheetViews>
  <sheetFormatPr defaultColWidth="8.85546875" defaultRowHeight="15"/>
  <cols>
    <col min="1" max="1" width="47.140625" customWidth="true"/>
    <col min="4" max="4" width="16.42578125" customWidth="true"/>
    <col min="6" max="6" width="35" customWidth="true"/>
  </cols>
  <sheetData>
    <row r="1">
      <c r="A1" t="s">
        <v>305</v>
      </c>
      <c r="B1" t="s">
        <v>1070</v>
      </c>
      <c r="C1" t="s">
        <v>1071</v>
      </c>
      <c r="D1" t="s">
        <v>1083</v>
      </c>
      <c r="E1" t="s">
        <v>1084</v>
      </c>
      <c r="F1" t="s">
        <v>1085</v>
      </c>
      <c r="G1" t="s">
        <v>1109</v>
      </c>
      <c r="H1" t="s">
        <v>1110</v>
      </c>
    </row>
    <row r="2">
      <c r="A2" t="s">
        <v>306</v>
      </c>
      <c r="B2" s="1">
        <v>1</v>
      </c>
      <c r="C2" t="s">
        <v>1074</v>
      </c>
      <c r="D2" s="1">
        <v>231369.0787963867</v>
      </c>
      <c r="E2" s="1">
        <v>1716646.722167969</v>
      </c>
      <c r="F2" t="s">
        <v>1086</v>
      </c>
      <c r="G2" s="1"/>
      <c r="H2" t="s">
        <v>1111</v>
      </c>
    </row>
    <row r="3">
      <c r="A3" t="s">
        <v>307</v>
      </c>
      <c r="B3" s="1">
        <v>1</v>
      </c>
      <c r="C3" t="s">
        <v>1075</v>
      </c>
      <c r="D3" s="1">
        <v>675029237.9353248</v>
      </c>
      <c r="E3" s="1">
        <v>1716646.722167969</v>
      </c>
      <c r="F3" t="s">
        <v>1086</v>
      </c>
      <c r="G3" s="1"/>
      <c r="H3" t="s">
        <v>1111</v>
      </c>
    </row>
    <row r="4">
      <c r="A4" t="s">
        <v>308</v>
      </c>
      <c r="B4" s="1">
        <v>1</v>
      </c>
      <c r="C4" t="s">
        <v>1076</v>
      </c>
      <c r="D4" s="1">
        <v>0.134779670044276</v>
      </c>
      <c r="E4" s="1">
        <v>1716646.722167969</v>
      </c>
      <c r="F4" t="s">
        <v>1086</v>
      </c>
      <c r="G4" s="1"/>
      <c r="H4" t="s">
        <v>1111</v>
      </c>
    </row>
    <row r="5">
      <c r="A5" t="s">
        <v>309</v>
      </c>
      <c r="B5" s="1">
        <v>1</v>
      </c>
      <c r="C5" t="s">
        <v>1077</v>
      </c>
      <c r="D5" s="1">
        <v>393.2254838565877</v>
      </c>
      <c r="E5" s="1">
        <v>1716646.722167969</v>
      </c>
      <c r="F5" t="s">
        <v>1086</v>
      </c>
      <c r="G5" s="1"/>
      <c r="H5" t="s">
        <v>1111</v>
      </c>
    </row>
    <row r="6">
      <c r="A6" t="s">
        <v>346</v>
      </c>
      <c r="B6" s="1">
        <v>1</v>
      </c>
      <c r="C6" t="s">
        <v>1074</v>
      </c>
      <c r="D6" s="1">
        <v>1716646.722167969</v>
      </c>
      <c r="E6" s="1">
        <v>1716646.722167969</v>
      </c>
      <c r="F6" t="s">
        <v>1096</v>
      </c>
      <c r="G6" s="1"/>
      <c r="H6" t="s">
        <v>1111</v>
      </c>
    </row>
    <row r="7">
      <c r="A7" t="s">
        <v>347</v>
      </c>
      <c r="B7" s="1">
        <v>1</v>
      </c>
      <c r="C7" t="s">
        <v>1075</v>
      </c>
      <c r="D7" s="1">
        <v>3571096159.970656</v>
      </c>
      <c r="E7" s="1">
        <v>1716646.722167969</v>
      </c>
      <c r="F7" t="s">
        <v>1096</v>
      </c>
      <c r="G7" s="1"/>
      <c r="H7" t="s">
        <v>1111</v>
      </c>
    </row>
    <row r="8">
      <c r="A8" t="s">
        <v>348</v>
      </c>
      <c r="B8" s="1">
        <v>1</v>
      </c>
      <c r="C8" t="s">
        <v>1076</v>
      </c>
      <c r="D8" s="1">
        <v>1</v>
      </c>
      <c r="E8" s="1">
        <v>1716646.722167969</v>
      </c>
      <c r="F8" t="s">
        <v>1096</v>
      </c>
      <c r="G8" s="1"/>
      <c r="H8" t="s">
        <v>1111</v>
      </c>
    </row>
    <row r="9">
      <c r="A9" t="s">
        <v>349</v>
      </c>
      <c r="B9" s="1">
        <v>1</v>
      </c>
      <c r="C9" t="s">
        <v>1077</v>
      </c>
      <c r="D9" s="1">
        <v>2080.274359223245</v>
      </c>
      <c r="E9" s="1">
        <v>1716646.722167969</v>
      </c>
      <c r="F9" t="s">
        <v>1096</v>
      </c>
      <c r="G9" s="1"/>
      <c r="H9" t="s">
        <v>1111</v>
      </c>
    </row>
    <row r="10">
      <c r="A10" t="s">
        <v>310</v>
      </c>
      <c r="B10" s="1">
        <v>1</v>
      </c>
      <c r="C10" t="s">
        <v>1074</v>
      </c>
      <c r="D10" s="1">
        <v>240333.5452270508</v>
      </c>
      <c r="E10" s="1">
        <v>1716646.722167969</v>
      </c>
      <c r="F10" t="s">
        <v>1087</v>
      </c>
      <c r="G10" s="1"/>
      <c r="H10" t="s">
        <v>1111</v>
      </c>
    </row>
    <row r="11">
      <c r="A11" t="s">
        <v>311</v>
      </c>
      <c r="B11" s="1">
        <v>1</v>
      </c>
      <c r="C11" t="s">
        <v>1075</v>
      </c>
      <c r="D11" s="1">
        <v>334632663.7599869</v>
      </c>
      <c r="E11" s="1">
        <v>1716646.722167969</v>
      </c>
      <c r="F11" t="s">
        <v>1087</v>
      </c>
      <c r="G11" s="1"/>
      <c r="H11" t="s">
        <v>1111</v>
      </c>
    </row>
    <row r="12">
      <c r="A12" t="s">
        <v>312</v>
      </c>
      <c r="B12" s="1">
        <v>1</v>
      </c>
      <c r="C12" t="s">
        <v>1076</v>
      </c>
      <c r="D12" s="1">
        <v>0.1400017499952066</v>
      </c>
      <c r="E12" s="1">
        <v>1716646.722167969</v>
      </c>
      <c r="F12" t="s">
        <v>1087</v>
      </c>
      <c r="G12" s="1"/>
      <c r="H12" t="s">
        <v>1111</v>
      </c>
    </row>
    <row r="13">
      <c r="A13" t="s">
        <v>313</v>
      </c>
      <c r="B13" s="1">
        <v>1</v>
      </c>
      <c r="C13" t="s">
        <v>1077</v>
      </c>
      <c r="D13" s="1">
        <v>194.9339135645663</v>
      </c>
      <c r="E13" s="1">
        <v>1716646.722167969</v>
      </c>
      <c r="F13" t="s">
        <v>1087</v>
      </c>
      <c r="G13" s="1"/>
      <c r="H13" t="s">
        <v>1111</v>
      </c>
    </row>
    <row r="14">
      <c r="A14" t="s">
        <v>314</v>
      </c>
      <c r="B14" s="1">
        <v>1</v>
      </c>
      <c r="C14" t="s">
        <v>1074</v>
      </c>
      <c r="D14" s="1">
        <v>1716646.722167969</v>
      </c>
      <c r="E14" s="1">
        <v>1716646.722167969</v>
      </c>
      <c r="F14" t="s">
        <v>1088</v>
      </c>
      <c r="G14" s="1"/>
      <c r="H14" t="s">
        <v>1111</v>
      </c>
    </row>
    <row r="15">
      <c r="A15" t="s">
        <v>315</v>
      </c>
      <c r="B15" s="1">
        <v>1</v>
      </c>
      <c r="C15" t="s">
        <v>1075</v>
      </c>
      <c r="D15" s="1">
        <v>3905728823.730643</v>
      </c>
      <c r="E15" s="1">
        <v>1716646.722167969</v>
      </c>
      <c r="F15" t="s">
        <v>1088</v>
      </c>
      <c r="G15" s="1"/>
      <c r="H15" t="s">
        <v>1111</v>
      </c>
    </row>
    <row r="16">
      <c r="A16" t="s">
        <v>316</v>
      </c>
      <c r="B16" s="1">
        <v>1</v>
      </c>
      <c r="C16" t="s">
        <v>1076</v>
      </c>
      <c r="D16" s="1">
        <v>1</v>
      </c>
      <c r="E16" s="1">
        <v>1716646.722167969</v>
      </c>
      <c r="F16" t="s">
        <v>1088</v>
      </c>
      <c r="G16" s="1"/>
      <c r="H16" t="s">
        <v>1111</v>
      </c>
    </row>
    <row r="17">
      <c r="A17" t="s">
        <v>317</v>
      </c>
      <c r="B17" s="1">
        <v>1</v>
      </c>
      <c r="C17" t="s">
        <v>1077</v>
      </c>
      <c r="D17" s="1">
        <v>2275.208272787812</v>
      </c>
      <c r="E17" s="1">
        <v>1716646.722167969</v>
      </c>
      <c r="F17" t="s">
        <v>1088</v>
      </c>
      <c r="G17" s="1"/>
      <c r="H17" t="s">
        <v>1111</v>
      </c>
    </row>
    <row r="18">
      <c r="A18" t="s">
        <v>318</v>
      </c>
      <c r="B18" s="1">
        <v>1</v>
      </c>
      <c r="C18" t="s">
        <v>1074</v>
      </c>
      <c r="D18" s="1">
        <v>1716646.722167969</v>
      </c>
      <c r="E18" s="1">
        <v>1716646.722167969</v>
      </c>
      <c r="F18" t="s">
        <v>1089</v>
      </c>
      <c r="G18" s="1"/>
      <c r="H18" t="s">
        <v>1111</v>
      </c>
    </row>
    <row r="19">
      <c r="A19" t="s">
        <v>319</v>
      </c>
      <c r="B19" s="1">
        <v>1</v>
      </c>
      <c r="C19" t="s">
        <v>1075</v>
      </c>
      <c r="D19" s="1">
        <v>1787659165.206578</v>
      </c>
      <c r="E19" s="1">
        <v>1716646.722167969</v>
      </c>
      <c r="F19" t="s">
        <v>1089</v>
      </c>
      <c r="G19" s="1"/>
      <c r="H19" t="s">
        <v>1111</v>
      </c>
    </row>
    <row r="20">
      <c r="A20" t="s">
        <v>320</v>
      </c>
      <c r="B20" s="1">
        <v>1</v>
      </c>
      <c r="C20" t="s">
        <v>1076</v>
      </c>
      <c r="D20" s="1">
        <v>1</v>
      </c>
      <c r="E20" s="1">
        <v>1716646.722167969</v>
      </c>
      <c r="F20" t="s">
        <v>1089</v>
      </c>
      <c r="G20" s="1"/>
      <c r="H20" t="s">
        <v>1111</v>
      </c>
    </row>
    <row r="21">
      <c r="A21" t="s">
        <v>321</v>
      </c>
      <c r="B21" s="1">
        <v>1</v>
      </c>
      <c r="C21" t="s">
        <v>1077</v>
      </c>
      <c r="D21" s="1">
        <v>1041.366952280622</v>
      </c>
      <c r="E21" s="1">
        <v>1716646.722167969</v>
      </c>
      <c r="F21" t="s">
        <v>1089</v>
      </c>
      <c r="G21" s="1"/>
      <c r="H21" t="s">
        <v>1111</v>
      </c>
    </row>
    <row r="22">
      <c r="A22" t="s">
        <v>322</v>
      </c>
      <c r="B22" s="1">
        <v>1</v>
      </c>
      <c r="C22" t="s">
        <v>1074</v>
      </c>
      <c r="D22" s="1">
        <v>1716646.722167969</v>
      </c>
      <c r="E22" s="1">
        <v>1716646.722167969</v>
      </c>
      <c r="F22" t="s">
        <v>1090</v>
      </c>
      <c r="G22" s="1"/>
      <c r="H22" t="s">
        <v>1111</v>
      </c>
    </row>
    <row r="23">
      <c r="A23" t="s">
        <v>323</v>
      </c>
      <c r="B23" s="1">
        <v>1</v>
      </c>
      <c r="C23" t="s">
        <v>1075</v>
      </c>
      <c r="D23" s="1">
        <v>2462688403.141902</v>
      </c>
      <c r="E23" s="1">
        <v>1716646.722167969</v>
      </c>
      <c r="F23" t="s">
        <v>1090</v>
      </c>
      <c r="G23" s="1"/>
      <c r="H23" t="s">
        <v>1111</v>
      </c>
    </row>
    <row r="24">
      <c r="A24" t="s">
        <v>324</v>
      </c>
      <c r="B24" s="1">
        <v>1</v>
      </c>
      <c r="C24" t="s">
        <v>1076</v>
      </c>
      <c r="D24" s="1">
        <v>1</v>
      </c>
      <c r="E24" s="1">
        <v>1716646.722167969</v>
      </c>
      <c r="F24" t="s">
        <v>1090</v>
      </c>
      <c r="G24" s="1"/>
      <c r="H24" t="s">
        <v>1111</v>
      </c>
    </row>
    <row r="25">
      <c r="A25" t="s">
        <v>325</v>
      </c>
      <c r="B25" s="1">
        <v>1</v>
      </c>
      <c r="C25" t="s">
        <v>1077</v>
      </c>
      <c r="D25" s="1">
        <v>1434.59243613721</v>
      </c>
      <c r="E25" s="1">
        <v>1716646.722167969</v>
      </c>
      <c r="F25" t="s">
        <v>1090</v>
      </c>
      <c r="G25" s="1"/>
      <c r="H25" t="s">
        <v>1111</v>
      </c>
    </row>
    <row r="26">
      <c r="A26" t="s">
        <v>326</v>
      </c>
      <c r="B26" s="1">
        <v>1</v>
      </c>
      <c r="C26" t="s">
        <v>1074</v>
      </c>
      <c r="D26" s="1">
        <v>284764.5217285156</v>
      </c>
      <c r="E26" s="1">
        <v>1716646.722167969</v>
      </c>
      <c r="F26" t="s">
        <v>1091</v>
      </c>
      <c r="G26" s="1"/>
      <c r="H26" t="s">
        <v>1111</v>
      </c>
    </row>
    <row r="27">
      <c r="A27" t="s">
        <v>327</v>
      </c>
      <c r="B27" s="1">
        <v>1</v>
      </c>
      <c r="C27" t="s">
        <v>1075</v>
      </c>
      <c r="D27" s="1">
        <v>847946176.613928</v>
      </c>
      <c r="E27" s="1">
        <v>1716646.722167969</v>
      </c>
      <c r="F27" t="s">
        <v>1091</v>
      </c>
      <c r="G27" s="1"/>
      <c r="H27" t="s">
        <v>1111</v>
      </c>
    </row>
    <row r="28">
      <c r="A28" t="s">
        <v>328</v>
      </c>
      <c r="B28" s="1">
        <v>1</v>
      </c>
      <c r="C28" t="s">
        <v>1076</v>
      </c>
      <c r="D28" s="1">
        <v>0.1658841729350602</v>
      </c>
      <c r="E28" s="1">
        <v>1716646.722167969</v>
      </c>
      <c r="F28" t="s">
        <v>1091</v>
      </c>
      <c r="G28" s="1"/>
      <c r="H28" t="s">
        <v>1111</v>
      </c>
    </row>
    <row r="29">
      <c r="A29" t="s">
        <v>329</v>
      </c>
      <c r="B29" s="1">
        <v>1</v>
      </c>
      <c r="C29" t="s">
        <v>1077</v>
      </c>
      <c r="D29" s="1">
        <v>493.9549679406658</v>
      </c>
      <c r="E29" s="1">
        <v>1716646.722167969</v>
      </c>
      <c r="F29" t="s">
        <v>1091</v>
      </c>
      <c r="G29" s="1"/>
      <c r="H29" t="s">
        <v>1111</v>
      </c>
    </row>
    <row r="30">
      <c r="A30" t="s">
        <v>330</v>
      </c>
      <c r="B30" s="1">
        <v>1</v>
      </c>
      <c r="C30" t="s">
        <v>1074</v>
      </c>
      <c r="D30" s="1">
        <v>1716646.722167969</v>
      </c>
      <c r="E30" s="1">
        <v>1716646.722167969</v>
      </c>
      <c r="F30" t="s">
        <v>1092</v>
      </c>
      <c r="G30" s="1"/>
      <c r="H30" t="s">
        <v>1111</v>
      </c>
    </row>
    <row r="31">
      <c r="A31" t="s">
        <v>331</v>
      </c>
      <c r="B31" s="1">
        <v>1</v>
      </c>
      <c r="C31" t="s">
        <v>1075</v>
      </c>
      <c r="D31" s="1">
        <v>595094243.9748125</v>
      </c>
      <c r="E31" s="1">
        <v>1716646.722167969</v>
      </c>
      <c r="F31" t="s">
        <v>1092</v>
      </c>
      <c r="G31" s="1"/>
      <c r="H31" t="s">
        <v>1111</v>
      </c>
    </row>
    <row r="32">
      <c r="A32" t="s">
        <v>332</v>
      </c>
      <c r="B32" s="1">
        <v>1</v>
      </c>
      <c r="C32" t="s">
        <v>1076</v>
      </c>
      <c r="D32" s="1">
        <v>1</v>
      </c>
      <c r="E32" s="1">
        <v>1716646.722167969</v>
      </c>
      <c r="F32" t="s">
        <v>1092</v>
      </c>
      <c r="G32" s="1"/>
      <c r="H32" t="s">
        <v>1111</v>
      </c>
    </row>
    <row r="33">
      <c r="A33" t="s">
        <v>333</v>
      </c>
      <c r="B33" s="1">
        <v>1</v>
      </c>
      <c r="C33" t="s">
        <v>1077</v>
      </c>
      <c r="D33" s="1">
        <v>346.6608687099362</v>
      </c>
      <c r="E33" s="1">
        <v>1716646.722167969</v>
      </c>
      <c r="F33" t="s">
        <v>1092</v>
      </c>
      <c r="G33" s="1"/>
      <c r="H33" t="s">
        <v>1111</v>
      </c>
    </row>
    <row r="34">
      <c r="A34" t="s">
        <v>334</v>
      </c>
      <c r="B34" s="1">
        <v>1</v>
      </c>
      <c r="C34" t="s">
        <v>1074</v>
      </c>
      <c r="D34" s="1">
        <v>1716646.722167969</v>
      </c>
      <c r="E34" s="1">
        <v>1716646.722167969</v>
      </c>
      <c r="F34" t="s">
        <v>1093</v>
      </c>
      <c r="G34" s="1"/>
      <c r="H34" t="s">
        <v>1111</v>
      </c>
    </row>
    <row r="35">
      <c r="A35" t="s">
        <v>335</v>
      </c>
      <c r="B35" s="1">
        <v>1</v>
      </c>
      <c r="C35" t="s">
        <v>1075</v>
      </c>
      <c r="D35" s="1">
        <v>1443040420.588741</v>
      </c>
      <c r="E35" s="1">
        <v>1716646.722167969</v>
      </c>
      <c r="F35" t="s">
        <v>1093</v>
      </c>
      <c r="G35" s="1"/>
      <c r="H35" t="s">
        <v>1111</v>
      </c>
    </row>
    <row r="36">
      <c r="A36" t="s">
        <v>336</v>
      </c>
      <c r="B36" s="1">
        <v>1</v>
      </c>
      <c r="C36" t="s">
        <v>1076</v>
      </c>
      <c r="D36" s="1">
        <v>1</v>
      </c>
      <c r="E36" s="1">
        <v>1716646.722167969</v>
      </c>
      <c r="F36" t="s">
        <v>1093</v>
      </c>
      <c r="G36" s="1"/>
      <c r="H36" t="s">
        <v>1111</v>
      </c>
    </row>
    <row r="37">
      <c r="A37" t="s">
        <v>337</v>
      </c>
      <c r="B37" s="1">
        <v>1</v>
      </c>
      <c r="C37" t="s">
        <v>1077</v>
      </c>
      <c r="D37" s="1">
        <v>840.615836650602</v>
      </c>
      <c r="E37" s="1">
        <v>1716646.722167969</v>
      </c>
      <c r="F37" t="s">
        <v>1093</v>
      </c>
      <c r="G37" s="1"/>
      <c r="H37" t="s">
        <v>1111</v>
      </c>
    </row>
    <row r="38">
      <c r="A38" t="s">
        <v>1124</v>
      </c>
      <c r="B38" s="1">
        <v>1</v>
      </c>
      <c r="C38" t="s">
        <v>1074</v>
      </c>
      <c r="D38" s="1">
        <v>284764.5217285156</v>
      </c>
      <c r="E38" s="1">
        <v>1716646.722167969</v>
      </c>
      <c r="F38" t="s">
        <v>1193</v>
      </c>
      <c r="G38" s="1"/>
      <c r="H38" t="s">
        <v>1111</v>
      </c>
    </row>
    <row r="39">
      <c r="A39" t="s">
        <v>1125</v>
      </c>
      <c r="B39" s="1">
        <v>1</v>
      </c>
      <c r="C39" t="s">
        <v>1075</v>
      </c>
      <c r="D39" s="1">
        <v>2055226995.564199</v>
      </c>
      <c r="E39" s="1">
        <v>1716646.722167969</v>
      </c>
      <c r="F39" t="s">
        <v>1193</v>
      </c>
      <c r="G39" s="1"/>
      <c r="H39" t="s">
        <v>1111</v>
      </c>
    </row>
    <row r="40">
      <c r="A40" t="s">
        <v>1126</v>
      </c>
      <c r="B40" s="1">
        <v>1</v>
      </c>
      <c r="C40" t="s">
        <v>1076</v>
      </c>
      <c r="D40" s="1">
        <v>0.1658841729350602</v>
      </c>
      <c r="E40" s="1">
        <v>1716646.722167969</v>
      </c>
      <c r="F40" t="s">
        <v>1193</v>
      </c>
      <c r="G40" s="1"/>
      <c r="H40" t="s">
        <v>1111</v>
      </c>
    </row>
    <row r="41">
      <c r="A41" t="s">
        <v>1127</v>
      </c>
      <c r="B41" s="1">
        <v>1</v>
      </c>
      <c r="C41" t="s">
        <v>1077</v>
      </c>
      <c r="D41" s="1">
        <v>1197.233518710614</v>
      </c>
      <c r="E41" s="1">
        <v>1716646.722167969</v>
      </c>
      <c r="F41" t="s">
        <v>1193</v>
      </c>
      <c r="G41" s="1"/>
      <c r="H41" t="s">
        <v>1111</v>
      </c>
    </row>
    <row r="42">
      <c r="A42" t="s">
        <v>338</v>
      </c>
      <c r="B42" s="1">
        <v>1</v>
      </c>
      <c r="C42" t="s">
        <v>1074</v>
      </c>
      <c r="D42" s="1">
        <v>8964.466430664063</v>
      </c>
      <c r="E42" s="1">
        <v>1716646.722167969</v>
      </c>
      <c r="F42" t="s">
        <v>1094</v>
      </c>
      <c r="G42" s="1"/>
      <c r="H42" t="s">
        <v>1111</v>
      </c>
    </row>
    <row r="43">
      <c r="A43" t="s">
        <v>339</v>
      </c>
      <c r="B43" s="1">
        <v>1</v>
      </c>
      <c r="C43" t="s">
        <v>1075</v>
      </c>
      <c r="D43" s="1">
        <v>3599176.678695953</v>
      </c>
      <c r="E43" s="1">
        <v>1716646.722167969</v>
      </c>
      <c r="F43" t="s">
        <v>1094</v>
      </c>
      <c r="G43" s="1"/>
      <c r="H43" t="s">
        <v>1111</v>
      </c>
    </row>
    <row r="44">
      <c r="A44" t="s">
        <v>340</v>
      </c>
      <c r="B44" s="1">
        <v>1</v>
      </c>
      <c r="C44" t="s">
        <v>1076</v>
      </c>
      <c r="D44" s="1">
        <v>0.005222079950930589</v>
      </c>
      <c r="E44" s="1">
        <v>1716646.722167969</v>
      </c>
      <c r="F44" t="s">
        <v>1094</v>
      </c>
      <c r="G44" s="1"/>
      <c r="H44" t="s">
        <v>1111</v>
      </c>
    </row>
    <row r="45">
      <c r="A45" t="s">
        <v>341</v>
      </c>
      <c r="B45" s="1">
        <v>1</v>
      </c>
      <c r="C45" t="s">
        <v>1077</v>
      </c>
      <c r="D45" s="1">
        <v>2.096632132993864</v>
      </c>
      <c r="E45" s="1">
        <v>1716646.722167969</v>
      </c>
      <c r="F45" t="s">
        <v>1094</v>
      </c>
      <c r="G45" s="1"/>
      <c r="H45" t="s">
        <v>1111</v>
      </c>
    </row>
    <row r="46">
      <c r="A46" t="s">
        <v>342</v>
      </c>
      <c r="B46" s="1">
        <v>1</v>
      </c>
      <c r="C46" t="s">
        <v>1074</v>
      </c>
      <c r="D46" s="1">
        <v>231369.0787963867</v>
      </c>
      <c r="E46" s="1">
        <v>1716646.722167969</v>
      </c>
      <c r="F46" t="s">
        <v>1095</v>
      </c>
      <c r="G46" s="1"/>
      <c r="H46" t="s">
        <v>1111</v>
      </c>
    </row>
    <row r="47">
      <c r="A47" t="s">
        <v>343</v>
      </c>
      <c r="B47" s="1">
        <v>1</v>
      </c>
      <c r="C47" t="s">
        <v>1075</v>
      </c>
      <c r="D47" s="1">
        <v>331033487.081291</v>
      </c>
      <c r="E47" s="1">
        <v>1716646.722167969</v>
      </c>
      <c r="F47" t="s">
        <v>1095</v>
      </c>
      <c r="G47" s="1"/>
      <c r="H47" t="s">
        <v>1111</v>
      </c>
    </row>
    <row r="48">
      <c r="A48" t="s">
        <v>344</v>
      </c>
      <c r="B48" s="1">
        <v>1</v>
      </c>
      <c r="C48" t="s">
        <v>1076</v>
      </c>
      <c r="D48" s="1">
        <v>0.134779670044276</v>
      </c>
      <c r="E48" s="1">
        <v>1716646.722167969</v>
      </c>
      <c r="F48" t="s">
        <v>1095</v>
      </c>
      <c r="G48" s="1"/>
      <c r="H48" t="s">
        <v>1111</v>
      </c>
    </row>
    <row r="49">
      <c r="A49" t="s">
        <v>345</v>
      </c>
      <c r="B49" s="1">
        <v>1</v>
      </c>
      <c r="C49" t="s">
        <v>1077</v>
      </c>
      <c r="D49" s="1">
        <v>192.8372814315724</v>
      </c>
      <c r="E49" s="1">
        <v>1716646.722167969</v>
      </c>
      <c r="F49" t="s">
        <v>1095</v>
      </c>
      <c r="G49" s="1"/>
      <c r="H49" t="s">
        <v>1111</v>
      </c>
    </row>
    <row r="50">
      <c r="A50" t="s">
        <v>350</v>
      </c>
      <c r="B50" s="1">
        <v>2</v>
      </c>
      <c r="C50" t="s">
        <v>1074</v>
      </c>
      <c r="D50" s="1">
        <v>370422.0978088379</v>
      </c>
      <c r="E50" s="1">
        <v>1733937.812744141</v>
      </c>
      <c r="F50" t="s">
        <v>1086</v>
      </c>
      <c r="G50" s="1"/>
      <c r="H50" t="s">
        <v>1111</v>
      </c>
    </row>
    <row r="51">
      <c r="A51" t="s">
        <v>351</v>
      </c>
      <c r="B51" s="1">
        <v>2</v>
      </c>
      <c r="C51" t="s">
        <v>1075</v>
      </c>
      <c r="D51" s="1">
        <v>1557235959.658657</v>
      </c>
      <c r="E51" s="1">
        <v>1733937.812744141</v>
      </c>
      <c r="F51" t="s">
        <v>1086</v>
      </c>
      <c r="G51" s="1"/>
      <c r="H51" t="s">
        <v>1111</v>
      </c>
    </row>
    <row r="52">
      <c r="A52" t="s">
        <v>352</v>
      </c>
      <c r="B52" s="1">
        <v>2</v>
      </c>
      <c r="C52" t="s">
        <v>1076</v>
      </c>
      <c r="D52" s="1">
        <v>0.2136305553095965</v>
      </c>
      <c r="E52" s="1">
        <v>1733937.812744141</v>
      </c>
      <c r="F52" t="s">
        <v>1086</v>
      </c>
      <c r="G52" s="1"/>
      <c r="H52" t="s">
        <v>1111</v>
      </c>
    </row>
    <row r="53">
      <c r="A53" t="s">
        <v>353</v>
      </c>
      <c r="B53" s="1">
        <v>2</v>
      </c>
      <c r="C53" t="s">
        <v>1077</v>
      </c>
      <c r="D53" s="1">
        <v>898.0921623677872</v>
      </c>
      <c r="E53" s="1">
        <v>1733937.812744141</v>
      </c>
      <c r="F53" t="s">
        <v>1086</v>
      </c>
      <c r="G53" s="1"/>
      <c r="H53" t="s">
        <v>1111</v>
      </c>
    </row>
    <row r="54">
      <c r="A54" t="s">
        <v>390</v>
      </c>
      <c r="B54" s="1">
        <v>2</v>
      </c>
      <c r="C54" t="s">
        <v>1074</v>
      </c>
      <c r="D54" s="1">
        <v>1733937.812744141</v>
      </c>
      <c r="E54" s="1">
        <v>1733937.812744141</v>
      </c>
      <c r="F54" t="s">
        <v>1096</v>
      </c>
      <c r="G54" s="1"/>
      <c r="H54" t="s">
        <v>1111</v>
      </c>
    </row>
    <row r="55">
      <c r="A55" t="s">
        <v>391</v>
      </c>
      <c r="B55" s="1">
        <v>2</v>
      </c>
      <c r="C55" t="s">
        <v>1075</v>
      </c>
      <c r="D55" s="1">
        <v>6403160678.027233</v>
      </c>
      <c r="E55" s="1">
        <v>1733937.812744141</v>
      </c>
      <c r="F55" t="s">
        <v>1096</v>
      </c>
      <c r="G55" s="1"/>
      <c r="H55" t="s">
        <v>1111</v>
      </c>
    </row>
    <row r="56">
      <c r="A56" t="s">
        <v>392</v>
      </c>
      <c r="B56" s="1">
        <v>2</v>
      </c>
      <c r="C56" t="s">
        <v>1076</v>
      </c>
      <c r="D56" s="1">
        <v>1</v>
      </c>
      <c r="E56" s="1">
        <v>1733937.812744141</v>
      </c>
      <c r="F56" t="s">
        <v>1096</v>
      </c>
      <c r="G56" s="1"/>
      <c r="H56" t="s">
        <v>1111</v>
      </c>
    </row>
    <row r="57">
      <c r="A57" t="s">
        <v>393</v>
      </c>
      <c r="B57" s="1">
        <v>2</v>
      </c>
      <c r="C57" t="s">
        <v>1077</v>
      </c>
      <c r="D57" s="1">
        <v>3692.843325155677</v>
      </c>
      <c r="E57" s="1">
        <v>1733937.812744141</v>
      </c>
      <c r="F57" t="s">
        <v>1096</v>
      </c>
      <c r="G57" s="1"/>
      <c r="H57" t="s">
        <v>1111</v>
      </c>
    </row>
    <row r="58">
      <c r="A58" t="s">
        <v>354</v>
      </c>
      <c r="B58" s="1">
        <v>2</v>
      </c>
      <c r="C58" t="s">
        <v>1074</v>
      </c>
      <c r="D58" s="1">
        <v>404290.7447814941</v>
      </c>
      <c r="E58" s="1">
        <v>1733937.812744141</v>
      </c>
      <c r="F58" t="s">
        <v>1087</v>
      </c>
      <c r="G58" s="1"/>
      <c r="H58" t="s">
        <v>1111</v>
      </c>
    </row>
    <row r="59">
      <c r="A59" t="s">
        <v>355</v>
      </c>
      <c r="B59" s="1">
        <v>2</v>
      </c>
      <c r="C59" t="s">
        <v>1075</v>
      </c>
      <c r="D59" s="1">
        <v>717966564.0242786</v>
      </c>
      <c r="E59" s="1">
        <v>1733937.812744141</v>
      </c>
      <c r="F59" t="s">
        <v>1087</v>
      </c>
      <c r="G59" s="1"/>
      <c r="H59" t="s">
        <v>1111</v>
      </c>
    </row>
    <row r="60">
      <c r="A60" t="s">
        <v>356</v>
      </c>
      <c r="B60" s="1">
        <v>2</v>
      </c>
      <c r="C60" t="s">
        <v>1076</v>
      </c>
      <c r="D60" s="1">
        <v>0.2331633475030233</v>
      </c>
      <c r="E60" s="1">
        <v>1733937.812744141</v>
      </c>
      <c r="F60" t="s">
        <v>1087</v>
      </c>
      <c r="G60" s="1"/>
      <c r="H60" t="s">
        <v>1111</v>
      </c>
    </row>
    <row r="61">
      <c r="A61" t="s">
        <v>357</v>
      </c>
      <c r="B61" s="1">
        <v>2</v>
      </c>
      <c r="C61" t="s">
        <v>1077</v>
      </c>
      <c r="D61" s="1">
        <v>414.0670782696758</v>
      </c>
      <c r="E61" s="1">
        <v>1733937.812744141</v>
      </c>
      <c r="F61" t="s">
        <v>1087</v>
      </c>
      <c r="G61" s="1"/>
      <c r="H61" t="s">
        <v>1111</v>
      </c>
    </row>
    <row r="62">
      <c r="A62" t="s">
        <v>358</v>
      </c>
      <c r="B62" s="1">
        <v>2</v>
      </c>
      <c r="C62" t="s">
        <v>1074</v>
      </c>
      <c r="D62" s="1">
        <v>1733937.812744141</v>
      </c>
      <c r="E62" s="1">
        <v>1733937.812744141</v>
      </c>
      <c r="F62" t="s">
        <v>1088</v>
      </c>
      <c r="G62" s="1"/>
      <c r="H62" t="s">
        <v>1111</v>
      </c>
    </row>
    <row r="63">
      <c r="A63" t="s">
        <v>359</v>
      </c>
      <c r="B63" s="1">
        <v>2</v>
      </c>
      <c r="C63" t="s">
        <v>1075</v>
      </c>
      <c r="D63" s="1">
        <v>7121127242.051512</v>
      </c>
      <c r="E63" s="1">
        <v>1733937.812744141</v>
      </c>
      <c r="F63" t="s">
        <v>1088</v>
      </c>
      <c r="G63" s="1"/>
      <c r="H63" t="s">
        <v>1111</v>
      </c>
    </row>
    <row r="64">
      <c r="A64" t="s">
        <v>360</v>
      </c>
      <c r="B64" s="1">
        <v>2</v>
      </c>
      <c r="C64" t="s">
        <v>1076</v>
      </c>
      <c r="D64" s="1">
        <v>1</v>
      </c>
      <c r="E64" s="1">
        <v>1733937.812744141</v>
      </c>
      <c r="F64" t="s">
        <v>1088</v>
      </c>
      <c r="G64" s="1"/>
      <c r="H64" t="s">
        <v>1111</v>
      </c>
    </row>
    <row r="65">
      <c r="A65" t="s">
        <v>361</v>
      </c>
      <c r="B65" s="1">
        <v>2</v>
      </c>
      <c r="C65" t="s">
        <v>1077</v>
      </c>
      <c r="D65" s="1">
        <v>4106.910403425352</v>
      </c>
      <c r="E65" s="1">
        <v>1733937.812744141</v>
      </c>
      <c r="F65" t="s">
        <v>1088</v>
      </c>
      <c r="G65" s="1"/>
      <c r="H65" t="s">
        <v>1111</v>
      </c>
    </row>
    <row r="66">
      <c r="A66" t="s">
        <v>362</v>
      </c>
      <c r="B66" s="1">
        <v>2</v>
      </c>
      <c r="C66" t="s">
        <v>1074</v>
      </c>
      <c r="D66" s="1">
        <v>1733937.812744141</v>
      </c>
      <c r="E66" s="1">
        <v>1733937.812744141</v>
      </c>
      <c r="F66" t="s">
        <v>1089</v>
      </c>
      <c r="G66" s="1"/>
      <c r="H66" t="s">
        <v>1111</v>
      </c>
    </row>
    <row r="67">
      <c r="A67" t="s">
        <v>363</v>
      </c>
      <c r="B67" s="1">
        <v>2</v>
      </c>
      <c r="C67" t="s">
        <v>1075</v>
      </c>
      <c r="D67" s="1">
        <v>2835087245.964063</v>
      </c>
      <c r="E67" s="1">
        <v>1733937.812744141</v>
      </c>
      <c r="F67" t="s">
        <v>1089</v>
      </c>
      <c r="G67" s="1"/>
      <c r="H67" t="s">
        <v>1111</v>
      </c>
    </row>
    <row r="68">
      <c r="A68" t="s">
        <v>364</v>
      </c>
      <c r="B68" s="1">
        <v>2</v>
      </c>
      <c r="C68" t="s">
        <v>1076</v>
      </c>
      <c r="D68" s="1">
        <v>1</v>
      </c>
      <c r="E68" s="1">
        <v>1733937.812744141</v>
      </c>
      <c r="F68" t="s">
        <v>1089</v>
      </c>
      <c r="G68" s="1"/>
      <c r="H68" t="s">
        <v>1111</v>
      </c>
    </row>
    <row r="69">
      <c r="A69" t="s">
        <v>365</v>
      </c>
      <c r="B69" s="1">
        <v>2</v>
      </c>
      <c r="C69" t="s">
        <v>1077</v>
      </c>
      <c r="D69" s="1">
        <v>1635.057050562405</v>
      </c>
      <c r="E69" s="1">
        <v>1733937.812744141</v>
      </c>
      <c r="F69" t="s">
        <v>1089</v>
      </c>
      <c r="G69" s="1"/>
      <c r="H69" t="s">
        <v>1111</v>
      </c>
    </row>
    <row r="70">
      <c r="A70" t="s">
        <v>366</v>
      </c>
      <c r="B70" s="1">
        <v>2</v>
      </c>
      <c r="C70" t="s">
        <v>1074</v>
      </c>
      <c r="D70" s="1">
        <v>1733937.812744141</v>
      </c>
      <c r="E70" s="1">
        <v>1733937.812744141</v>
      </c>
      <c r="F70" t="s">
        <v>1090</v>
      </c>
      <c r="G70" s="1"/>
      <c r="H70" t="s">
        <v>1111</v>
      </c>
    </row>
    <row r="71">
      <c r="A71" t="s">
        <v>367</v>
      </c>
      <c r="B71" s="1">
        <v>2</v>
      </c>
      <c r="C71" t="s">
        <v>1075</v>
      </c>
      <c r="D71" s="1">
        <v>4392323205.62272</v>
      </c>
      <c r="E71" s="1">
        <v>1733937.812744141</v>
      </c>
      <c r="F71" t="s">
        <v>1090</v>
      </c>
      <c r="G71" s="1"/>
      <c r="H71" t="s">
        <v>1111</v>
      </c>
    </row>
    <row r="72">
      <c r="A72" t="s">
        <v>368</v>
      </c>
      <c r="B72" s="1">
        <v>2</v>
      </c>
      <c r="C72" t="s">
        <v>1076</v>
      </c>
      <c r="D72" s="1">
        <v>1</v>
      </c>
      <c r="E72" s="1">
        <v>1733937.812744141</v>
      </c>
      <c r="F72" t="s">
        <v>1090</v>
      </c>
      <c r="G72" s="1"/>
      <c r="H72" t="s">
        <v>1111</v>
      </c>
    </row>
    <row r="73">
      <c r="A73" t="s">
        <v>369</v>
      </c>
      <c r="B73" s="1">
        <v>2</v>
      </c>
      <c r="C73" t="s">
        <v>1077</v>
      </c>
      <c r="D73" s="1">
        <v>2533.149212930193</v>
      </c>
      <c r="E73" s="1">
        <v>1733937.812744141</v>
      </c>
      <c r="F73" t="s">
        <v>1090</v>
      </c>
      <c r="G73" s="1"/>
      <c r="H73" t="s">
        <v>1111</v>
      </c>
    </row>
    <row r="74">
      <c r="A74" t="s">
        <v>370</v>
      </c>
      <c r="B74" s="1">
        <v>2</v>
      </c>
      <c r="C74" t="s">
        <v>1074</v>
      </c>
      <c r="D74" s="1">
        <v>468658.2548065186</v>
      </c>
      <c r="E74" s="1">
        <v>1733937.812744141</v>
      </c>
      <c r="F74" t="s">
        <v>1091</v>
      </c>
      <c r="G74" s="1"/>
      <c r="H74" t="s">
        <v>1111</v>
      </c>
    </row>
    <row r="75">
      <c r="A75" t="s">
        <v>371</v>
      </c>
      <c r="B75" s="1">
        <v>2</v>
      </c>
      <c r="C75" t="s">
        <v>1075</v>
      </c>
      <c r="D75" s="1">
        <v>1801332658.295825</v>
      </c>
      <c r="E75" s="1">
        <v>1733937.812744141</v>
      </c>
      <c r="F75" t="s">
        <v>1091</v>
      </c>
      <c r="G75" s="1"/>
      <c r="H75" t="s">
        <v>1111</v>
      </c>
    </row>
    <row r="76">
      <c r="A76" t="s">
        <v>372</v>
      </c>
      <c r="B76" s="1">
        <v>2</v>
      </c>
      <c r="C76" t="s">
        <v>1076</v>
      </c>
      <c r="D76" s="1">
        <v>0.2702855035295742</v>
      </c>
      <c r="E76" s="1">
        <v>1733937.812744141</v>
      </c>
      <c r="F76" t="s">
        <v>1091</v>
      </c>
      <c r="G76" s="1"/>
      <c r="H76" t="s">
        <v>1111</v>
      </c>
    </row>
    <row r="77">
      <c r="A77" t="s">
        <v>373</v>
      </c>
      <c r="B77" s="1">
        <v>2</v>
      </c>
      <c r="C77" t="s">
        <v>1077</v>
      </c>
      <c r="D77" s="1">
        <v>1038.868086880823</v>
      </c>
      <c r="E77" s="1">
        <v>1733937.812744141</v>
      </c>
      <c r="F77" t="s">
        <v>1091</v>
      </c>
      <c r="G77" s="1"/>
      <c r="H77" t="s">
        <v>1111</v>
      </c>
    </row>
    <row r="78">
      <c r="A78" t="s">
        <v>374</v>
      </c>
      <c r="B78" s="1">
        <v>2</v>
      </c>
      <c r="C78" t="s">
        <v>1074</v>
      </c>
      <c r="D78" s="1">
        <v>1733937.812744141</v>
      </c>
      <c r="E78" s="1">
        <v>1733937.812744141</v>
      </c>
      <c r="F78" t="s">
        <v>1092</v>
      </c>
      <c r="G78" s="1"/>
      <c r="H78" t="s">
        <v>1111</v>
      </c>
    </row>
    <row r="79">
      <c r="A79" t="s">
        <v>375</v>
      </c>
      <c r="B79" s="1">
        <v>2</v>
      </c>
      <c r="C79" t="s">
        <v>1075</v>
      </c>
      <c r="D79" s="1">
        <v>927471378.1329675</v>
      </c>
      <c r="E79" s="1">
        <v>1733937.812744141</v>
      </c>
      <c r="F79" t="s">
        <v>1092</v>
      </c>
      <c r="G79" s="1"/>
      <c r="H79" t="s">
        <v>1111</v>
      </c>
    </row>
    <row r="80">
      <c r="A80" t="s">
        <v>376</v>
      </c>
      <c r="B80" s="1">
        <v>2</v>
      </c>
      <c r="C80" t="s">
        <v>1076</v>
      </c>
      <c r="D80" s="1">
        <v>1</v>
      </c>
      <c r="E80" s="1">
        <v>1733937.812744141</v>
      </c>
      <c r="F80" t="s">
        <v>1092</v>
      </c>
      <c r="G80" s="1"/>
      <c r="H80" t="s">
        <v>1111</v>
      </c>
    </row>
    <row r="81">
      <c r="A81" t="s">
        <v>377</v>
      </c>
      <c r="B81" s="1">
        <v>2</v>
      </c>
      <c r="C81" t="s">
        <v>1077</v>
      </c>
      <c r="D81" s="1">
        <v>534.8931036143364</v>
      </c>
      <c r="E81" s="1">
        <v>1733937.812744141</v>
      </c>
      <c r="F81" t="s">
        <v>1092</v>
      </c>
      <c r="G81" s="1"/>
      <c r="H81" t="s">
        <v>1111</v>
      </c>
    </row>
    <row r="82">
      <c r="A82" t="s">
        <v>378</v>
      </c>
      <c r="B82" s="1">
        <v>2</v>
      </c>
      <c r="C82" t="s">
        <v>1074</v>
      </c>
      <c r="D82" s="1">
        <v>1733937.812744141</v>
      </c>
      <c r="E82" s="1">
        <v>1733937.812744141</v>
      </c>
      <c r="F82" t="s">
        <v>1093</v>
      </c>
      <c r="G82" s="1"/>
      <c r="H82" t="s">
        <v>1111</v>
      </c>
    </row>
    <row r="83">
      <c r="A83" t="s">
        <v>379</v>
      </c>
      <c r="B83" s="1">
        <v>2</v>
      </c>
      <c r="C83" t="s">
        <v>1075</v>
      </c>
      <c r="D83" s="1">
        <v>2728804036.428792</v>
      </c>
      <c r="E83" s="1">
        <v>1733937.812744141</v>
      </c>
      <c r="F83" t="s">
        <v>1093</v>
      </c>
      <c r="G83" s="1"/>
      <c r="H83" t="s">
        <v>1111</v>
      </c>
    </row>
    <row r="84">
      <c r="A84" t="s">
        <v>380</v>
      </c>
      <c r="B84" s="1">
        <v>2</v>
      </c>
      <c r="C84" t="s">
        <v>1076</v>
      </c>
      <c r="D84" s="1">
        <v>1</v>
      </c>
      <c r="E84" s="1">
        <v>1733937.812744141</v>
      </c>
      <c r="F84" t="s">
        <v>1093</v>
      </c>
      <c r="G84" s="1"/>
      <c r="H84" t="s">
        <v>1111</v>
      </c>
    </row>
    <row r="85">
      <c r="A85" t="s">
        <v>381</v>
      </c>
      <c r="B85" s="1">
        <v>2</v>
      </c>
      <c r="C85" t="s">
        <v>1077</v>
      </c>
      <c r="D85" s="1">
        <v>1573.76119049516</v>
      </c>
      <c r="E85" s="1">
        <v>1733937.812744141</v>
      </c>
      <c r="F85" t="s">
        <v>1093</v>
      </c>
      <c r="G85" s="1"/>
      <c r="H85" t="s">
        <v>1111</v>
      </c>
    </row>
    <row r="86">
      <c r="A86" t="s">
        <v>1128</v>
      </c>
      <c r="B86" s="1">
        <v>2</v>
      </c>
      <c r="C86" t="s">
        <v>1074</v>
      </c>
      <c r="D86" s="1">
        <v>468658.2548065186</v>
      </c>
      <c r="E86" s="1">
        <v>1733937.812744141</v>
      </c>
      <c r="F86" t="s">
        <v>1193</v>
      </c>
      <c r="G86" s="1"/>
      <c r="H86" t="s">
        <v>1111</v>
      </c>
    </row>
    <row r="87">
      <c r="A87" t="s">
        <v>1129</v>
      </c>
      <c r="B87" s="1">
        <v>2</v>
      </c>
      <c r="C87" t="s">
        <v>1075</v>
      </c>
      <c r="D87" s="1">
        <v>4507647282.917536</v>
      </c>
      <c r="E87" s="1">
        <v>1733937.812744141</v>
      </c>
      <c r="F87" t="s">
        <v>1193</v>
      </c>
      <c r="G87" s="1"/>
      <c r="H87" t="s">
        <v>1111</v>
      </c>
    </row>
    <row r="88">
      <c r="A88" t="s">
        <v>1130</v>
      </c>
      <c r="B88" s="1">
        <v>2</v>
      </c>
      <c r="C88" t="s">
        <v>1076</v>
      </c>
      <c r="D88" s="1">
        <v>0.2702855035295742</v>
      </c>
      <c r="E88" s="1">
        <v>1733937.812744141</v>
      </c>
      <c r="F88" t="s">
        <v>1193</v>
      </c>
      <c r="G88" s="1"/>
      <c r="H88" t="s">
        <v>1111</v>
      </c>
    </row>
    <row r="89">
      <c r="A89" t="s">
        <v>1131</v>
      </c>
      <c r="B89" s="1">
        <v>2</v>
      </c>
      <c r="C89" t="s">
        <v>1077</v>
      </c>
      <c r="D89" s="1">
        <v>2599.659139899432</v>
      </c>
      <c r="E89" s="1">
        <v>1733937.812744141</v>
      </c>
      <c r="F89" t="s">
        <v>1193</v>
      </c>
      <c r="G89" s="1"/>
      <c r="H89" t="s">
        <v>1111</v>
      </c>
    </row>
    <row r="90">
      <c r="A90" t="s">
        <v>382</v>
      </c>
      <c r="B90" s="1">
        <v>2</v>
      </c>
      <c r="C90" t="s">
        <v>1074</v>
      </c>
      <c r="D90" s="1">
        <v>43572.58447265625</v>
      </c>
      <c r="E90" s="1">
        <v>1733937.812744141</v>
      </c>
      <c r="F90" t="s">
        <v>1094</v>
      </c>
      <c r="G90" s="1"/>
      <c r="H90" t="s">
        <v>1111</v>
      </c>
    </row>
    <row r="91">
      <c r="A91" t="s">
        <v>383</v>
      </c>
      <c r="B91" s="1">
        <v>2</v>
      </c>
      <c r="C91" t="s">
        <v>1075</v>
      </c>
      <c r="D91" s="1">
        <v>37832124.47798606</v>
      </c>
      <c r="E91" s="1">
        <v>1733937.812744141</v>
      </c>
      <c r="F91" t="s">
        <v>1094</v>
      </c>
      <c r="G91" s="1"/>
      <c r="H91" t="s">
        <v>1111</v>
      </c>
    </row>
    <row r="92">
      <c r="A92" t="s">
        <v>384</v>
      </c>
      <c r="B92" s="1">
        <v>2</v>
      </c>
      <c r="C92" t="s">
        <v>1076</v>
      </c>
      <c r="D92" s="1">
        <v>0.02512926597044332</v>
      </c>
      <c r="E92" s="1">
        <v>1733937.812744141</v>
      </c>
      <c r="F92" t="s">
        <v>1094</v>
      </c>
      <c r="G92" s="1"/>
      <c r="H92" t="s">
        <v>1111</v>
      </c>
    </row>
    <row r="93">
      <c r="A93" t="s">
        <v>385</v>
      </c>
      <c r="B93" s="1">
        <v>2</v>
      </c>
      <c r="C93" t="s">
        <v>1077</v>
      </c>
      <c r="D93" s="1">
        <v>21.81861667698031</v>
      </c>
      <c r="E93" s="1">
        <v>1733937.812744141</v>
      </c>
      <c r="F93" t="s">
        <v>1094</v>
      </c>
      <c r="G93" s="1"/>
      <c r="H93" t="s">
        <v>1111</v>
      </c>
    </row>
    <row r="94">
      <c r="A94" t="s">
        <v>386</v>
      </c>
      <c r="B94" s="1">
        <v>2</v>
      </c>
      <c r="C94" t="s">
        <v>1074</v>
      </c>
      <c r="D94" s="1">
        <v>370422.0978088379</v>
      </c>
      <c r="E94" s="1">
        <v>1733937.812744141</v>
      </c>
      <c r="F94" t="s">
        <v>1095</v>
      </c>
      <c r="G94" s="1"/>
      <c r="H94" t="s">
        <v>1111</v>
      </c>
    </row>
    <row r="95">
      <c r="A95" t="s">
        <v>387</v>
      </c>
      <c r="B95" s="1">
        <v>2</v>
      </c>
      <c r="C95" t="s">
        <v>1075</v>
      </c>
      <c r="D95" s="1">
        <v>680134439.5462927</v>
      </c>
      <c r="E95" s="1">
        <v>1733937.812744141</v>
      </c>
      <c r="F95" t="s">
        <v>1095</v>
      </c>
      <c r="G95" s="1"/>
      <c r="H95" t="s">
        <v>1111</v>
      </c>
    </row>
    <row r="96">
      <c r="A96" t="s">
        <v>388</v>
      </c>
      <c r="B96" s="1">
        <v>2</v>
      </c>
      <c r="C96" t="s">
        <v>1076</v>
      </c>
      <c r="D96" s="1">
        <v>0.2136305553095965</v>
      </c>
      <c r="E96" s="1">
        <v>1733937.812744141</v>
      </c>
      <c r="F96" t="s">
        <v>1095</v>
      </c>
      <c r="G96" s="1"/>
      <c r="H96" t="s">
        <v>1111</v>
      </c>
    </row>
    <row r="97">
      <c r="A97" t="s">
        <v>389</v>
      </c>
      <c r="B97" s="1">
        <v>2</v>
      </c>
      <c r="C97" t="s">
        <v>1077</v>
      </c>
      <c r="D97" s="1">
        <v>392.2484615926956</v>
      </c>
      <c r="E97" s="1">
        <v>1733937.812744141</v>
      </c>
      <c r="F97" t="s">
        <v>1095</v>
      </c>
      <c r="G97" s="1"/>
      <c r="H97" t="s">
        <v>1111</v>
      </c>
    </row>
    <row r="98">
      <c r="A98" t="s">
        <v>394</v>
      </c>
      <c r="B98" s="1">
        <v>3</v>
      </c>
      <c r="C98" t="s">
        <v>1074</v>
      </c>
      <c r="D98" s="1">
        <v>560735.3937225342</v>
      </c>
      <c r="E98" s="1">
        <v>1719001.358955383</v>
      </c>
      <c r="F98" t="s">
        <v>1086</v>
      </c>
      <c r="G98" s="1"/>
      <c r="H98" t="s">
        <v>1111</v>
      </c>
    </row>
    <row r="99">
      <c r="A99" t="s">
        <v>395</v>
      </c>
      <c r="B99" s="1">
        <v>3</v>
      </c>
      <c r="C99" t="s">
        <v>1075</v>
      </c>
      <c r="D99" s="1">
        <v>1855219429.147836</v>
      </c>
      <c r="E99" s="1">
        <v>1719001.358955383</v>
      </c>
      <c r="F99" t="s">
        <v>1086</v>
      </c>
      <c r="G99" s="1"/>
      <c r="H99" t="s">
        <v>1111</v>
      </c>
    </row>
    <row r="100">
      <c r="A100" t="s">
        <v>396</v>
      </c>
      <c r="B100" s="1">
        <v>3</v>
      </c>
      <c r="C100" t="s">
        <v>1076</v>
      </c>
      <c r="D100" s="1">
        <v>0.3261983423115421</v>
      </c>
      <c r="E100" s="1">
        <v>1719001.358955383</v>
      </c>
      <c r="F100" t="s">
        <v>1086</v>
      </c>
      <c r="G100" s="1"/>
      <c r="H100" t="s">
        <v>1111</v>
      </c>
    </row>
    <row r="101">
      <c r="A101" t="s">
        <v>397</v>
      </c>
      <c r="B101" s="1">
        <v>3</v>
      </c>
      <c r="C101" t="s">
        <v>1077</v>
      </c>
      <c r="D101" s="1">
        <v>1079.242561085136</v>
      </c>
      <c r="E101" s="1">
        <v>1719001.358955383</v>
      </c>
      <c r="F101" t="s">
        <v>1086</v>
      </c>
      <c r="G101" s="1"/>
      <c r="H101" t="s">
        <v>1111</v>
      </c>
    </row>
    <row r="102">
      <c r="A102" t="s">
        <v>434</v>
      </c>
      <c r="B102" s="1">
        <v>3</v>
      </c>
      <c r="C102" t="s">
        <v>1074</v>
      </c>
      <c r="D102" s="1">
        <v>1719001.358955383</v>
      </c>
      <c r="E102" s="1">
        <v>1719001.358955383</v>
      </c>
      <c r="F102" t="s">
        <v>1096</v>
      </c>
      <c r="G102" s="1"/>
      <c r="H102" t="s">
        <v>1111</v>
      </c>
    </row>
    <row r="103">
      <c r="A103" t="s">
        <v>435</v>
      </c>
      <c r="B103" s="1">
        <v>3</v>
      </c>
      <c r="C103" t="s">
        <v>1075</v>
      </c>
      <c r="D103" s="1">
        <v>8472730155.08279</v>
      </c>
      <c r="E103" s="1">
        <v>1719001.358955383</v>
      </c>
      <c r="F103" t="s">
        <v>1096</v>
      </c>
      <c r="G103" s="1"/>
      <c r="H103" t="s">
        <v>1111</v>
      </c>
    </row>
    <row r="104">
      <c r="A104" t="s">
        <v>436</v>
      </c>
      <c r="B104" s="1">
        <v>3</v>
      </c>
      <c r="C104" t="s">
        <v>1076</v>
      </c>
      <c r="D104" s="1">
        <v>1</v>
      </c>
      <c r="E104" s="1">
        <v>1719001.358955383</v>
      </c>
      <c r="F104" t="s">
        <v>1096</v>
      </c>
      <c r="G104" s="1"/>
      <c r="H104" t="s">
        <v>1111</v>
      </c>
    </row>
    <row r="105">
      <c r="A105" t="s">
        <v>437</v>
      </c>
      <c r="B105" s="1">
        <v>3</v>
      </c>
      <c r="C105" t="s">
        <v>1077</v>
      </c>
      <c r="D105" s="1">
        <v>4928.867630582658</v>
      </c>
      <c r="E105" s="1">
        <v>1719001.358955383</v>
      </c>
      <c r="F105" t="s">
        <v>1096</v>
      </c>
      <c r="G105" s="1"/>
      <c r="H105" t="s">
        <v>1111</v>
      </c>
    </row>
    <row r="106">
      <c r="A106" t="s">
        <v>398</v>
      </c>
      <c r="B106" s="1">
        <v>3</v>
      </c>
      <c r="C106" t="s">
        <v>1074</v>
      </c>
      <c r="D106" s="1">
        <v>584641.7192230225</v>
      </c>
      <c r="E106" s="1">
        <v>1719001.358955383</v>
      </c>
      <c r="F106" t="s">
        <v>1087</v>
      </c>
      <c r="G106" s="1"/>
      <c r="H106" t="s">
        <v>1111</v>
      </c>
    </row>
    <row r="107">
      <c r="A107" t="s">
        <v>399</v>
      </c>
      <c r="B107" s="1">
        <v>3</v>
      </c>
      <c r="C107" t="s">
        <v>1075</v>
      </c>
      <c r="D107" s="1">
        <v>755712221.5111957</v>
      </c>
      <c r="E107" s="1">
        <v>1719001.358955383</v>
      </c>
      <c r="F107" t="s">
        <v>1087</v>
      </c>
      <c r="G107" s="1"/>
      <c r="H107" t="s">
        <v>1111</v>
      </c>
    </row>
    <row r="108">
      <c r="A108" t="s">
        <v>400</v>
      </c>
      <c r="B108" s="1">
        <v>3</v>
      </c>
      <c r="C108" t="s">
        <v>1076</v>
      </c>
      <c r="D108" s="1">
        <v>0.3401054433012795</v>
      </c>
      <c r="E108" s="1">
        <v>1719001.358955383</v>
      </c>
      <c r="F108" t="s">
        <v>1087</v>
      </c>
      <c r="G108" s="1"/>
      <c r="H108" t="s">
        <v>1111</v>
      </c>
    </row>
    <row r="109">
      <c r="A109" t="s">
        <v>401</v>
      </c>
      <c r="B109" s="1">
        <v>3</v>
      </c>
      <c r="C109" t="s">
        <v>1077</v>
      </c>
      <c r="D109" s="1">
        <v>439.6228179659107</v>
      </c>
      <c r="E109" s="1">
        <v>1719001.358955383</v>
      </c>
      <c r="F109" t="s">
        <v>1087</v>
      </c>
      <c r="G109" s="1"/>
      <c r="H109" t="s">
        <v>1111</v>
      </c>
    </row>
    <row r="110">
      <c r="A110" t="s">
        <v>402</v>
      </c>
      <c r="B110" s="1">
        <v>3</v>
      </c>
      <c r="C110" t="s">
        <v>1074</v>
      </c>
      <c r="D110" s="1">
        <v>1719001.358955383</v>
      </c>
      <c r="E110" s="1">
        <v>1719001.358955383</v>
      </c>
      <c r="F110" t="s">
        <v>1088</v>
      </c>
      <c r="G110" s="1"/>
      <c r="H110" t="s">
        <v>1111</v>
      </c>
    </row>
    <row r="111">
      <c r="A111" t="s">
        <v>403</v>
      </c>
      <c r="B111" s="1">
        <v>3</v>
      </c>
      <c r="C111" t="s">
        <v>1075</v>
      </c>
      <c r="D111" s="1">
        <v>9228442376.593987</v>
      </c>
      <c r="E111" s="1">
        <v>1719001.358955383</v>
      </c>
      <c r="F111" t="s">
        <v>1088</v>
      </c>
      <c r="G111" s="1"/>
      <c r="H111" t="s">
        <v>1111</v>
      </c>
    </row>
    <row r="112">
      <c r="A112" t="s">
        <v>404</v>
      </c>
      <c r="B112" s="1">
        <v>3</v>
      </c>
      <c r="C112" t="s">
        <v>1076</v>
      </c>
      <c r="D112" s="1">
        <v>1</v>
      </c>
      <c r="E112" s="1">
        <v>1719001.358955383</v>
      </c>
      <c r="F112" t="s">
        <v>1088</v>
      </c>
      <c r="G112" s="1"/>
      <c r="H112" t="s">
        <v>1111</v>
      </c>
    </row>
    <row r="113">
      <c r="A113" t="s">
        <v>405</v>
      </c>
      <c r="B113" s="1">
        <v>3</v>
      </c>
      <c r="C113" t="s">
        <v>1077</v>
      </c>
      <c r="D113" s="1">
        <v>5368.490448548569</v>
      </c>
      <c r="E113" s="1">
        <v>1719001.358955383</v>
      </c>
      <c r="F113" t="s">
        <v>1088</v>
      </c>
      <c r="G113" s="1"/>
      <c r="H113" t="s">
        <v>1111</v>
      </c>
    </row>
    <row r="114">
      <c r="A114" t="s">
        <v>406</v>
      </c>
      <c r="B114" s="1">
        <v>3</v>
      </c>
      <c r="C114" t="s">
        <v>1074</v>
      </c>
      <c r="D114" s="1">
        <v>1719001.358955383</v>
      </c>
      <c r="E114" s="1">
        <v>1719001.358955383</v>
      </c>
      <c r="F114" t="s">
        <v>1089</v>
      </c>
      <c r="G114" s="1"/>
      <c r="H114" t="s">
        <v>1111</v>
      </c>
    </row>
    <row r="115">
      <c r="A115" t="s">
        <v>407</v>
      </c>
      <c r="B115" s="1">
        <v>3</v>
      </c>
      <c r="C115" t="s">
        <v>1075</v>
      </c>
      <c r="D115" s="1">
        <v>3439940199.903222</v>
      </c>
      <c r="E115" s="1">
        <v>1719001.358955383</v>
      </c>
      <c r="F115" t="s">
        <v>1089</v>
      </c>
      <c r="G115" s="1"/>
      <c r="H115" t="s">
        <v>1111</v>
      </c>
    </row>
    <row r="116">
      <c r="A116" t="s">
        <v>408</v>
      </c>
      <c r="B116" s="1">
        <v>3</v>
      </c>
      <c r="C116" t="s">
        <v>1076</v>
      </c>
      <c r="D116" s="1">
        <v>1</v>
      </c>
      <c r="E116" s="1">
        <v>1719001.358955383</v>
      </c>
      <c r="F116" t="s">
        <v>1089</v>
      </c>
      <c r="G116" s="1"/>
      <c r="H116" t="s">
        <v>1111</v>
      </c>
    </row>
    <row r="117">
      <c r="A117" t="s">
        <v>409</v>
      </c>
      <c r="B117" s="1">
        <v>3</v>
      </c>
      <c r="C117" t="s">
        <v>1077</v>
      </c>
      <c r="D117" s="1">
        <v>2001.127097417557</v>
      </c>
      <c r="E117" s="1">
        <v>1719001.358955383</v>
      </c>
      <c r="F117" t="s">
        <v>1089</v>
      </c>
      <c r="G117" s="1"/>
      <c r="H117" t="s">
        <v>1111</v>
      </c>
    </row>
    <row r="118">
      <c r="A118" t="s">
        <v>410</v>
      </c>
      <c r="B118" s="1">
        <v>3</v>
      </c>
      <c r="C118" t="s">
        <v>1074</v>
      </c>
      <c r="D118" s="1">
        <v>1719001.358955383</v>
      </c>
      <c r="E118" s="1">
        <v>1719001.358955383</v>
      </c>
      <c r="F118" t="s">
        <v>1090</v>
      </c>
      <c r="G118" s="1"/>
      <c r="H118" t="s">
        <v>1111</v>
      </c>
    </row>
    <row r="119">
      <c r="A119" t="s">
        <v>411</v>
      </c>
      <c r="B119" s="1">
        <v>3</v>
      </c>
      <c r="C119" t="s">
        <v>1075</v>
      </c>
      <c r="D119" s="1">
        <v>5295159629.051059</v>
      </c>
      <c r="E119" s="1">
        <v>1719001.358955383</v>
      </c>
      <c r="F119" t="s">
        <v>1090</v>
      </c>
      <c r="G119" s="1"/>
      <c r="H119" t="s">
        <v>1111</v>
      </c>
    </row>
    <row r="120">
      <c r="A120" t="s">
        <v>412</v>
      </c>
      <c r="B120" s="1">
        <v>3</v>
      </c>
      <c r="C120" t="s">
        <v>1076</v>
      </c>
      <c r="D120" s="1">
        <v>1</v>
      </c>
      <c r="E120" s="1">
        <v>1719001.358955383</v>
      </c>
      <c r="F120" t="s">
        <v>1090</v>
      </c>
      <c r="G120" s="1"/>
      <c r="H120" t="s">
        <v>1111</v>
      </c>
    </row>
    <row r="121">
      <c r="A121" t="s">
        <v>413</v>
      </c>
      <c r="B121" s="1">
        <v>3</v>
      </c>
      <c r="C121" t="s">
        <v>1077</v>
      </c>
      <c r="D121" s="1">
        <v>3080.369658502693</v>
      </c>
      <c r="E121" s="1">
        <v>1719001.358955383</v>
      </c>
      <c r="F121" t="s">
        <v>1090</v>
      </c>
      <c r="G121" s="1"/>
      <c r="H121" t="s">
        <v>1111</v>
      </c>
    </row>
    <row r="122">
      <c r="A122" t="s">
        <v>414</v>
      </c>
      <c r="B122" s="1">
        <v>3</v>
      </c>
      <c r="C122" t="s">
        <v>1074</v>
      </c>
      <c r="D122" s="1">
        <v>604957.7178039551</v>
      </c>
      <c r="E122" s="1">
        <v>1719001.358955383</v>
      </c>
      <c r="F122" t="s">
        <v>1091</v>
      </c>
      <c r="G122" s="1"/>
      <c r="H122" t="s">
        <v>1111</v>
      </c>
    </row>
    <row r="123">
      <c r="A123" t="s">
        <v>415</v>
      </c>
      <c r="B123" s="1">
        <v>3</v>
      </c>
      <c r="C123" t="s">
        <v>1075</v>
      </c>
      <c r="D123" s="1">
        <v>2808541606.984927</v>
      </c>
      <c r="E123" s="1">
        <v>1719001.358955383</v>
      </c>
      <c r="F123" t="s">
        <v>1091</v>
      </c>
      <c r="G123" s="1"/>
      <c r="H123" t="s">
        <v>1111</v>
      </c>
    </row>
    <row r="124">
      <c r="A124" t="s">
        <v>416</v>
      </c>
      <c r="B124" s="1">
        <v>3</v>
      </c>
      <c r="C124" t="s">
        <v>1076</v>
      </c>
      <c r="D124" s="1">
        <v>0.351923932260054</v>
      </c>
      <c r="E124" s="1">
        <v>1719001.358955383</v>
      </c>
      <c r="F124" t="s">
        <v>1091</v>
      </c>
      <c r="G124" s="1"/>
      <c r="H124" t="s">
        <v>1111</v>
      </c>
    </row>
    <row r="125">
      <c r="A125" t="s">
        <v>417</v>
      </c>
      <c r="B125" s="1">
        <v>3</v>
      </c>
      <c r="C125" t="s">
        <v>1077</v>
      </c>
      <c r="D125" s="1">
        <v>1633.821632748239</v>
      </c>
      <c r="E125" s="1">
        <v>1719001.358955383</v>
      </c>
      <c r="F125" t="s">
        <v>1091</v>
      </c>
      <c r="G125" s="1"/>
      <c r="H125" t="s">
        <v>1111</v>
      </c>
    </row>
    <row r="126">
      <c r="A126" t="s">
        <v>418</v>
      </c>
      <c r="B126" s="1">
        <v>3</v>
      </c>
      <c r="C126" t="s">
        <v>1074</v>
      </c>
      <c r="D126" s="1">
        <v>1719001.358955383</v>
      </c>
      <c r="E126" s="1">
        <v>1719001.358955383</v>
      </c>
      <c r="F126" t="s">
        <v>1092</v>
      </c>
      <c r="G126" s="1"/>
      <c r="H126" t="s">
        <v>1111</v>
      </c>
    </row>
    <row r="127">
      <c r="A127" t="s">
        <v>419</v>
      </c>
      <c r="B127" s="1">
        <v>3</v>
      </c>
      <c r="C127" t="s">
        <v>1075</v>
      </c>
      <c r="D127" s="1">
        <v>1124741140.558001</v>
      </c>
      <c r="E127" s="1">
        <v>1719001.358955383</v>
      </c>
      <c r="F127" t="s">
        <v>1092</v>
      </c>
      <c r="G127" s="1"/>
      <c r="H127" t="s">
        <v>1111</v>
      </c>
    </row>
    <row r="128">
      <c r="A128" t="s">
        <v>420</v>
      </c>
      <c r="B128" s="1">
        <v>3</v>
      </c>
      <c r="C128" t="s">
        <v>1076</v>
      </c>
      <c r="D128" s="1">
        <v>1</v>
      </c>
      <c r="E128" s="1">
        <v>1719001.358955383</v>
      </c>
      <c r="F128" t="s">
        <v>1092</v>
      </c>
      <c r="G128" s="1"/>
      <c r="H128" t="s">
        <v>1111</v>
      </c>
    </row>
    <row r="129">
      <c r="A129" t="s">
        <v>421</v>
      </c>
      <c r="B129" s="1">
        <v>3</v>
      </c>
      <c r="C129" t="s">
        <v>1077</v>
      </c>
      <c r="D129" s="1">
        <v>654.2991572976375</v>
      </c>
      <c r="E129" s="1">
        <v>1719001.358955383</v>
      </c>
      <c r="F129" t="s">
        <v>1092</v>
      </c>
      <c r="G129" s="1"/>
      <c r="H129" t="s">
        <v>1111</v>
      </c>
    </row>
    <row r="130">
      <c r="A130" t="s">
        <v>422</v>
      </c>
      <c r="B130" s="1">
        <v>3</v>
      </c>
      <c r="C130" t="s">
        <v>1074</v>
      </c>
      <c r="D130" s="1">
        <v>1719001.358955383</v>
      </c>
      <c r="E130" s="1">
        <v>1719001.358955383</v>
      </c>
      <c r="F130" t="s">
        <v>1093</v>
      </c>
      <c r="G130" s="1"/>
      <c r="H130" t="s">
        <v>1111</v>
      </c>
    </row>
    <row r="131">
      <c r="A131" t="s">
        <v>423</v>
      </c>
      <c r="B131" s="1">
        <v>3</v>
      </c>
      <c r="C131" t="s">
        <v>1075</v>
      </c>
      <c r="D131" s="1">
        <v>3933282747.542928</v>
      </c>
      <c r="E131" s="1">
        <v>1719001.358955383</v>
      </c>
      <c r="F131" t="s">
        <v>1093</v>
      </c>
      <c r="G131" s="1"/>
      <c r="H131" t="s">
        <v>1111</v>
      </c>
    </row>
    <row r="132">
      <c r="A132" t="s">
        <v>424</v>
      </c>
      <c r="B132" s="1">
        <v>3</v>
      </c>
      <c r="C132" t="s">
        <v>1076</v>
      </c>
      <c r="D132" s="1">
        <v>1</v>
      </c>
      <c r="E132" s="1">
        <v>1719001.358955383</v>
      </c>
      <c r="F132" t="s">
        <v>1093</v>
      </c>
      <c r="G132" s="1"/>
      <c r="H132" t="s">
        <v>1111</v>
      </c>
    </row>
    <row r="133">
      <c r="A133" t="s">
        <v>425</v>
      </c>
      <c r="B133" s="1">
        <v>3</v>
      </c>
      <c r="C133" t="s">
        <v>1077</v>
      </c>
      <c r="D133" s="1">
        <v>2288.120790045877</v>
      </c>
      <c r="E133" s="1">
        <v>1719001.358955383</v>
      </c>
      <c r="F133" t="s">
        <v>1093</v>
      </c>
      <c r="G133" s="1"/>
      <c r="H133" t="s">
        <v>1111</v>
      </c>
    </row>
    <row r="134">
      <c r="A134" t="s">
        <v>1132</v>
      </c>
      <c r="B134" s="1">
        <v>3</v>
      </c>
      <c r="C134" t="s">
        <v>1074</v>
      </c>
      <c r="D134" s="1">
        <v>604957.7178039551</v>
      </c>
      <c r="E134" s="1">
        <v>1719001.358955383</v>
      </c>
      <c r="F134" t="s">
        <v>1193</v>
      </c>
      <c r="G134" s="1"/>
      <c r="H134" t="s">
        <v>1111</v>
      </c>
    </row>
    <row r="135">
      <c r="A135" t="s">
        <v>1133</v>
      </c>
      <c r="B135" s="1">
        <v>3</v>
      </c>
      <c r="C135" t="s">
        <v>1075</v>
      </c>
      <c r="D135" s="1">
        <v>7089011641.785209</v>
      </c>
      <c r="E135" s="1">
        <v>1719001.358955383</v>
      </c>
      <c r="F135" t="s">
        <v>1193</v>
      </c>
      <c r="G135" s="1"/>
      <c r="H135" t="s">
        <v>1111</v>
      </c>
    </row>
    <row r="136">
      <c r="A136" t="s">
        <v>1134</v>
      </c>
      <c r="B136" s="1">
        <v>3</v>
      </c>
      <c r="C136" t="s">
        <v>1076</v>
      </c>
      <c r="D136" s="1">
        <v>0.351923932260054</v>
      </c>
      <c r="E136" s="1">
        <v>1719001.358955383</v>
      </c>
      <c r="F136" t="s">
        <v>1193</v>
      </c>
      <c r="G136" s="1"/>
      <c r="H136" t="s">
        <v>1111</v>
      </c>
    </row>
    <row r="137">
      <c r="A137" t="s">
        <v>1135</v>
      </c>
      <c r="B137" s="1">
        <v>3</v>
      </c>
      <c r="C137" t="s">
        <v>1077</v>
      </c>
      <c r="D137" s="1">
        <v>4123.91276182185</v>
      </c>
      <c r="E137" s="1">
        <v>1719001.358955383</v>
      </c>
      <c r="F137" t="s">
        <v>1193</v>
      </c>
      <c r="G137" s="1"/>
      <c r="H137" t="s">
        <v>1111</v>
      </c>
    </row>
    <row r="138">
      <c r="A138" t="s">
        <v>426</v>
      </c>
      <c r="B138" s="1">
        <v>3</v>
      </c>
      <c r="C138" t="s">
        <v>1074</v>
      </c>
      <c r="D138" s="1">
        <v>54250.59112548828</v>
      </c>
      <c r="E138" s="1">
        <v>1719001.358955383</v>
      </c>
      <c r="F138" t="s">
        <v>1094</v>
      </c>
      <c r="G138" s="1"/>
      <c r="H138" t="s">
        <v>1111</v>
      </c>
    </row>
    <row r="139">
      <c r="A139" t="s">
        <v>427</v>
      </c>
      <c r="B139" s="1">
        <v>3</v>
      </c>
      <c r="C139" t="s">
        <v>1075</v>
      </c>
      <c r="D139" s="1">
        <v>56526856.94453757</v>
      </c>
      <c r="E139" s="1">
        <v>1719001.358955383</v>
      </c>
      <c r="F139" t="s">
        <v>1094</v>
      </c>
      <c r="G139" s="1"/>
      <c r="H139" t="s">
        <v>1111</v>
      </c>
    </row>
    <row r="140">
      <c r="A140" t="s">
        <v>428</v>
      </c>
      <c r="B140" s="1">
        <v>3</v>
      </c>
      <c r="C140" t="s">
        <v>1076</v>
      </c>
      <c r="D140" s="1">
        <v>0.0315593648852353</v>
      </c>
      <c r="E140" s="1">
        <v>1719001.358955383</v>
      </c>
      <c r="F140" t="s">
        <v>1094</v>
      </c>
      <c r="G140" s="1"/>
      <c r="H140" t="s">
        <v>1111</v>
      </c>
    </row>
    <row r="141">
      <c r="A141" t="s">
        <v>429</v>
      </c>
      <c r="B141" s="1">
        <v>3</v>
      </c>
      <c r="C141" t="s">
        <v>1077</v>
      </c>
      <c r="D141" s="1">
        <v>32.88354407054586</v>
      </c>
      <c r="E141" s="1">
        <v>1719001.358955383</v>
      </c>
      <c r="F141" t="s">
        <v>1094</v>
      </c>
      <c r="G141" s="1"/>
      <c r="H141" t="s">
        <v>1111</v>
      </c>
    </row>
    <row r="142">
      <c r="A142" t="s">
        <v>430</v>
      </c>
      <c r="B142" s="1">
        <v>3</v>
      </c>
      <c r="C142" t="s">
        <v>1074</v>
      </c>
      <c r="D142" s="1">
        <v>560735.3937225342</v>
      </c>
      <c r="E142" s="1">
        <v>1719001.358955383</v>
      </c>
      <c r="F142" t="s">
        <v>1095</v>
      </c>
      <c r="G142" s="1"/>
      <c r="H142" t="s">
        <v>1111</v>
      </c>
    </row>
    <row r="143">
      <c r="A143" t="s">
        <v>431</v>
      </c>
      <c r="B143" s="1">
        <v>3</v>
      </c>
      <c r="C143" t="s">
        <v>1075</v>
      </c>
      <c r="D143" s="1">
        <v>699185364.566658</v>
      </c>
      <c r="E143" s="1">
        <v>1719001.358955383</v>
      </c>
      <c r="F143" t="s">
        <v>1095</v>
      </c>
      <c r="G143" s="1"/>
      <c r="H143" t="s">
        <v>1111</v>
      </c>
    </row>
    <row r="144">
      <c r="A144" t="s">
        <v>432</v>
      </c>
      <c r="B144" s="1">
        <v>3</v>
      </c>
      <c r="C144" t="s">
        <v>1076</v>
      </c>
      <c r="D144" s="1">
        <v>0.3261983423115421</v>
      </c>
      <c r="E144" s="1">
        <v>1719001.358955383</v>
      </c>
      <c r="F144" t="s">
        <v>1095</v>
      </c>
      <c r="G144" s="1"/>
      <c r="H144" t="s">
        <v>1111</v>
      </c>
    </row>
    <row r="145">
      <c r="A145" t="s">
        <v>433</v>
      </c>
      <c r="B145" s="1">
        <v>3</v>
      </c>
      <c r="C145" t="s">
        <v>1077</v>
      </c>
      <c r="D145" s="1">
        <v>406.7392738953648</v>
      </c>
      <c r="E145" s="1">
        <v>1719001.358955383</v>
      </c>
      <c r="F145" t="s">
        <v>1095</v>
      </c>
      <c r="G145" s="1"/>
      <c r="H145" t="s">
        <v>1111</v>
      </c>
    </row>
    <row r="146">
      <c r="A146" t="s">
        <v>438</v>
      </c>
      <c r="B146" s="1">
        <v>4</v>
      </c>
      <c r="C146" t="s">
        <v>1074</v>
      </c>
      <c r="D146" s="1">
        <v>621783.9293518066</v>
      </c>
      <c r="E146" s="1">
        <v>1733452.398880005</v>
      </c>
      <c r="F146" t="s">
        <v>1086</v>
      </c>
      <c r="G146" s="1"/>
      <c r="H146" t="s">
        <v>1111</v>
      </c>
    </row>
    <row r="147">
      <c r="A147" t="s">
        <v>439</v>
      </c>
      <c r="B147" s="1">
        <v>4</v>
      </c>
      <c r="C147" t="s">
        <v>1075</v>
      </c>
      <c r="D147" s="1">
        <v>2558126058.444163</v>
      </c>
      <c r="E147" s="1">
        <v>1733452.398880005</v>
      </c>
      <c r="F147" t="s">
        <v>1086</v>
      </c>
      <c r="G147" s="1"/>
      <c r="H147" t="s">
        <v>1111</v>
      </c>
    </row>
    <row r="148">
      <c r="A148" t="s">
        <v>440</v>
      </c>
      <c r="B148" s="1">
        <v>4</v>
      </c>
      <c r="C148" t="s">
        <v>1076</v>
      </c>
      <c r="D148" s="1">
        <v>0.3586968582197846</v>
      </c>
      <c r="E148" s="1">
        <v>1733452.398880005</v>
      </c>
      <c r="F148" t="s">
        <v>1086</v>
      </c>
      <c r="G148" s="1"/>
      <c r="H148" t="s">
        <v>1111</v>
      </c>
    </row>
    <row r="149">
      <c r="A149" t="s">
        <v>441</v>
      </c>
      <c r="B149" s="1">
        <v>4</v>
      </c>
      <c r="C149" t="s">
        <v>1077</v>
      </c>
      <c r="D149" s="1">
        <v>1475.740585721873</v>
      </c>
      <c r="E149" s="1">
        <v>1733452.398880005</v>
      </c>
      <c r="F149" t="s">
        <v>1086</v>
      </c>
      <c r="G149" s="1"/>
      <c r="H149" t="s">
        <v>1111</v>
      </c>
    </row>
    <row r="150">
      <c r="A150" t="s">
        <v>478</v>
      </c>
      <c r="B150" s="1">
        <v>4</v>
      </c>
      <c r="C150" t="s">
        <v>1074</v>
      </c>
      <c r="D150" s="1">
        <v>1733452.398880005</v>
      </c>
      <c r="E150" s="1">
        <v>1733452.398880005</v>
      </c>
      <c r="F150" t="s">
        <v>1096</v>
      </c>
      <c r="G150" s="1"/>
      <c r="H150" t="s">
        <v>1111</v>
      </c>
    </row>
    <row r="151">
      <c r="A151" t="s">
        <v>479</v>
      </c>
      <c r="B151" s="1">
        <v>4</v>
      </c>
      <c r="C151" t="s">
        <v>1075</v>
      </c>
      <c r="D151" s="1">
        <v>11621929158.97032</v>
      </c>
      <c r="E151" s="1">
        <v>1733452.398880005</v>
      </c>
      <c r="F151" t="s">
        <v>1096</v>
      </c>
      <c r="G151" s="1"/>
      <c r="H151" t="s">
        <v>1111</v>
      </c>
    </row>
    <row r="152">
      <c r="A152" t="s">
        <v>480</v>
      </c>
      <c r="B152" s="1">
        <v>4</v>
      </c>
      <c r="C152" t="s">
        <v>1076</v>
      </c>
      <c r="D152" s="1">
        <v>1</v>
      </c>
      <c r="E152" s="1">
        <v>1733452.398880005</v>
      </c>
      <c r="F152" t="s">
        <v>1096</v>
      </c>
      <c r="G152" s="1"/>
      <c r="H152" t="s">
        <v>1111</v>
      </c>
    </row>
    <row r="153">
      <c r="A153" t="s">
        <v>481</v>
      </c>
      <c r="B153" s="1">
        <v>4</v>
      </c>
      <c r="C153" t="s">
        <v>1077</v>
      </c>
      <c r="D153" s="1">
        <v>6704.498587027442</v>
      </c>
      <c r="E153" s="1">
        <v>1733452.398880005</v>
      </c>
      <c r="F153" t="s">
        <v>1096</v>
      </c>
      <c r="G153" s="1"/>
      <c r="H153" t="s">
        <v>1111</v>
      </c>
    </row>
    <row r="154">
      <c r="A154" t="s">
        <v>442</v>
      </c>
      <c r="B154" s="1">
        <v>4</v>
      </c>
      <c r="C154" t="s">
        <v>1074</v>
      </c>
      <c r="D154" s="1">
        <v>645015.6496887207</v>
      </c>
      <c r="E154" s="1">
        <v>1733452.398880005</v>
      </c>
      <c r="F154" t="s">
        <v>1087</v>
      </c>
      <c r="G154" s="1"/>
      <c r="H154" t="s">
        <v>1111</v>
      </c>
    </row>
    <row r="155">
      <c r="A155" t="s">
        <v>443</v>
      </c>
      <c r="B155" s="1">
        <v>4</v>
      </c>
      <c r="C155" t="s">
        <v>1075</v>
      </c>
      <c r="D155" s="1">
        <v>960356088.156191</v>
      </c>
      <c r="E155" s="1">
        <v>1733452.398880005</v>
      </c>
      <c r="F155" t="s">
        <v>1087</v>
      </c>
      <c r="G155" s="1"/>
      <c r="H155" t="s">
        <v>1111</v>
      </c>
    </row>
    <row r="156">
      <c r="A156" t="s">
        <v>444</v>
      </c>
      <c r="B156" s="1">
        <v>4</v>
      </c>
      <c r="C156" t="s">
        <v>1076</v>
      </c>
      <c r="D156" s="1">
        <v>0.3720988531934708</v>
      </c>
      <c r="E156" s="1">
        <v>1733452.398880005</v>
      </c>
      <c r="F156" t="s">
        <v>1087</v>
      </c>
      <c r="G156" s="1"/>
      <c r="H156" t="s">
        <v>1111</v>
      </c>
    </row>
    <row r="157">
      <c r="A157" t="s">
        <v>445</v>
      </c>
      <c r="B157" s="1">
        <v>4</v>
      </c>
      <c r="C157" t="s">
        <v>1077</v>
      </c>
      <c r="D157" s="1">
        <v>554.0135332107668</v>
      </c>
      <c r="E157" s="1">
        <v>1733452.398880005</v>
      </c>
      <c r="F157" t="s">
        <v>1087</v>
      </c>
      <c r="G157" s="1"/>
      <c r="H157" t="s">
        <v>1111</v>
      </c>
    </row>
    <row r="158">
      <c r="A158" t="s">
        <v>446</v>
      </c>
      <c r="B158" s="1">
        <v>4</v>
      </c>
      <c r="C158" t="s">
        <v>1074</v>
      </c>
      <c r="D158" s="1">
        <v>1733452.398880005</v>
      </c>
      <c r="E158" s="1">
        <v>1733452.398880005</v>
      </c>
      <c r="F158" t="s">
        <v>1088</v>
      </c>
      <c r="G158" s="1"/>
      <c r="H158" t="s">
        <v>1111</v>
      </c>
    </row>
    <row r="159">
      <c r="A159" t="s">
        <v>447</v>
      </c>
      <c r="B159" s="1">
        <v>4</v>
      </c>
      <c r="C159" t="s">
        <v>1075</v>
      </c>
      <c r="D159" s="1">
        <v>12582285247.12651</v>
      </c>
      <c r="E159" s="1">
        <v>1733452.398880005</v>
      </c>
      <c r="F159" t="s">
        <v>1088</v>
      </c>
      <c r="G159" s="1"/>
      <c r="H159" t="s">
        <v>1111</v>
      </c>
    </row>
    <row r="160">
      <c r="A160" t="s">
        <v>448</v>
      </c>
      <c r="B160" s="1">
        <v>4</v>
      </c>
      <c r="C160" t="s">
        <v>1076</v>
      </c>
      <c r="D160" s="1">
        <v>1</v>
      </c>
      <c r="E160" s="1">
        <v>1733452.398880005</v>
      </c>
      <c r="F160" t="s">
        <v>1088</v>
      </c>
      <c r="G160" s="1"/>
      <c r="H160" t="s">
        <v>1111</v>
      </c>
    </row>
    <row r="161">
      <c r="A161" t="s">
        <v>449</v>
      </c>
      <c r="B161" s="1">
        <v>4</v>
      </c>
      <c r="C161" t="s">
        <v>1077</v>
      </c>
      <c r="D161" s="1">
        <v>7258.51212023821</v>
      </c>
      <c r="E161" s="1">
        <v>1733452.398880005</v>
      </c>
      <c r="F161" t="s">
        <v>1088</v>
      </c>
      <c r="G161" s="1"/>
      <c r="H161" t="s">
        <v>1111</v>
      </c>
    </row>
    <row r="162">
      <c r="A162" t="s">
        <v>450</v>
      </c>
      <c r="B162" s="1">
        <v>4</v>
      </c>
      <c r="C162" t="s">
        <v>1074</v>
      </c>
      <c r="D162" s="1">
        <v>1733452.398880005</v>
      </c>
      <c r="E162" s="1">
        <v>1733452.398880005</v>
      </c>
      <c r="F162" t="s">
        <v>1089</v>
      </c>
      <c r="G162" s="1"/>
      <c r="H162" t="s">
        <v>1111</v>
      </c>
    </row>
    <row r="163">
      <c r="A163" t="s">
        <v>451</v>
      </c>
      <c r="B163" s="1">
        <v>4</v>
      </c>
      <c r="C163" t="s">
        <v>1075</v>
      </c>
      <c r="D163" s="1">
        <v>4370256550.13678</v>
      </c>
      <c r="E163" s="1">
        <v>1733452.398880005</v>
      </c>
      <c r="F163" t="s">
        <v>1089</v>
      </c>
      <c r="G163" s="1"/>
      <c r="H163" t="s">
        <v>1111</v>
      </c>
    </row>
    <row r="164">
      <c r="A164" t="s">
        <v>452</v>
      </c>
      <c r="B164" s="1">
        <v>4</v>
      </c>
      <c r="C164" t="s">
        <v>1076</v>
      </c>
      <c r="D164" s="1">
        <v>1</v>
      </c>
      <c r="E164" s="1">
        <v>1733452.398880005</v>
      </c>
      <c r="F164" t="s">
        <v>1089</v>
      </c>
      <c r="G164" s="1"/>
      <c r="H164" t="s">
        <v>1111</v>
      </c>
    </row>
    <row r="165">
      <c r="A165" t="s">
        <v>453</v>
      </c>
      <c r="B165" s="1">
        <v>4</v>
      </c>
      <c r="C165" t="s">
        <v>1077</v>
      </c>
      <c r="D165" s="1">
        <v>2521.128675330474</v>
      </c>
      <c r="E165" s="1">
        <v>1733452.398880005</v>
      </c>
      <c r="F165" t="s">
        <v>1089</v>
      </c>
      <c r="G165" s="1"/>
      <c r="H165" t="s">
        <v>1111</v>
      </c>
    </row>
    <row r="166">
      <c r="A166" t="s">
        <v>454</v>
      </c>
      <c r="B166" s="1">
        <v>4</v>
      </c>
      <c r="C166" t="s">
        <v>1074</v>
      </c>
      <c r="D166" s="1">
        <v>1733452.398880005</v>
      </c>
      <c r="E166" s="1">
        <v>1733452.398880005</v>
      </c>
      <c r="F166" t="s">
        <v>1090</v>
      </c>
      <c r="G166" s="1"/>
      <c r="H166" t="s">
        <v>1111</v>
      </c>
    </row>
    <row r="167">
      <c r="A167" t="s">
        <v>455</v>
      </c>
      <c r="B167" s="1">
        <v>4</v>
      </c>
      <c r="C167" t="s">
        <v>1075</v>
      </c>
      <c r="D167" s="1">
        <v>6928382608.580943</v>
      </c>
      <c r="E167" s="1">
        <v>1733452.398880005</v>
      </c>
      <c r="F167" t="s">
        <v>1090</v>
      </c>
      <c r="G167" s="1"/>
      <c r="H167" t="s">
        <v>1111</v>
      </c>
    </row>
    <row r="168">
      <c r="A168" t="s">
        <v>456</v>
      </c>
      <c r="B168" s="1">
        <v>4</v>
      </c>
      <c r="C168" t="s">
        <v>1076</v>
      </c>
      <c r="D168" s="1">
        <v>1</v>
      </c>
      <c r="E168" s="1">
        <v>1733452.398880005</v>
      </c>
      <c r="F168" t="s">
        <v>1090</v>
      </c>
      <c r="G168" s="1"/>
      <c r="H168" t="s">
        <v>1111</v>
      </c>
    </row>
    <row r="169">
      <c r="A169" t="s">
        <v>457</v>
      </c>
      <c r="B169" s="1">
        <v>4</v>
      </c>
      <c r="C169" t="s">
        <v>1077</v>
      </c>
      <c r="D169" s="1">
        <v>3996.869261052347</v>
      </c>
      <c r="E169" s="1">
        <v>1733452.398880005</v>
      </c>
      <c r="F169" t="s">
        <v>1090</v>
      </c>
      <c r="G169" s="1"/>
      <c r="H169" t="s">
        <v>1111</v>
      </c>
    </row>
    <row r="170">
      <c r="A170" t="s">
        <v>458</v>
      </c>
      <c r="B170" s="1">
        <v>4</v>
      </c>
      <c r="C170" t="s">
        <v>1074</v>
      </c>
      <c r="D170" s="1">
        <v>830719.1408843994</v>
      </c>
      <c r="E170" s="1">
        <v>1733452.398880005</v>
      </c>
      <c r="F170" t="s">
        <v>1091</v>
      </c>
      <c r="G170" s="1"/>
      <c r="H170" t="s">
        <v>1111</v>
      </c>
    </row>
    <row r="171">
      <c r="A171" t="s">
        <v>459</v>
      </c>
      <c r="B171" s="1">
        <v>4</v>
      </c>
      <c r="C171" t="s">
        <v>1075</v>
      </c>
      <c r="D171" s="1">
        <v>4273443214.7667</v>
      </c>
      <c r="E171" s="1">
        <v>1733452.398880005</v>
      </c>
      <c r="F171" t="s">
        <v>1091</v>
      </c>
      <c r="G171" s="1"/>
      <c r="H171" t="s">
        <v>1111</v>
      </c>
    </row>
    <row r="172">
      <c r="A172" t="s">
        <v>460</v>
      </c>
      <c r="B172" s="1">
        <v>4</v>
      </c>
      <c r="C172" t="s">
        <v>1076</v>
      </c>
      <c r="D172" s="1">
        <v>0.4792281238418387</v>
      </c>
      <c r="E172" s="1">
        <v>1733452.398880005</v>
      </c>
      <c r="F172" t="s">
        <v>1091</v>
      </c>
      <c r="G172" s="1"/>
      <c r="H172" t="s">
        <v>1111</v>
      </c>
    </row>
    <row r="173">
      <c r="A173" t="s">
        <v>461</v>
      </c>
      <c r="B173" s="1">
        <v>4</v>
      </c>
      <c r="C173" t="s">
        <v>1077</v>
      </c>
      <c r="D173" s="1">
        <v>2465.278664431628</v>
      </c>
      <c r="E173" s="1">
        <v>1733452.398880005</v>
      </c>
      <c r="F173" t="s">
        <v>1091</v>
      </c>
      <c r="G173" s="1"/>
      <c r="H173" t="s">
        <v>1111</v>
      </c>
    </row>
    <row r="174">
      <c r="A174" t="s">
        <v>462</v>
      </c>
      <c r="B174" s="1">
        <v>4</v>
      </c>
      <c r="C174" t="s">
        <v>1074</v>
      </c>
      <c r="D174" s="1">
        <v>1733452.398880005</v>
      </c>
      <c r="E174" s="1">
        <v>1733452.398880005</v>
      </c>
      <c r="F174" t="s">
        <v>1092</v>
      </c>
      <c r="G174" s="1"/>
      <c r="H174" t="s">
        <v>1111</v>
      </c>
    </row>
    <row r="175">
      <c r="A175" t="s">
        <v>463</v>
      </c>
      <c r="B175" s="1">
        <v>4</v>
      </c>
      <c r="C175" t="s">
        <v>1075</v>
      </c>
      <c r="D175" s="1">
        <v>1380459423.778871</v>
      </c>
      <c r="E175" s="1">
        <v>1733452.398880005</v>
      </c>
      <c r="F175" t="s">
        <v>1092</v>
      </c>
      <c r="G175" s="1"/>
      <c r="H175" t="s">
        <v>1111</v>
      </c>
    </row>
    <row r="176">
      <c r="A176" t="s">
        <v>464</v>
      </c>
      <c r="B176" s="1">
        <v>4</v>
      </c>
      <c r="C176" t="s">
        <v>1076</v>
      </c>
      <c r="D176" s="1">
        <v>1</v>
      </c>
      <c r="E176" s="1">
        <v>1733452.398880005</v>
      </c>
      <c r="F176" t="s">
        <v>1092</v>
      </c>
      <c r="G176" s="1"/>
      <c r="H176" t="s">
        <v>1111</v>
      </c>
    </row>
    <row r="177">
      <c r="A177" t="s">
        <v>465</v>
      </c>
      <c r="B177" s="1">
        <v>4</v>
      </c>
      <c r="C177" t="s">
        <v>1077</v>
      </c>
      <c r="D177" s="1">
        <v>796.3641947542343</v>
      </c>
      <c r="E177" s="1">
        <v>1733452.398880005</v>
      </c>
      <c r="F177" t="s">
        <v>1092</v>
      </c>
      <c r="G177" s="1"/>
      <c r="H177" t="s">
        <v>1111</v>
      </c>
    </row>
    <row r="178">
      <c r="A178" t="s">
        <v>466</v>
      </c>
      <c r="B178" s="1">
        <v>4</v>
      </c>
      <c r="C178" t="s">
        <v>1074</v>
      </c>
      <c r="D178" s="1">
        <v>1733452.398880005</v>
      </c>
      <c r="E178" s="1">
        <v>1733452.398880005</v>
      </c>
      <c r="F178" t="s">
        <v>1093</v>
      </c>
      <c r="G178" s="1"/>
      <c r="H178" t="s">
        <v>1111</v>
      </c>
    </row>
    <row r="179">
      <c r="A179" t="s">
        <v>467</v>
      </c>
      <c r="B179" s="1">
        <v>4</v>
      </c>
      <c r="C179" t="s">
        <v>1075</v>
      </c>
      <c r="D179" s="1">
        <v>5653902638.545571</v>
      </c>
      <c r="E179" s="1">
        <v>1733452.398880005</v>
      </c>
      <c r="F179" t="s">
        <v>1093</v>
      </c>
      <c r="G179" s="1"/>
      <c r="H179" t="s">
        <v>1111</v>
      </c>
    </row>
    <row r="180">
      <c r="A180" t="s">
        <v>468</v>
      </c>
      <c r="B180" s="1">
        <v>4</v>
      </c>
      <c r="C180" t="s">
        <v>1076</v>
      </c>
      <c r="D180" s="1">
        <v>1</v>
      </c>
      <c r="E180" s="1">
        <v>1733452.398880005</v>
      </c>
      <c r="F180" t="s">
        <v>1093</v>
      </c>
      <c r="G180" s="1"/>
      <c r="H180" t="s">
        <v>1111</v>
      </c>
    </row>
    <row r="181">
      <c r="A181" t="s">
        <v>469</v>
      </c>
      <c r="B181" s="1">
        <v>4</v>
      </c>
      <c r="C181" t="s">
        <v>1077</v>
      </c>
      <c r="D181" s="1">
        <v>3261.642859185863</v>
      </c>
      <c r="E181" s="1">
        <v>1733452.398880005</v>
      </c>
      <c r="F181" t="s">
        <v>1093</v>
      </c>
      <c r="G181" s="1"/>
      <c r="H181" t="s">
        <v>1111</v>
      </c>
    </row>
    <row r="182">
      <c r="A182" t="s">
        <v>1136</v>
      </c>
      <c r="B182" s="1">
        <v>4</v>
      </c>
      <c r="C182" t="s">
        <v>1074</v>
      </c>
      <c r="D182" s="1">
        <v>830719.1408843994</v>
      </c>
      <c r="E182" s="1">
        <v>1733452.398880005</v>
      </c>
      <c r="F182" t="s">
        <v>1193</v>
      </c>
      <c r="G182" s="1"/>
      <c r="H182" t="s">
        <v>1111</v>
      </c>
    </row>
    <row r="183">
      <c r="A183" t="s">
        <v>1137</v>
      </c>
      <c r="B183" s="1">
        <v>4</v>
      </c>
      <c r="C183" t="s">
        <v>1075</v>
      </c>
      <c r="D183" s="1">
        <v>10646852463.23067</v>
      </c>
      <c r="E183" s="1">
        <v>1733452.398880005</v>
      </c>
      <c r="F183" t="s">
        <v>1193</v>
      </c>
      <c r="G183" s="1"/>
      <c r="H183" t="s">
        <v>1111</v>
      </c>
    </row>
    <row r="184">
      <c r="A184" t="s">
        <v>1138</v>
      </c>
      <c r="B184" s="1">
        <v>4</v>
      </c>
      <c r="C184" t="s">
        <v>1076</v>
      </c>
      <c r="D184" s="1">
        <v>0.4792281238418387</v>
      </c>
      <c r="E184" s="1">
        <v>1733452.398880005</v>
      </c>
      <c r="F184" t="s">
        <v>1193</v>
      </c>
      <c r="G184" s="1"/>
      <c r="H184" t="s">
        <v>1111</v>
      </c>
    </row>
    <row r="185">
      <c r="A185" t="s">
        <v>1139</v>
      </c>
      <c r="B185" s="1">
        <v>4</v>
      </c>
      <c r="C185" t="s">
        <v>1077</v>
      </c>
      <c r="D185" s="1">
        <v>6141.992978930179</v>
      </c>
      <c r="E185" s="1">
        <v>1733452.398880005</v>
      </c>
      <c r="F185" t="s">
        <v>1193</v>
      </c>
      <c r="G185" s="1"/>
      <c r="H185" t="s">
        <v>1111</v>
      </c>
    </row>
    <row r="186">
      <c r="A186" t="s">
        <v>470</v>
      </c>
      <c r="B186" s="1">
        <v>4</v>
      </c>
      <c r="C186" t="s">
        <v>1074</v>
      </c>
      <c r="D186" s="1">
        <v>93427.42993164063</v>
      </c>
      <c r="E186" s="1">
        <v>1733452.398880005</v>
      </c>
      <c r="F186" t="s">
        <v>1094</v>
      </c>
      <c r="G186" s="1"/>
      <c r="H186" t="s">
        <v>1111</v>
      </c>
    </row>
    <row r="187">
      <c r="A187" t="s">
        <v>471</v>
      </c>
      <c r="B187" s="1">
        <v>4</v>
      </c>
      <c r="C187" t="s">
        <v>1075</v>
      </c>
      <c r="D187" s="1">
        <v>35545276.07159918</v>
      </c>
      <c r="E187" s="1">
        <v>1733452.398880005</v>
      </c>
      <c r="F187" t="s">
        <v>1094</v>
      </c>
      <c r="G187" s="1"/>
      <c r="H187" t="s">
        <v>1111</v>
      </c>
    </row>
    <row r="188">
      <c r="A188" t="s">
        <v>472</v>
      </c>
      <c r="B188" s="1">
        <v>4</v>
      </c>
      <c r="C188" t="s">
        <v>1076</v>
      </c>
      <c r="D188" s="1">
        <v>0.05389673808868631</v>
      </c>
      <c r="E188" s="1">
        <v>1733452.398880005</v>
      </c>
      <c r="F188" t="s">
        <v>1094</v>
      </c>
      <c r="G188" s="1"/>
      <c r="H188" t="s">
        <v>1111</v>
      </c>
    </row>
    <row r="189">
      <c r="A189" t="s">
        <v>473</v>
      </c>
      <c r="B189" s="1">
        <v>4</v>
      </c>
      <c r="C189" t="s">
        <v>1077</v>
      </c>
      <c r="D189" s="1">
        <v>20.50548148571326</v>
      </c>
      <c r="E189" s="1">
        <v>1733452.398880005</v>
      </c>
      <c r="F189" t="s">
        <v>1094</v>
      </c>
      <c r="G189" s="1"/>
      <c r="H189" t="s">
        <v>1111</v>
      </c>
    </row>
    <row r="190">
      <c r="A190" t="s">
        <v>474</v>
      </c>
      <c r="B190" s="1">
        <v>4</v>
      </c>
      <c r="C190" t="s">
        <v>1074</v>
      </c>
      <c r="D190" s="1">
        <v>621783.9293518066</v>
      </c>
      <c r="E190" s="1">
        <v>1733452.398880005</v>
      </c>
      <c r="F190" t="s">
        <v>1095</v>
      </c>
      <c r="G190" s="1"/>
      <c r="H190" t="s">
        <v>1111</v>
      </c>
    </row>
    <row r="191">
      <c r="A191" t="s">
        <v>475</v>
      </c>
      <c r="B191" s="1">
        <v>4</v>
      </c>
      <c r="C191" t="s">
        <v>1075</v>
      </c>
      <c r="D191" s="1">
        <v>924810812.0845917</v>
      </c>
      <c r="E191" s="1">
        <v>1733452.398880005</v>
      </c>
      <c r="F191" t="s">
        <v>1095</v>
      </c>
      <c r="G191" s="1"/>
      <c r="H191" t="s">
        <v>1111</v>
      </c>
    </row>
    <row r="192">
      <c r="A192" t="s">
        <v>476</v>
      </c>
      <c r="B192" s="1">
        <v>4</v>
      </c>
      <c r="C192" t="s">
        <v>1076</v>
      </c>
      <c r="D192" s="1">
        <v>0.3586968582197846</v>
      </c>
      <c r="E192" s="1">
        <v>1733452.398880005</v>
      </c>
      <c r="F192" t="s">
        <v>1095</v>
      </c>
      <c r="G192" s="1"/>
      <c r="H192" t="s">
        <v>1111</v>
      </c>
    </row>
    <row r="193">
      <c r="A193" t="s">
        <v>477</v>
      </c>
      <c r="B193" s="1">
        <v>4</v>
      </c>
      <c r="C193" t="s">
        <v>1077</v>
      </c>
      <c r="D193" s="1">
        <v>533.5080517250535</v>
      </c>
      <c r="E193" s="1">
        <v>1733452.398880005</v>
      </c>
      <c r="F193" t="s">
        <v>1095</v>
      </c>
      <c r="G193" s="1"/>
      <c r="H193" t="s">
        <v>1111</v>
      </c>
    </row>
    <row r="194">
      <c r="A194" t="s">
        <v>482</v>
      </c>
      <c r="B194" s="1">
        <v>5</v>
      </c>
      <c r="C194" t="s">
        <v>1074</v>
      </c>
      <c r="D194" s="1">
        <v>857376.8646697998</v>
      </c>
      <c r="E194" s="1">
        <v>1725920.39100647</v>
      </c>
      <c r="F194" t="s">
        <v>1086</v>
      </c>
      <c r="G194" s="1"/>
      <c r="H194" t="s">
        <v>1111</v>
      </c>
    </row>
    <row r="195">
      <c r="A195" t="s">
        <v>483</v>
      </c>
      <c r="B195" s="1">
        <v>5</v>
      </c>
      <c r="C195" t="s">
        <v>1075</v>
      </c>
      <c r="D195" s="1">
        <v>3721350433.011301</v>
      </c>
      <c r="E195" s="1">
        <v>1725920.39100647</v>
      </c>
      <c r="F195" t="s">
        <v>1086</v>
      </c>
      <c r="G195" s="1"/>
      <c r="H195" t="s">
        <v>1111</v>
      </c>
    </row>
    <row r="196">
      <c r="A196" t="s">
        <v>484</v>
      </c>
      <c r="B196" s="1">
        <v>5</v>
      </c>
      <c r="C196" t="s">
        <v>1076</v>
      </c>
      <c r="D196" s="1">
        <v>0.4967650125332959</v>
      </c>
      <c r="E196" s="1">
        <v>1725920.39100647</v>
      </c>
      <c r="F196" t="s">
        <v>1086</v>
      </c>
      <c r="G196" s="1"/>
      <c r="H196" t="s">
        <v>1111</v>
      </c>
    </row>
    <row r="197">
      <c r="A197" t="s">
        <v>485</v>
      </c>
      <c r="B197" s="1">
        <v>5</v>
      </c>
      <c r="C197" t="s">
        <v>1077</v>
      </c>
      <c r="D197" s="1">
        <v>2156.154161224781</v>
      </c>
      <c r="E197" s="1">
        <v>1725920.39100647</v>
      </c>
      <c r="F197" t="s">
        <v>1086</v>
      </c>
      <c r="G197" s="1"/>
      <c r="H197" t="s">
        <v>1111</v>
      </c>
    </row>
    <row r="198">
      <c r="A198" t="s">
        <v>522</v>
      </c>
      <c r="B198" s="1">
        <v>5</v>
      </c>
      <c r="C198" t="s">
        <v>1074</v>
      </c>
      <c r="D198" s="1">
        <v>1725920.39100647</v>
      </c>
      <c r="E198" s="1">
        <v>1725920.39100647</v>
      </c>
      <c r="F198" t="s">
        <v>1096</v>
      </c>
      <c r="G198" s="1"/>
      <c r="H198" t="s">
        <v>1111</v>
      </c>
    </row>
    <row r="199">
      <c r="A199" t="s">
        <v>523</v>
      </c>
      <c r="B199" s="1">
        <v>5</v>
      </c>
      <c r="C199" t="s">
        <v>1075</v>
      </c>
      <c r="D199" s="1">
        <v>14447790884.7555</v>
      </c>
      <c r="E199" s="1">
        <v>1725920.39100647</v>
      </c>
      <c r="F199" t="s">
        <v>1096</v>
      </c>
      <c r="G199" s="1"/>
      <c r="H199" t="s">
        <v>1111</v>
      </c>
    </row>
    <row r="200">
      <c r="A200" t="s">
        <v>524</v>
      </c>
      <c r="B200" s="1">
        <v>5</v>
      </c>
      <c r="C200" t="s">
        <v>1076</v>
      </c>
      <c r="D200" s="1">
        <v>1</v>
      </c>
      <c r="E200" s="1">
        <v>1725920.39100647</v>
      </c>
      <c r="F200" t="s">
        <v>1096</v>
      </c>
      <c r="G200" s="1"/>
      <c r="H200" t="s">
        <v>1111</v>
      </c>
    </row>
    <row r="201">
      <c r="A201" t="s">
        <v>525</v>
      </c>
      <c r="B201" s="1">
        <v>5</v>
      </c>
      <c r="C201" t="s">
        <v>1077</v>
      </c>
      <c r="D201" s="1">
        <v>8371.064482487674</v>
      </c>
      <c r="E201" s="1">
        <v>1725920.39100647</v>
      </c>
      <c r="F201" t="s">
        <v>1096</v>
      </c>
      <c r="G201" s="1"/>
      <c r="H201" t="s">
        <v>1111</v>
      </c>
    </row>
    <row r="202">
      <c r="A202" t="s">
        <v>486</v>
      </c>
      <c r="B202" s="1">
        <v>5</v>
      </c>
      <c r="C202" t="s">
        <v>1074</v>
      </c>
      <c r="D202" s="1">
        <v>874642.0035858154</v>
      </c>
      <c r="E202" s="1">
        <v>1725920.39100647</v>
      </c>
      <c r="F202" t="s">
        <v>1087</v>
      </c>
      <c r="G202" s="1"/>
      <c r="H202" t="s">
        <v>1111</v>
      </c>
    </row>
    <row r="203">
      <c r="A203" t="s">
        <v>487</v>
      </c>
      <c r="B203" s="1">
        <v>5</v>
      </c>
      <c r="C203" t="s">
        <v>1075</v>
      </c>
      <c r="D203" s="1">
        <v>1344139405.361763</v>
      </c>
      <c r="E203" s="1">
        <v>1725920.39100647</v>
      </c>
      <c r="F203" t="s">
        <v>1087</v>
      </c>
      <c r="G203" s="1"/>
      <c r="H203" t="s">
        <v>1111</v>
      </c>
    </row>
    <row r="204">
      <c r="A204" t="s">
        <v>488</v>
      </c>
      <c r="B204" s="1">
        <v>5</v>
      </c>
      <c r="C204" t="s">
        <v>1076</v>
      </c>
      <c r="D204" s="1">
        <v>0.5067684512816772</v>
      </c>
      <c r="E204" s="1">
        <v>1725920.39100647</v>
      </c>
      <c r="F204" t="s">
        <v>1087</v>
      </c>
      <c r="G204" s="1"/>
      <c r="H204" t="s">
        <v>1111</v>
      </c>
    </row>
    <row r="205">
      <c r="A205" t="s">
        <v>489</v>
      </c>
      <c r="B205" s="1">
        <v>5</v>
      </c>
      <c r="C205" t="s">
        <v>1077</v>
      </c>
      <c r="D205" s="1">
        <v>778.7957152403355</v>
      </c>
      <c r="E205" s="1">
        <v>1725920.39100647</v>
      </c>
      <c r="F205" t="s">
        <v>1087</v>
      </c>
      <c r="G205" s="1"/>
      <c r="H205" t="s">
        <v>1111</v>
      </c>
    </row>
    <row r="206">
      <c r="A206" t="s">
        <v>490</v>
      </c>
      <c r="B206" s="1">
        <v>5</v>
      </c>
      <c r="C206" t="s">
        <v>1074</v>
      </c>
      <c r="D206" s="1">
        <v>1725920.39100647</v>
      </c>
      <c r="E206" s="1">
        <v>1725920.39100647</v>
      </c>
      <c r="F206" t="s">
        <v>1088</v>
      </c>
      <c r="G206" s="1"/>
      <c r="H206" t="s">
        <v>1111</v>
      </c>
    </row>
    <row r="207">
      <c r="A207" t="s">
        <v>491</v>
      </c>
      <c r="B207" s="1">
        <v>5</v>
      </c>
      <c r="C207" t="s">
        <v>1075</v>
      </c>
      <c r="D207" s="1">
        <v>15791930290.11726</v>
      </c>
      <c r="E207" s="1">
        <v>1725920.39100647</v>
      </c>
      <c r="F207" t="s">
        <v>1088</v>
      </c>
      <c r="G207" s="1"/>
      <c r="H207" t="s">
        <v>1111</v>
      </c>
    </row>
    <row r="208">
      <c r="A208" t="s">
        <v>492</v>
      </c>
      <c r="B208" s="1">
        <v>5</v>
      </c>
      <c r="C208" t="s">
        <v>1076</v>
      </c>
      <c r="D208" s="1">
        <v>1</v>
      </c>
      <c r="E208" s="1">
        <v>1725920.39100647</v>
      </c>
      <c r="F208" t="s">
        <v>1088</v>
      </c>
      <c r="G208" s="1"/>
      <c r="H208" t="s">
        <v>1111</v>
      </c>
    </row>
    <row r="209">
      <c r="A209" t="s">
        <v>493</v>
      </c>
      <c r="B209" s="1">
        <v>5</v>
      </c>
      <c r="C209" t="s">
        <v>1077</v>
      </c>
      <c r="D209" s="1">
        <v>9149.860197728009</v>
      </c>
      <c r="E209" s="1">
        <v>1725920.39100647</v>
      </c>
      <c r="F209" t="s">
        <v>1088</v>
      </c>
      <c r="G209" s="1"/>
      <c r="H209" t="s">
        <v>1111</v>
      </c>
    </row>
    <row r="210">
      <c r="A210" t="s">
        <v>494</v>
      </c>
      <c r="B210" s="1">
        <v>5</v>
      </c>
      <c r="C210" t="s">
        <v>1074</v>
      </c>
      <c r="D210" s="1">
        <v>1725920.39100647</v>
      </c>
      <c r="E210" s="1">
        <v>1725920.39100647</v>
      </c>
      <c r="F210" t="s">
        <v>1089</v>
      </c>
      <c r="G210" s="1"/>
      <c r="H210" t="s">
        <v>1111</v>
      </c>
    </row>
    <row r="211">
      <c r="A211" t="s">
        <v>495</v>
      </c>
      <c r="B211" s="1">
        <v>5</v>
      </c>
      <c r="C211" t="s">
        <v>1075</v>
      </c>
      <c r="D211" s="1">
        <v>5196283789.201163</v>
      </c>
      <c r="E211" s="1">
        <v>1725920.39100647</v>
      </c>
      <c r="F211" t="s">
        <v>1089</v>
      </c>
      <c r="G211" s="1"/>
      <c r="H211" t="s">
        <v>1111</v>
      </c>
    </row>
    <row r="212">
      <c r="A212" t="s">
        <v>496</v>
      </c>
      <c r="B212" s="1">
        <v>5</v>
      </c>
      <c r="C212" t="s">
        <v>1076</v>
      </c>
      <c r="D212" s="1">
        <v>1</v>
      </c>
      <c r="E212" s="1">
        <v>1725920.39100647</v>
      </c>
      <c r="F212" t="s">
        <v>1089</v>
      </c>
      <c r="G212" s="1"/>
      <c r="H212" t="s">
        <v>1111</v>
      </c>
    </row>
    <row r="213">
      <c r="A213" t="s">
        <v>497</v>
      </c>
      <c r="B213" s="1">
        <v>5</v>
      </c>
      <c r="C213" t="s">
        <v>1077</v>
      </c>
      <c r="D213" s="1">
        <v>3010.732022333285</v>
      </c>
      <c r="E213" s="1">
        <v>1725920.39100647</v>
      </c>
      <c r="F213" t="s">
        <v>1089</v>
      </c>
      <c r="G213" s="1"/>
      <c r="H213" t="s">
        <v>1111</v>
      </c>
    </row>
    <row r="214">
      <c r="A214" t="s">
        <v>498</v>
      </c>
      <c r="B214" s="1">
        <v>5</v>
      </c>
      <c r="C214" t="s">
        <v>1074</v>
      </c>
      <c r="D214" s="1">
        <v>1725920.39100647</v>
      </c>
      <c r="E214" s="1">
        <v>1725920.39100647</v>
      </c>
      <c r="F214" t="s">
        <v>1090</v>
      </c>
      <c r="G214" s="1"/>
      <c r="H214" t="s">
        <v>1111</v>
      </c>
    </row>
    <row r="215">
      <c r="A215" t="s">
        <v>499</v>
      </c>
      <c r="B215" s="1">
        <v>5</v>
      </c>
      <c r="C215" t="s">
        <v>1075</v>
      </c>
      <c r="D215" s="1">
        <v>8917634222.212463</v>
      </c>
      <c r="E215" s="1">
        <v>1725920.39100647</v>
      </c>
      <c r="F215" t="s">
        <v>1090</v>
      </c>
      <c r="G215" s="1"/>
      <c r="H215" t="s">
        <v>1111</v>
      </c>
    </row>
    <row r="216">
      <c r="A216" t="s">
        <v>500</v>
      </c>
      <c r="B216" s="1">
        <v>5</v>
      </c>
      <c r="C216" t="s">
        <v>1076</v>
      </c>
      <c r="D216" s="1">
        <v>1</v>
      </c>
      <c r="E216" s="1">
        <v>1725920.39100647</v>
      </c>
      <c r="F216" t="s">
        <v>1090</v>
      </c>
      <c r="G216" s="1"/>
      <c r="H216" t="s">
        <v>1111</v>
      </c>
    </row>
    <row r="217">
      <c r="A217" t="s">
        <v>501</v>
      </c>
      <c r="B217" s="1">
        <v>5</v>
      </c>
      <c r="C217" t="s">
        <v>1077</v>
      </c>
      <c r="D217" s="1">
        <v>5166.886183558066</v>
      </c>
      <c r="E217" s="1">
        <v>1725920.39100647</v>
      </c>
      <c r="F217" t="s">
        <v>1090</v>
      </c>
      <c r="G217" s="1"/>
      <c r="H217" t="s">
        <v>1111</v>
      </c>
    </row>
    <row r="218">
      <c r="A218" t="s">
        <v>502</v>
      </c>
      <c r="B218" s="1">
        <v>5</v>
      </c>
      <c r="C218" t="s">
        <v>1074</v>
      </c>
      <c r="D218" s="1">
        <v>940537.1029815674</v>
      </c>
      <c r="E218" s="1">
        <v>1725920.39100647</v>
      </c>
      <c r="F218" t="s">
        <v>1091</v>
      </c>
      <c r="G218" s="1"/>
      <c r="H218" t="s">
        <v>1111</v>
      </c>
    </row>
    <row r="219">
      <c r="A219" t="s">
        <v>503</v>
      </c>
      <c r="B219" s="1">
        <v>5</v>
      </c>
      <c r="C219" t="s">
        <v>1075</v>
      </c>
      <c r="D219" s="1">
        <v>5188882908.401187</v>
      </c>
      <c r="E219" s="1">
        <v>1725920.39100647</v>
      </c>
      <c r="F219" t="s">
        <v>1091</v>
      </c>
      <c r="G219" s="1"/>
      <c r="H219" t="s">
        <v>1111</v>
      </c>
    </row>
    <row r="220">
      <c r="A220" t="s">
        <v>504</v>
      </c>
      <c r="B220" s="1">
        <v>5</v>
      </c>
      <c r="C220" t="s">
        <v>1076</v>
      </c>
      <c r="D220" s="1">
        <v>0.5449481377487484</v>
      </c>
      <c r="E220" s="1">
        <v>1725920.39100647</v>
      </c>
      <c r="F220" t="s">
        <v>1091</v>
      </c>
      <c r="G220" s="1"/>
      <c r="H220" t="s">
        <v>1111</v>
      </c>
    </row>
    <row r="221">
      <c r="A221" t="s">
        <v>505</v>
      </c>
      <c r="B221" s="1">
        <v>5</v>
      </c>
      <c r="C221" t="s">
        <v>1077</v>
      </c>
      <c r="D221" s="1">
        <v>3006.443944598912</v>
      </c>
      <c r="E221" s="1">
        <v>1725920.39100647</v>
      </c>
      <c r="F221" t="s">
        <v>1091</v>
      </c>
      <c r="G221" s="1"/>
      <c r="H221" t="s">
        <v>1111</v>
      </c>
    </row>
    <row r="222">
      <c r="A222" t="s">
        <v>506</v>
      </c>
      <c r="B222" s="1">
        <v>5</v>
      </c>
      <c r="C222" t="s">
        <v>1074</v>
      </c>
      <c r="D222" s="1">
        <v>1725920.39100647</v>
      </c>
      <c r="E222" s="1">
        <v>1725920.39100647</v>
      </c>
      <c r="F222" t="s">
        <v>1092</v>
      </c>
      <c r="G222" s="1"/>
      <c r="H222" t="s">
        <v>1111</v>
      </c>
    </row>
    <row r="223">
      <c r="A223" t="s">
        <v>507</v>
      </c>
      <c r="B223" s="1">
        <v>5</v>
      </c>
      <c r="C223" t="s">
        <v>1075</v>
      </c>
      <c r="D223" s="1">
        <v>1685413159.503609</v>
      </c>
      <c r="E223" s="1">
        <v>1725920.39100647</v>
      </c>
      <c r="F223" t="s">
        <v>1092</v>
      </c>
      <c r="G223" s="1"/>
      <c r="H223" t="s">
        <v>1111</v>
      </c>
    </row>
    <row r="224">
      <c r="A224" t="s">
        <v>508</v>
      </c>
      <c r="B224" s="1">
        <v>5</v>
      </c>
      <c r="C224" t="s">
        <v>1076</v>
      </c>
      <c r="D224" s="1">
        <v>1</v>
      </c>
      <c r="E224" s="1">
        <v>1725920.39100647</v>
      </c>
      <c r="F224" t="s">
        <v>1092</v>
      </c>
      <c r="G224" s="1"/>
      <c r="H224" t="s">
        <v>1111</v>
      </c>
    </row>
    <row r="225">
      <c r="A225" t="s">
        <v>509</v>
      </c>
      <c r="B225" s="1">
        <v>5</v>
      </c>
      <c r="C225" t="s">
        <v>1077</v>
      </c>
      <c r="D225" s="1">
        <v>976.5300695710312</v>
      </c>
      <c r="E225" s="1">
        <v>1725920.39100647</v>
      </c>
      <c r="F225" t="s">
        <v>1092</v>
      </c>
      <c r="G225" s="1"/>
      <c r="H225" t="s">
        <v>1111</v>
      </c>
    </row>
    <row r="226">
      <c r="A226" t="s">
        <v>510</v>
      </c>
      <c r="B226" s="1">
        <v>5</v>
      </c>
      <c r="C226" t="s">
        <v>1074</v>
      </c>
      <c r="D226" s="1">
        <v>1725920.39100647</v>
      </c>
      <c r="E226" s="1">
        <v>1725920.39100647</v>
      </c>
      <c r="F226" t="s">
        <v>1093</v>
      </c>
      <c r="G226" s="1"/>
      <c r="H226" t="s">
        <v>1111</v>
      </c>
    </row>
    <row r="227">
      <c r="A227" t="s">
        <v>511</v>
      </c>
      <c r="B227" s="1">
        <v>5</v>
      </c>
      <c r="C227" t="s">
        <v>1075</v>
      </c>
      <c r="D227" s="1">
        <v>6874296067.904797</v>
      </c>
      <c r="E227" s="1">
        <v>1725920.39100647</v>
      </c>
      <c r="F227" t="s">
        <v>1093</v>
      </c>
      <c r="G227" s="1"/>
      <c r="H227" t="s">
        <v>1111</v>
      </c>
    </row>
    <row r="228">
      <c r="A228" t="s">
        <v>512</v>
      </c>
      <c r="B228" s="1">
        <v>5</v>
      </c>
      <c r="C228" t="s">
        <v>1076</v>
      </c>
      <c r="D228" s="1">
        <v>1</v>
      </c>
      <c r="E228" s="1">
        <v>1725920.39100647</v>
      </c>
      <c r="F228" t="s">
        <v>1093</v>
      </c>
      <c r="G228" s="1"/>
      <c r="H228" t="s">
        <v>1111</v>
      </c>
    </row>
    <row r="229">
      <c r="A229" t="s">
        <v>513</v>
      </c>
      <c r="B229" s="1">
        <v>5</v>
      </c>
      <c r="C229" t="s">
        <v>1077</v>
      </c>
      <c r="D229" s="1">
        <v>3982.974014169943</v>
      </c>
      <c r="E229" s="1">
        <v>1725920.39100647</v>
      </c>
      <c r="F229" t="s">
        <v>1093</v>
      </c>
      <c r="G229" s="1"/>
      <c r="H229" t="s">
        <v>1111</v>
      </c>
    </row>
    <row r="230">
      <c r="A230" t="s">
        <v>1140</v>
      </c>
      <c r="B230" s="1">
        <v>5</v>
      </c>
      <c r="C230" t="s">
        <v>1074</v>
      </c>
      <c r="D230" s="1">
        <v>940537.1029815674</v>
      </c>
      <c r="E230" s="1">
        <v>1725920.39100647</v>
      </c>
      <c r="F230" t="s">
        <v>1193</v>
      </c>
      <c r="G230" s="1"/>
      <c r="H230" t="s">
        <v>1111</v>
      </c>
    </row>
    <row r="231">
      <c r="A231" t="s">
        <v>1141</v>
      </c>
      <c r="B231" s="1">
        <v>5</v>
      </c>
      <c r="C231" t="s">
        <v>1075</v>
      </c>
      <c r="D231" s="1">
        <v>12787019102.64856</v>
      </c>
      <c r="E231" s="1">
        <v>1725920.39100647</v>
      </c>
      <c r="F231" t="s">
        <v>1193</v>
      </c>
      <c r="G231" s="1"/>
      <c r="H231" t="s">
        <v>1111</v>
      </c>
    </row>
    <row r="232">
      <c r="A232" t="s">
        <v>1142</v>
      </c>
      <c r="B232" s="1">
        <v>5</v>
      </c>
      <c r="C232" t="s">
        <v>1076</v>
      </c>
      <c r="D232" s="1">
        <v>0.5449481377487484</v>
      </c>
      <c r="E232" s="1">
        <v>1725920.39100647</v>
      </c>
      <c r="F232" t="s">
        <v>1193</v>
      </c>
      <c r="G232" s="1"/>
      <c r="H232" t="s">
        <v>1111</v>
      </c>
    </row>
    <row r="233">
      <c r="A233" t="s">
        <v>1143</v>
      </c>
      <c r="B233" s="1">
        <v>5</v>
      </c>
      <c r="C233" t="s">
        <v>1077</v>
      </c>
      <c r="D233" s="1">
        <v>7408.811651614946</v>
      </c>
      <c r="E233" s="1">
        <v>1725920.39100647</v>
      </c>
      <c r="F233" t="s">
        <v>1193</v>
      </c>
      <c r="G233" s="1"/>
      <c r="H233" t="s">
        <v>1111</v>
      </c>
    </row>
    <row r="234">
      <c r="A234" t="s">
        <v>514</v>
      </c>
      <c r="B234" s="1">
        <v>5</v>
      </c>
      <c r="C234" t="s">
        <v>1074</v>
      </c>
      <c r="D234" s="1">
        <v>59498.24230957031</v>
      </c>
      <c r="E234" s="1">
        <v>1725920.39100647</v>
      </c>
      <c r="F234" t="s">
        <v>1094</v>
      </c>
      <c r="G234" s="1"/>
      <c r="H234" t="s">
        <v>1111</v>
      </c>
    </row>
    <row r="235">
      <c r="A235" t="s">
        <v>515</v>
      </c>
      <c r="B235" s="1">
        <v>5</v>
      </c>
      <c r="C235" t="s">
        <v>1075</v>
      </c>
      <c r="D235" s="1">
        <v>31372996.53550914</v>
      </c>
      <c r="E235" s="1">
        <v>1725920.39100647</v>
      </c>
      <c r="F235" t="s">
        <v>1094</v>
      </c>
      <c r="G235" s="1"/>
      <c r="H235" t="s">
        <v>1111</v>
      </c>
    </row>
    <row r="236">
      <c r="A236" t="s">
        <v>516</v>
      </c>
      <c r="B236" s="1">
        <v>5</v>
      </c>
      <c r="C236" t="s">
        <v>1076</v>
      </c>
      <c r="D236" s="1">
        <v>0.03447334107622075</v>
      </c>
      <c r="E236" s="1">
        <v>1725920.39100647</v>
      </c>
      <c r="F236" t="s">
        <v>1094</v>
      </c>
      <c r="G236" s="1"/>
      <c r="H236" t="s">
        <v>1111</v>
      </c>
    </row>
    <row r="237">
      <c r="A237" t="s">
        <v>517</v>
      </c>
      <c r="B237" s="1">
        <v>5</v>
      </c>
      <c r="C237" t="s">
        <v>1077</v>
      </c>
      <c r="D237" s="1">
        <v>18.17754555713545</v>
      </c>
      <c r="E237" s="1">
        <v>1725920.39100647</v>
      </c>
      <c r="F237" t="s">
        <v>1094</v>
      </c>
      <c r="G237" s="1"/>
      <c r="H237" t="s">
        <v>1111</v>
      </c>
    </row>
    <row r="238">
      <c r="A238" t="s">
        <v>518</v>
      </c>
      <c r="B238" s="1">
        <v>5</v>
      </c>
      <c r="C238" t="s">
        <v>1074</v>
      </c>
      <c r="D238" s="1">
        <v>857376.8646697998</v>
      </c>
      <c r="E238" s="1">
        <v>1725920.39100647</v>
      </c>
      <c r="F238" t="s">
        <v>1095</v>
      </c>
      <c r="G238" s="1"/>
      <c r="H238" t="s">
        <v>1111</v>
      </c>
    </row>
    <row r="239">
      <c r="A239" t="s">
        <v>519</v>
      </c>
      <c r="B239" s="1">
        <v>5</v>
      </c>
      <c r="C239" t="s">
        <v>1075</v>
      </c>
      <c r="D239" s="1">
        <v>1312766408.826254</v>
      </c>
      <c r="E239" s="1">
        <v>1725920.39100647</v>
      </c>
      <c r="F239" t="s">
        <v>1095</v>
      </c>
      <c r="G239" s="1"/>
      <c r="H239" t="s">
        <v>1111</v>
      </c>
    </row>
    <row r="240">
      <c r="A240" t="s">
        <v>520</v>
      </c>
      <c r="B240" s="1">
        <v>5</v>
      </c>
      <c r="C240" t="s">
        <v>1076</v>
      </c>
      <c r="D240" s="1">
        <v>0.4967650125332959</v>
      </c>
      <c r="E240" s="1">
        <v>1725920.39100647</v>
      </c>
      <c r="F240" t="s">
        <v>1095</v>
      </c>
      <c r="G240" s="1"/>
      <c r="H240" t="s">
        <v>1111</v>
      </c>
    </row>
    <row r="241">
      <c r="A241" t="s">
        <v>521</v>
      </c>
      <c r="B241" s="1">
        <v>5</v>
      </c>
      <c r="C241" t="s">
        <v>1077</v>
      </c>
      <c r="D241" s="1">
        <v>760.6181696832001</v>
      </c>
      <c r="E241" s="1">
        <v>1725920.39100647</v>
      </c>
      <c r="F241" t="s">
        <v>1095</v>
      </c>
      <c r="G241" s="1"/>
      <c r="H241" t="s">
        <v>1111</v>
      </c>
    </row>
    <row r="242">
      <c r="A242" t="s">
        <v>526</v>
      </c>
      <c r="B242" s="1">
        <v>6</v>
      </c>
      <c r="C242" t="s">
        <v>1074</v>
      </c>
      <c r="D242" s="1">
        <v>1076319.795944214</v>
      </c>
      <c r="E242" s="1">
        <v>1726033.900550842</v>
      </c>
      <c r="F242" t="s">
        <v>1086</v>
      </c>
      <c r="G242" s="1"/>
      <c r="H242" t="s">
        <v>1111</v>
      </c>
    </row>
    <row r="243">
      <c r="A243" t="s">
        <v>527</v>
      </c>
      <c r="B243" s="1">
        <v>6</v>
      </c>
      <c r="C243" t="s">
        <v>1075</v>
      </c>
      <c r="D243" s="1">
        <v>5219453805.456301</v>
      </c>
      <c r="E243" s="1">
        <v>1726033.900550842</v>
      </c>
      <c r="F243" t="s">
        <v>1086</v>
      </c>
      <c r="G243" s="1"/>
      <c r="H243" t="s">
        <v>1111</v>
      </c>
    </row>
    <row r="244">
      <c r="A244" t="s">
        <v>528</v>
      </c>
      <c r="B244" s="1">
        <v>6</v>
      </c>
      <c r="C244" t="s">
        <v>1076</v>
      </c>
      <c r="D244" s="1">
        <v>0.6235797544884372</v>
      </c>
      <c r="E244" s="1">
        <v>1726033.900550842</v>
      </c>
      <c r="F244" t="s">
        <v>1086</v>
      </c>
      <c r="G244" s="1"/>
      <c r="H244" t="s">
        <v>1111</v>
      </c>
    </row>
    <row r="245">
      <c r="A245" t="s">
        <v>529</v>
      </c>
      <c r="B245" s="1">
        <v>6</v>
      </c>
      <c r="C245" t="s">
        <v>1077</v>
      </c>
      <c r="D245" s="1">
        <v>3023.957874634199</v>
      </c>
      <c r="E245" s="1">
        <v>1726033.900550842</v>
      </c>
      <c r="F245" t="s">
        <v>1086</v>
      </c>
      <c r="G245" s="1"/>
      <c r="H245" t="s">
        <v>1111</v>
      </c>
    </row>
    <row r="246">
      <c r="A246" t="s">
        <v>566</v>
      </c>
      <c r="B246" s="1">
        <v>6</v>
      </c>
      <c r="C246" t="s">
        <v>1074</v>
      </c>
      <c r="D246" s="1">
        <v>1726033.900550842</v>
      </c>
      <c r="E246" s="1">
        <v>1726033.900550842</v>
      </c>
      <c r="F246" t="s">
        <v>1096</v>
      </c>
      <c r="G246" s="1"/>
      <c r="H246" t="s">
        <v>1111</v>
      </c>
    </row>
    <row r="247">
      <c r="A247" t="s">
        <v>567</v>
      </c>
      <c r="B247" s="1">
        <v>6</v>
      </c>
      <c r="C247" t="s">
        <v>1075</v>
      </c>
      <c r="D247" s="1">
        <v>19224562752.30463</v>
      </c>
      <c r="E247" s="1">
        <v>1726033.900550842</v>
      </c>
      <c r="F247" t="s">
        <v>1096</v>
      </c>
      <c r="G247" s="1"/>
      <c r="H247" t="s">
        <v>1111</v>
      </c>
    </row>
    <row r="248">
      <c r="A248" t="s">
        <v>568</v>
      </c>
      <c r="B248" s="1">
        <v>6</v>
      </c>
      <c r="C248" t="s">
        <v>1076</v>
      </c>
      <c r="D248" s="1">
        <v>1</v>
      </c>
      <c r="E248" s="1">
        <v>1726033.900550842</v>
      </c>
      <c r="F248" t="s">
        <v>1096</v>
      </c>
      <c r="G248" s="1"/>
      <c r="H248" t="s">
        <v>1111</v>
      </c>
    </row>
    <row r="249">
      <c r="A249" t="s">
        <v>569</v>
      </c>
      <c r="B249" s="1">
        <v>6</v>
      </c>
      <c r="C249" t="s">
        <v>1077</v>
      </c>
      <c r="D249" s="1">
        <v>11137.99835922652</v>
      </c>
      <c r="E249" s="1">
        <v>1726033.900550842</v>
      </c>
      <c r="F249" t="s">
        <v>1096</v>
      </c>
      <c r="G249" s="1"/>
      <c r="H249" t="s">
        <v>1111</v>
      </c>
    </row>
    <row r="250">
      <c r="A250" t="s">
        <v>530</v>
      </c>
      <c r="B250" s="1">
        <v>6</v>
      </c>
      <c r="C250" t="s">
        <v>1074</v>
      </c>
      <c r="D250" s="1">
        <v>1106351.624008179</v>
      </c>
      <c r="E250" s="1">
        <v>1726033.900550842</v>
      </c>
      <c r="F250" t="s">
        <v>1087</v>
      </c>
      <c r="G250" s="1"/>
      <c r="H250" t="s">
        <v>1111</v>
      </c>
    </row>
    <row r="251">
      <c r="A251" t="s">
        <v>531</v>
      </c>
      <c r="B251" s="1">
        <v>6</v>
      </c>
      <c r="C251" t="s">
        <v>1075</v>
      </c>
      <c r="D251" s="1">
        <v>1953087362.8826</v>
      </c>
      <c r="E251" s="1">
        <v>1726033.900550842</v>
      </c>
      <c r="F251" t="s">
        <v>1087</v>
      </c>
      <c r="G251" s="1"/>
      <c r="H251" t="s">
        <v>1111</v>
      </c>
    </row>
    <row r="252">
      <c r="A252" t="s">
        <v>532</v>
      </c>
      <c r="B252" s="1">
        <v>6</v>
      </c>
      <c r="C252" t="s">
        <v>1076</v>
      </c>
      <c r="D252" s="1">
        <v>0.6409790813813682</v>
      </c>
      <c r="E252" s="1">
        <v>1726033.900550842</v>
      </c>
      <c r="F252" t="s">
        <v>1087</v>
      </c>
      <c r="G252" s="1"/>
      <c r="H252" t="s">
        <v>1111</v>
      </c>
    </row>
    <row r="253">
      <c r="A253" t="s">
        <v>533</v>
      </c>
      <c r="B253" s="1">
        <v>6</v>
      </c>
      <c r="C253" t="s">
        <v>1077</v>
      </c>
      <c r="D253" s="1">
        <v>1131.546351586314</v>
      </c>
      <c r="E253" s="1">
        <v>1726033.900550842</v>
      </c>
      <c r="F253" t="s">
        <v>1087</v>
      </c>
      <c r="G253" s="1"/>
      <c r="H253" t="s">
        <v>1111</v>
      </c>
    </row>
    <row r="254">
      <c r="A254" t="s">
        <v>534</v>
      </c>
      <c r="B254" s="1">
        <v>6</v>
      </c>
      <c r="C254" t="s">
        <v>1074</v>
      </c>
      <c r="D254" s="1">
        <v>1726033.900550842</v>
      </c>
      <c r="E254" s="1">
        <v>1726033.900550842</v>
      </c>
      <c r="F254" t="s">
        <v>1088</v>
      </c>
      <c r="G254" s="1"/>
      <c r="H254" t="s">
        <v>1111</v>
      </c>
    </row>
    <row r="255">
      <c r="A255" t="s">
        <v>535</v>
      </c>
      <c r="B255" s="1">
        <v>6</v>
      </c>
      <c r="C255" t="s">
        <v>1075</v>
      </c>
      <c r="D255" s="1">
        <v>21177650115.18724</v>
      </c>
      <c r="E255" s="1">
        <v>1726033.900550842</v>
      </c>
      <c r="F255" t="s">
        <v>1088</v>
      </c>
      <c r="G255" s="1"/>
      <c r="H255" t="s">
        <v>1111</v>
      </c>
    </row>
    <row r="256">
      <c r="A256" t="s">
        <v>536</v>
      </c>
      <c r="B256" s="1">
        <v>6</v>
      </c>
      <c r="C256" t="s">
        <v>1076</v>
      </c>
      <c r="D256" s="1">
        <v>1</v>
      </c>
      <c r="E256" s="1">
        <v>1726033.900550842</v>
      </c>
      <c r="F256" t="s">
        <v>1088</v>
      </c>
      <c r="G256" s="1"/>
      <c r="H256" t="s">
        <v>1111</v>
      </c>
    </row>
    <row r="257">
      <c r="A257" t="s">
        <v>537</v>
      </c>
      <c r="B257" s="1">
        <v>6</v>
      </c>
      <c r="C257" t="s">
        <v>1077</v>
      </c>
      <c r="D257" s="1">
        <v>12269.54471081284</v>
      </c>
      <c r="E257" s="1">
        <v>1726033.900550842</v>
      </c>
      <c r="F257" t="s">
        <v>1088</v>
      </c>
      <c r="G257" s="1"/>
      <c r="H257" t="s">
        <v>1111</v>
      </c>
    </row>
    <row r="258">
      <c r="A258" t="s">
        <v>538</v>
      </c>
      <c r="B258" s="1">
        <v>6</v>
      </c>
      <c r="C258" t="s">
        <v>1074</v>
      </c>
      <c r="D258" s="1">
        <v>1726033.900550842</v>
      </c>
      <c r="E258" s="1">
        <v>1726033.900550842</v>
      </c>
      <c r="F258" t="s">
        <v>1089</v>
      </c>
      <c r="G258" s="1"/>
      <c r="H258" t="s">
        <v>1111</v>
      </c>
    </row>
    <row r="259">
      <c r="A259" t="s">
        <v>539</v>
      </c>
      <c r="B259" s="1">
        <v>6</v>
      </c>
      <c r="C259" t="s">
        <v>1075</v>
      </c>
      <c r="D259" s="1">
        <v>6092186667.633265</v>
      </c>
      <c r="E259" s="1">
        <v>1726033.900550842</v>
      </c>
      <c r="F259" t="s">
        <v>1089</v>
      </c>
      <c r="G259" s="1"/>
      <c r="H259" t="s">
        <v>1111</v>
      </c>
    </row>
    <row r="260">
      <c r="A260" t="s">
        <v>540</v>
      </c>
      <c r="B260" s="1">
        <v>6</v>
      </c>
      <c r="C260" t="s">
        <v>1076</v>
      </c>
      <c r="D260" s="1">
        <v>1</v>
      </c>
      <c r="E260" s="1">
        <v>1726033.900550842</v>
      </c>
      <c r="F260" t="s">
        <v>1089</v>
      </c>
      <c r="G260" s="1"/>
      <c r="H260" t="s">
        <v>1111</v>
      </c>
    </row>
    <row r="261">
      <c r="A261" t="s">
        <v>541</v>
      </c>
      <c r="B261" s="1">
        <v>6</v>
      </c>
      <c r="C261" t="s">
        <v>1077</v>
      </c>
      <c r="D261" s="1">
        <v>3529.586913495163</v>
      </c>
      <c r="E261" s="1">
        <v>1726033.900550842</v>
      </c>
      <c r="F261" t="s">
        <v>1089</v>
      </c>
      <c r="G261" s="1"/>
      <c r="H261" t="s">
        <v>1111</v>
      </c>
    </row>
    <row r="262">
      <c r="A262" t="s">
        <v>542</v>
      </c>
      <c r="B262" s="1">
        <v>6</v>
      </c>
      <c r="C262" t="s">
        <v>1074</v>
      </c>
      <c r="D262" s="1">
        <v>1726033.900550842</v>
      </c>
      <c r="E262" s="1">
        <v>1726033.900550842</v>
      </c>
      <c r="F262" t="s">
        <v>1090</v>
      </c>
      <c r="G262" s="1"/>
      <c r="H262" t="s">
        <v>1111</v>
      </c>
    </row>
    <row r="263">
      <c r="A263" t="s">
        <v>543</v>
      </c>
      <c r="B263" s="1">
        <v>6</v>
      </c>
      <c r="C263" t="s">
        <v>1075</v>
      </c>
      <c r="D263" s="1">
        <v>11311640473.08957</v>
      </c>
      <c r="E263" s="1">
        <v>1726033.900550842</v>
      </c>
      <c r="F263" t="s">
        <v>1090</v>
      </c>
      <c r="G263" s="1"/>
      <c r="H263" t="s">
        <v>1111</v>
      </c>
    </row>
    <row r="264">
      <c r="A264" t="s">
        <v>544</v>
      </c>
      <c r="B264" s="1">
        <v>6</v>
      </c>
      <c r="C264" t="s">
        <v>1076</v>
      </c>
      <c r="D264" s="1">
        <v>1</v>
      </c>
      <c r="E264" s="1">
        <v>1726033.900550842</v>
      </c>
      <c r="F264" t="s">
        <v>1090</v>
      </c>
      <c r="G264" s="1"/>
      <c r="H264" t="s">
        <v>1111</v>
      </c>
    </row>
    <row r="265">
      <c r="A265" t="s">
        <v>545</v>
      </c>
      <c r="B265" s="1">
        <v>6</v>
      </c>
      <c r="C265" t="s">
        <v>1077</v>
      </c>
      <c r="D265" s="1">
        <v>6553.544788129361</v>
      </c>
      <c r="E265" s="1">
        <v>1726033.900550842</v>
      </c>
      <c r="F265" t="s">
        <v>1090</v>
      </c>
      <c r="G265" s="1"/>
      <c r="H265" t="s">
        <v>1111</v>
      </c>
    </row>
    <row r="266">
      <c r="A266" t="s">
        <v>546</v>
      </c>
      <c r="B266" s="1">
        <v>6</v>
      </c>
      <c r="C266" t="s">
        <v>1074</v>
      </c>
      <c r="D266" s="1">
        <v>1131949.870162964</v>
      </c>
      <c r="E266" s="1">
        <v>1726033.900550842</v>
      </c>
      <c r="F266" t="s">
        <v>1091</v>
      </c>
      <c r="G266" s="1"/>
      <c r="H266" t="s">
        <v>1111</v>
      </c>
    </row>
    <row r="267">
      <c r="A267" t="s">
        <v>547</v>
      </c>
      <c r="B267" s="1">
        <v>6</v>
      </c>
      <c r="C267" t="s">
        <v>1075</v>
      </c>
      <c r="D267" s="1">
        <v>7895559555.337238</v>
      </c>
      <c r="E267" s="1">
        <v>1726033.900550842</v>
      </c>
      <c r="F267" t="s">
        <v>1091</v>
      </c>
      <c r="G267" s="1"/>
      <c r="H267" t="s">
        <v>1111</v>
      </c>
    </row>
    <row r="268">
      <c r="A268" t="s">
        <v>548</v>
      </c>
      <c r="B268" s="1">
        <v>6</v>
      </c>
      <c r="C268" t="s">
        <v>1076</v>
      </c>
      <c r="D268" s="1">
        <v>0.6558097554177332</v>
      </c>
      <c r="E268" s="1">
        <v>1726033.900550842</v>
      </c>
      <c r="F268" t="s">
        <v>1091</v>
      </c>
      <c r="G268" s="1"/>
      <c r="H268" t="s">
        <v>1111</v>
      </c>
    </row>
    <row r="269">
      <c r="A269" t="s">
        <v>549</v>
      </c>
      <c r="B269" s="1">
        <v>6</v>
      </c>
      <c r="C269" t="s">
        <v>1077</v>
      </c>
      <c r="D269" s="1">
        <v>4574.394253100978</v>
      </c>
      <c r="E269" s="1">
        <v>1726033.900550842</v>
      </c>
      <c r="F269" t="s">
        <v>1091</v>
      </c>
      <c r="G269" s="1"/>
      <c r="H269" t="s">
        <v>1111</v>
      </c>
    </row>
    <row r="270">
      <c r="A270" t="s">
        <v>550</v>
      </c>
      <c r="B270" s="1">
        <v>6</v>
      </c>
      <c r="C270" t="s">
        <v>1074</v>
      </c>
      <c r="D270" s="1">
        <v>1726033.900550842</v>
      </c>
      <c r="E270" s="1">
        <v>1726033.900550842</v>
      </c>
      <c r="F270" t="s">
        <v>1092</v>
      </c>
      <c r="G270" s="1"/>
      <c r="H270" t="s">
        <v>1111</v>
      </c>
    </row>
    <row r="271">
      <c r="A271" t="s">
        <v>551</v>
      </c>
      <c r="B271" s="1">
        <v>6</v>
      </c>
      <c r="C271" t="s">
        <v>1075</v>
      </c>
      <c r="D271" s="1">
        <v>1970450086.760433</v>
      </c>
      <c r="E271" s="1">
        <v>1726033.900550842</v>
      </c>
      <c r="F271" t="s">
        <v>1092</v>
      </c>
      <c r="G271" s="1"/>
      <c r="H271" t="s">
        <v>1111</v>
      </c>
    </row>
    <row r="272">
      <c r="A272" t="s">
        <v>552</v>
      </c>
      <c r="B272" s="1">
        <v>6</v>
      </c>
      <c r="C272" t="s">
        <v>1076</v>
      </c>
      <c r="D272" s="1">
        <v>1</v>
      </c>
      <c r="E272" s="1">
        <v>1726033.900550842</v>
      </c>
      <c r="F272" t="s">
        <v>1092</v>
      </c>
      <c r="G272" s="1"/>
      <c r="H272" t="s">
        <v>1111</v>
      </c>
    </row>
    <row r="273">
      <c r="A273" t="s">
        <v>553</v>
      </c>
      <c r="B273" s="1">
        <v>6</v>
      </c>
      <c r="C273" t="s">
        <v>1077</v>
      </c>
      <c r="D273" s="1">
        <v>1141.605669582497</v>
      </c>
      <c r="E273" s="1">
        <v>1726033.900550842</v>
      </c>
      <c r="F273" t="s">
        <v>1092</v>
      </c>
      <c r="G273" s="1"/>
      <c r="H273" t="s">
        <v>1111</v>
      </c>
    </row>
    <row r="274">
      <c r="A274" t="s">
        <v>554</v>
      </c>
      <c r="B274" s="1">
        <v>6</v>
      </c>
      <c r="C274" t="s">
        <v>1074</v>
      </c>
      <c r="D274" s="1">
        <v>1726033.900550842</v>
      </c>
      <c r="E274" s="1">
        <v>1726033.900550842</v>
      </c>
      <c r="F274" t="s">
        <v>1093</v>
      </c>
      <c r="G274" s="1"/>
      <c r="H274" t="s">
        <v>1111</v>
      </c>
    </row>
    <row r="275">
      <c r="A275" t="s">
        <v>555</v>
      </c>
      <c r="B275" s="1">
        <v>6</v>
      </c>
      <c r="C275" t="s">
        <v>1075</v>
      </c>
      <c r="D275" s="1">
        <v>9866009642.097672</v>
      </c>
      <c r="E275" s="1">
        <v>1726033.900550842</v>
      </c>
      <c r="F275" t="s">
        <v>1093</v>
      </c>
      <c r="G275" s="1"/>
      <c r="H275" t="s">
        <v>1111</v>
      </c>
    </row>
    <row r="276">
      <c r="A276" t="s">
        <v>556</v>
      </c>
      <c r="B276" s="1">
        <v>6</v>
      </c>
      <c r="C276" t="s">
        <v>1076</v>
      </c>
      <c r="D276" s="1">
        <v>1</v>
      </c>
      <c r="E276" s="1">
        <v>1726033.900550842</v>
      </c>
      <c r="F276" t="s">
        <v>1093</v>
      </c>
      <c r="G276" s="1"/>
      <c r="H276" t="s">
        <v>1111</v>
      </c>
    </row>
    <row r="277">
      <c r="A277" t="s">
        <v>557</v>
      </c>
      <c r="B277" s="1">
        <v>6</v>
      </c>
      <c r="C277" t="s">
        <v>1077</v>
      </c>
      <c r="D277" s="1">
        <v>5715.999922683475</v>
      </c>
      <c r="E277" s="1">
        <v>1726033.900550842</v>
      </c>
      <c r="F277" t="s">
        <v>1093</v>
      </c>
      <c r="G277" s="1"/>
      <c r="H277" t="s">
        <v>1111</v>
      </c>
    </row>
    <row r="278">
      <c r="A278" t="s">
        <v>1144</v>
      </c>
      <c r="B278" s="1">
        <v>6</v>
      </c>
      <c r="C278" t="s">
        <v>1074</v>
      </c>
      <c r="D278" s="1">
        <v>1131949.870162964</v>
      </c>
      <c r="E278" s="1">
        <v>1726033.900550842</v>
      </c>
      <c r="F278" t="s">
        <v>1193</v>
      </c>
      <c r="G278" s="1"/>
      <c r="H278" t="s">
        <v>1111</v>
      </c>
    </row>
    <row r="279">
      <c r="A279" t="s">
        <v>1145</v>
      </c>
      <c r="B279" s="1">
        <v>6</v>
      </c>
      <c r="C279" t="s">
        <v>1075</v>
      </c>
      <c r="D279" s="1">
        <v>19994460239.89693</v>
      </c>
      <c r="E279" s="1">
        <v>1726033.900550842</v>
      </c>
      <c r="F279" t="s">
        <v>1193</v>
      </c>
      <c r="G279" s="1"/>
      <c r="H279" t="s">
        <v>1111</v>
      </c>
    </row>
    <row r="280">
      <c r="A280" t="s">
        <v>1146</v>
      </c>
      <c r="B280" s="1">
        <v>6</v>
      </c>
      <c r="C280" t="s">
        <v>1076</v>
      </c>
      <c r="D280" s="1">
        <v>0.6558097554177332</v>
      </c>
      <c r="E280" s="1">
        <v>1726033.900550842</v>
      </c>
      <c r="F280" t="s">
        <v>1193</v>
      </c>
      <c r="G280" s="1"/>
      <c r="H280" t="s">
        <v>1111</v>
      </c>
    </row>
    <row r="281">
      <c r="A281" t="s">
        <v>1147</v>
      </c>
      <c r="B281" s="1">
        <v>6</v>
      </c>
      <c r="C281" t="s">
        <v>1077</v>
      </c>
      <c r="D281" s="1">
        <v>11584.04839761024</v>
      </c>
      <c r="E281" s="1">
        <v>1726033.900550842</v>
      </c>
      <c r="F281" t="s">
        <v>1193</v>
      </c>
      <c r="G281" s="1"/>
      <c r="H281" t="s">
        <v>1111</v>
      </c>
    </row>
    <row r="282">
      <c r="A282" t="s">
        <v>558</v>
      </c>
      <c r="B282" s="1">
        <v>6</v>
      </c>
      <c r="C282" t="s">
        <v>1074</v>
      </c>
      <c r="D282" s="1">
        <v>200925.3532714844</v>
      </c>
      <c r="E282" s="1">
        <v>1726033.900550842</v>
      </c>
      <c r="F282" t="s">
        <v>1094</v>
      </c>
      <c r="G282" s="1"/>
      <c r="H282" t="s">
        <v>1111</v>
      </c>
    </row>
    <row r="283">
      <c r="A283" t="s">
        <v>559</v>
      </c>
      <c r="B283" s="1">
        <v>6</v>
      </c>
      <c r="C283" t="s">
        <v>1075</v>
      </c>
      <c r="D283" s="1">
        <v>151619759.2698532</v>
      </c>
      <c r="E283" s="1">
        <v>1726033.900550842</v>
      </c>
      <c r="F283" t="s">
        <v>1094</v>
      </c>
      <c r="G283" s="1"/>
      <c r="H283" t="s">
        <v>1111</v>
      </c>
    </row>
    <row r="284">
      <c r="A284" t="s">
        <v>560</v>
      </c>
      <c r="B284" s="1">
        <v>6</v>
      </c>
      <c r="C284" t="s">
        <v>1076</v>
      </c>
      <c r="D284" s="1">
        <v>0.116408694642302</v>
      </c>
      <c r="E284" s="1">
        <v>1726033.900550842</v>
      </c>
      <c r="F284" t="s">
        <v>1094</v>
      </c>
      <c r="G284" s="1"/>
      <c r="H284" t="s">
        <v>1111</v>
      </c>
    </row>
    <row r="285">
      <c r="A285" t="s">
        <v>561</v>
      </c>
      <c r="B285" s="1">
        <v>6</v>
      </c>
      <c r="C285" t="s">
        <v>1077</v>
      </c>
      <c r="D285" s="1">
        <v>87.84286289015857</v>
      </c>
      <c r="E285" s="1">
        <v>1726033.900550842</v>
      </c>
      <c r="F285" t="s">
        <v>1094</v>
      </c>
      <c r="G285" s="1"/>
      <c r="H285" t="s">
        <v>1111</v>
      </c>
    </row>
    <row r="286">
      <c r="A286" t="s">
        <v>562</v>
      </c>
      <c r="B286" s="1">
        <v>6</v>
      </c>
      <c r="C286" t="s">
        <v>1074</v>
      </c>
      <c r="D286" s="1">
        <v>1076319.795944214</v>
      </c>
      <c r="E286" s="1">
        <v>1726033.900550842</v>
      </c>
      <c r="F286" t="s">
        <v>1095</v>
      </c>
      <c r="G286" s="1"/>
      <c r="H286" t="s">
        <v>1111</v>
      </c>
    </row>
    <row r="287">
      <c r="A287" t="s">
        <v>563</v>
      </c>
      <c r="B287" s="1">
        <v>6</v>
      </c>
      <c r="C287" t="s">
        <v>1075</v>
      </c>
      <c r="D287" s="1">
        <v>1801467603.612747</v>
      </c>
      <c r="E287" s="1">
        <v>1726033.900550842</v>
      </c>
      <c r="F287" t="s">
        <v>1095</v>
      </c>
      <c r="G287" s="1"/>
      <c r="H287" t="s">
        <v>1111</v>
      </c>
    </row>
    <row r="288">
      <c r="A288" t="s">
        <v>564</v>
      </c>
      <c r="B288" s="1">
        <v>6</v>
      </c>
      <c r="C288" t="s">
        <v>1076</v>
      </c>
      <c r="D288" s="1">
        <v>0.6235797544884372</v>
      </c>
      <c r="E288" s="1">
        <v>1726033.900550842</v>
      </c>
      <c r="F288" t="s">
        <v>1095</v>
      </c>
      <c r="G288" s="1"/>
      <c r="H288" t="s">
        <v>1111</v>
      </c>
    </row>
    <row r="289">
      <c r="A289" t="s">
        <v>565</v>
      </c>
      <c r="B289" s="1">
        <v>6</v>
      </c>
      <c r="C289" t="s">
        <v>1077</v>
      </c>
      <c r="D289" s="1">
        <v>1043.703488696155</v>
      </c>
      <c r="E289" s="1">
        <v>1726033.900550842</v>
      </c>
      <c r="F289" t="s">
        <v>1095</v>
      </c>
      <c r="G289" s="1"/>
      <c r="H289" t="s">
        <v>1111</v>
      </c>
    </row>
    <row r="290">
      <c r="A290" t="s">
        <v>570</v>
      </c>
      <c r="B290" s="1">
        <v>7</v>
      </c>
      <c r="C290" t="s">
        <v>1074</v>
      </c>
      <c r="D290" s="1">
        <v>1146683.080955505</v>
      </c>
      <c r="E290" s="1">
        <v>1724097.657348633</v>
      </c>
      <c r="F290" t="s">
        <v>1086</v>
      </c>
      <c r="G290" s="1"/>
      <c r="H290" t="s">
        <v>1111</v>
      </c>
    </row>
    <row r="291">
      <c r="A291" t="s">
        <v>571</v>
      </c>
      <c r="B291" s="1">
        <v>7</v>
      </c>
      <c r="C291" t="s">
        <v>1075</v>
      </c>
      <c r="D291" s="1">
        <v>7012140854.199503</v>
      </c>
      <c r="E291" s="1">
        <v>1724097.657348633</v>
      </c>
      <c r="F291" t="s">
        <v>1086</v>
      </c>
      <c r="G291" s="1"/>
      <c r="H291" t="s">
        <v>1111</v>
      </c>
    </row>
    <row r="292">
      <c r="A292" t="s">
        <v>572</v>
      </c>
      <c r="B292" s="1">
        <v>7</v>
      </c>
      <c r="C292" t="s">
        <v>1076</v>
      </c>
      <c r="D292" s="1">
        <v>0.6650917226573509</v>
      </c>
      <c r="E292" s="1">
        <v>1724097.657348633</v>
      </c>
      <c r="F292" t="s">
        <v>1086</v>
      </c>
      <c r="G292" s="1"/>
      <c r="H292" t="s">
        <v>1111</v>
      </c>
    </row>
    <row r="293">
      <c r="A293" t="s">
        <v>573</v>
      </c>
      <c r="B293" s="1">
        <v>7</v>
      </c>
      <c r="C293" t="s">
        <v>1077</v>
      </c>
      <c r="D293" s="1">
        <v>4067.136698615423</v>
      </c>
      <c r="E293" s="1">
        <v>1724097.657348633</v>
      </c>
      <c r="F293" t="s">
        <v>1086</v>
      </c>
      <c r="G293" s="1"/>
      <c r="H293" t="s">
        <v>1111</v>
      </c>
    </row>
    <row r="294">
      <c r="A294" t="s">
        <v>610</v>
      </c>
      <c r="B294" s="1">
        <v>7</v>
      </c>
      <c r="C294" t="s">
        <v>1074</v>
      </c>
      <c r="D294" s="1">
        <v>1724097.657348633</v>
      </c>
      <c r="E294" s="1">
        <v>1724097.657348633</v>
      </c>
      <c r="F294" t="s">
        <v>1096</v>
      </c>
      <c r="G294" s="1"/>
      <c r="H294" t="s">
        <v>1111</v>
      </c>
    </row>
    <row r="295">
      <c r="A295" t="s">
        <v>611</v>
      </c>
      <c r="B295" s="1">
        <v>7</v>
      </c>
      <c r="C295" t="s">
        <v>1075</v>
      </c>
      <c r="D295" s="1">
        <v>25523926602.87868</v>
      </c>
      <c r="E295" s="1">
        <v>1724097.657348633</v>
      </c>
      <c r="F295" t="s">
        <v>1096</v>
      </c>
      <c r="G295" s="1"/>
      <c r="H295" t="s">
        <v>1111</v>
      </c>
    </row>
    <row r="296">
      <c r="A296" t="s">
        <v>612</v>
      </c>
      <c r="B296" s="1">
        <v>7</v>
      </c>
      <c r="C296" t="s">
        <v>1076</v>
      </c>
      <c r="D296" s="1">
        <v>1</v>
      </c>
      <c r="E296" s="1">
        <v>1724097.657348633</v>
      </c>
      <c r="F296" t="s">
        <v>1096</v>
      </c>
      <c r="G296" s="1"/>
      <c r="H296" t="s">
        <v>1111</v>
      </c>
    </row>
    <row r="297">
      <c r="A297" t="s">
        <v>613</v>
      </c>
      <c r="B297" s="1">
        <v>7</v>
      </c>
      <c r="C297" t="s">
        <v>1077</v>
      </c>
      <c r="D297" s="1">
        <v>14804.22323763847</v>
      </c>
      <c r="E297" s="1">
        <v>1724097.657348633</v>
      </c>
      <c r="F297" t="s">
        <v>1096</v>
      </c>
      <c r="G297" s="1"/>
      <c r="H297" t="s">
        <v>1111</v>
      </c>
    </row>
    <row r="298">
      <c r="A298" t="s">
        <v>574</v>
      </c>
      <c r="B298" s="1">
        <v>7</v>
      </c>
      <c r="C298" t="s">
        <v>1074</v>
      </c>
      <c r="D298" s="1">
        <v>1166032.577262878</v>
      </c>
      <c r="E298" s="1">
        <v>1724097.657348633</v>
      </c>
      <c r="F298" t="s">
        <v>1087</v>
      </c>
      <c r="G298" s="1"/>
      <c r="H298" t="s">
        <v>1111</v>
      </c>
    </row>
    <row r="299">
      <c r="A299" t="s">
        <v>575</v>
      </c>
      <c r="B299" s="1">
        <v>7</v>
      </c>
      <c r="C299" t="s">
        <v>1075</v>
      </c>
      <c r="D299" s="1">
        <v>2494125497.330459</v>
      </c>
      <c r="E299" s="1">
        <v>1724097.657348633</v>
      </c>
      <c r="F299" t="s">
        <v>1087</v>
      </c>
      <c r="G299" s="1"/>
      <c r="H299" t="s">
        <v>1111</v>
      </c>
    </row>
    <row r="300">
      <c r="A300" t="s">
        <v>576</v>
      </c>
      <c r="B300" s="1">
        <v>7</v>
      </c>
      <c r="C300" t="s">
        <v>1076</v>
      </c>
      <c r="D300" s="1">
        <v>0.6763146926700411</v>
      </c>
      <c r="E300" s="1">
        <v>1724097.657348633</v>
      </c>
      <c r="F300" t="s">
        <v>1087</v>
      </c>
      <c r="G300" s="1"/>
      <c r="H300" t="s">
        <v>1111</v>
      </c>
    </row>
    <row r="301">
      <c r="A301" t="s">
        <v>577</v>
      </c>
      <c r="B301" s="1">
        <v>7</v>
      </c>
      <c r="C301" t="s">
        <v>1077</v>
      </c>
      <c r="D301" s="1">
        <v>1446.626579822628</v>
      </c>
      <c r="E301" s="1">
        <v>1724097.657348633</v>
      </c>
      <c r="F301" t="s">
        <v>1087</v>
      </c>
      <c r="G301" s="1"/>
      <c r="H301" t="s">
        <v>1111</v>
      </c>
    </row>
    <row r="302">
      <c r="A302" t="s">
        <v>578</v>
      </c>
      <c r="B302" s="1">
        <v>7</v>
      </c>
      <c r="C302" t="s">
        <v>1074</v>
      </c>
      <c r="D302" s="1">
        <v>1724097.657348633</v>
      </c>
      <c r="E302" s="1">
        <v>1724097.657348633</v>
      </c>
      <c r="F302" t="s">
        <v>1088</v>
      </c>
      <c r="G302" s="1"/>
      <c r="H302" t="s">
        <v>1111</v>
      </c>
    </row>
    <row r="303">
      <c r="A303" t="s">
        <v>579</v>
      </c>
      <c r="B303" s="1">
        <v>7</v>
      </c>
      <c r="C303" t="s">
        <v>1075</v>
      </c>
      <c r="D303" s="1">
        <v>28018052100.20914</v>
      </c>
      <c r="E303" s="1">
        <v>1724097.657348633</v>
      </c>
      <c r="F303" t="s">
        <v>1088</v>
      </c>
      <c r="G303" s="1"/>
      <c r="H303" t="s">
        <v>1111</v>
      </c>
    </row>
    <row r="304">
      <c r="A304" t="s">
        <v>580</v>
      </c>
      <c r="B304" s="1">
        <v>7</v>
      </c>
      <c r="C304" t="s">
        <v>1076</v>
      </c>
      <c r="D304" s="1">
        <v>1</v>
      </c>
      <c r="E304" s="1">
        <v>1724097.657348633</v>
      </c>
      <c r="F304" t="s">
        <v>1088</v>
      </c>
      <c r="G304" s="1"/>
      <c r="H304" t="s">
        <v>1111</v>
      </c>
    </row>
    <row r="305">
      <c r="A305" t="s">
        <v>581</v>
      </c>
      <c r="B305" s="1">
        <v>7</v>
      </c>
      <c r="C305" t="s">
        <v>1077</v>
      </c>
      <c r="D305" s="1">
        <v>16250.8498174611</v>
      </c>
      <c r="E305" s="1">
        <v>1724097.657348633</v>
      </c>
      <c r="F305" t="s">
        <v>1088</v>
      </c>
      <c r="G305" s="1"/>
      <c r="H305" t="s">
        <v>1111</v>
      </c>
    </row>
    <row r="306">
      <c r="A306" t="s">
        <v>582</v>
      </c>
      <c r="B306" s="1">
        <v>7</v>
      </c>
      <c r="C306" t="s">
        <v>1074</v>
      </c>
      <c r="D306" s="1">
        <v>1724097.657348633</v>
      </c>
      <c r="E306" s="1">
        <v>1724097.657348633</v>
      </c>
      <c r="F306" t="s">
        <v>1089</v>
      </c>
      <c r="G306" s="1"/>
      <c r="H306" t="s">
        <v>1111</v>
      </c>
    </row>
    <row r="307">
      <c r="A307" t="s">
        <v>583</v>
      </c>
      <c r="B307" s="1">
        <v>7</v>
      </c>
      <c r="C307" t="s">
        <v>1075</v>
      </c>
      <c r="D307" s="1">
        <v>7482552968.520494</v>
      </c>
      <c r="E307" s="1">
        <v>1724097.657348633</v>
      </c>
      <c r="F307" t="s">
        <v>1089</v>
      </c>
      <c r="G307" s="1"/>
      <c r="H307" t="s">
        <v>1111</v>
      </c>
    </row>
    <row r="308">
      <c r="A308" t="s">
        <v>584</v>
      </c>
      <c r="B308" s="1">
        <v>7</v>
      </c>
      <c r="C308" t="s">
        <v>1076</v>
      </c>
      <c r="D308" s="1">
        <v>1</v>
      </c>
      <c r="E308" s="1">
        <v>1724097.657348633</v>
      </c>
      <c r="F308" t="s">
        <v>1089</v>
      </c>
      <c r="G308" s="1"/>
      <c r="H308" t="s">
        <v>1111</v>
      </c>
    </row>
    <row r="309">
      <c r="A309" t="s">
        <v>585</v>
      </c>
      <c r="B309" s="1">
        <v>7</v>
      </c>
      <c r="C309" t="s">
        <v>1077</v>
      </c>
      <c r="D309" s="1">
        <v>4339.982098245745</v>
      </c>
      <c r="E309" s="1">
        <v>1724097.657348633</v>
      </c>
      <c r="F309" t="s">
        <v>1089</v>
      </c>
      <c r="G309" s="1"/>
      <c r="H309" t="s">
        <v>1111</v>
      </c>
    </row>
    <row r="310">
      <c r="A310" t="s">
        <v>586</v>
      </c>
      <c r="B310" s="1">
        <v>7</v>
      </c>
      <c r="C310" t="s">
        <v>1074</v>
      </c>
      <c r="D310" s="1">
        <v>1724097.657348633</v>
      </c>
      <c r="E310" s="1">
        <v>1724097.657348633</v>
      </c>
      <c r="F310" t="s">
        <v>1090</v>
      </c>
      <c r="G310" s="1"/>
      <c r="H310" t="s">
        <v>1111</v>
      </c>
    </row>
    <row r="311">
      <c r="A311" t="s">
        <v>587</v>
      </c>
      <c r="B311" s="1">
        <v>7</v>
      </c>
      <c r="C311" t="s">
        <v>1075</v>
      </c>
      <c r="D311" s="1">
        <v>14494693822.72</v>
      </c>
      <c r="E311" s="1">
        <v>1724097.657348633</v>
      </c>
      <c r="F311" t="s">
        <v>1090</v>
      </c>
      <c r="G311" s="1"/>
      <c r="H311" t="s">
        <v>1111</v>
      </c>
    </row>
    <row r="312">
      <c r="A312" t="s">
        <v>588</v>
      </c>
      <c r="B312" s="1">
        <v>7</v>
      </c>
      <c r="C312" t="s">
        <v>1076</v>
      </c>
      <c r="D312" s="1">
        <v>1</v>
      </c>
      <c r="E312" s="1">
        <v>1724097.657348633</v>
      </c>
      <c r="F312" t="s">
        <v>1090</v>
      </c>
      <c r="G312" s="1"/>
      <c r="H312" t="s">
        <v>1111</v>
      </c>
    </row>
    <row r="313">
      <c r="A313" t="s">
        <v>589</v>
      </c>
      <c r="B313" s="1">
        <v>7</v>
      </c>
      <c r="C313" t="s">
        <v>1077</v>
      </c>
      <c r="D313" s="1">
        <v>8407.118796861168</v>
      </c>
      <c r="E313" s="1">
        <v>1724097.657348633</v>
      </c>
      <c r="F313" t="s">
        <v>1090</v>
      </c>
      <c r="G313" s="1"/>
      <c r="H313" t="s">
        <v>1111</v>
      </c>
    </row>
    <row r="314">
      <c r="A314" t="s">
        <v>590</v>
      </c>
      <c r="B314" s="1">
        <v>7</v>
      </c>
      <c r="C314" t="s">
        <v>1074</v>
      </c>
      <c r="D314" s="1">
        <v>1309981.891471863</v>
      </c>
      <c r="E314" s="1">
        <v>1724097.657348633</v>
      </c>
      <c r="F314" t="s">
        <v>1091</v>
      </c>
      <c r="G314" s="1"/>
      <c r="H314" t="s">
        <v>1111</v>
      </c>
    </row>
    <row r="315">
      <c r="A315" t="s">
        <v>591</v>
      </c>
      <c r="B315" s="1">
        <v>7</v>
      </c>
      <c r="C315" t="s">
        <v>1075</v>
      </c>
      <c r="D315" s="1">
        <v>11102225792.19946</v>
      </c>
      <c r="E315" s="1">
        <v>1724097.657348633</v>
      </c>
      <c r="F315" t="s">
        <v>1091</v>
      </c>
      <c r="G315" s="1"/>
      <c r="H315" t="s">
        <v>1111</v>
      </c>
    </row>
    <row r="316">
      <c r="A316" t="s">
        <v>592</v>
      </c>
      <c r="B316" s="1">
        <v>7</v>
      </c>
      <c r="C316" t="s">
        <v>1076</v>
      </c>
      <c r="D316" s="1">
        <v>0.759807245191894</v>
      </c>
      <c r="E316" s="1">
        <v>1724097.657348633</v>
      </c>
      <c r="F316" t="s">
        <v>1091</v>
      </c>
      <c r="G316" s="1"/>
      <c r="H316" t="s">
        <v>1111</v>
      </c>
    </row>
    <row r="317">
      <c r="A317" t="s">
        <v>593</v>
      </c>
      <c r="B317" s="1">
        <v>7</v>
      </c>
      <c r="C317" t="s">
        <v>1077</v>
      </c>
      <c r="D317" s="1">
        <v>6439.441376698335</v>
      </c>
      <c r="E317" s="1">
        <v>1724097.657348633</v>
      </c>
      <c r="F317" t="s">
        <v>1091</v>
      </c>
      <c r="G317" s="1"/>
      <c r="H317" t="s">
        <v>1111</v>
      </c>
    </row>
    <row r="318">
      <c r="A318" t="s">
        <v>594</v>
      </c>
      <c r="B318" s="1">
        <v>7</v>
      </c>
      <c r="C318" t="s">
        <v>1074</v>
      </c>
      <c r="D318" s="1">
        <v>1724097.657348633</v>
      </c>
      <c r="E318" s="1">
        <v>1724097.657348633</v>
      </c>
      <c r="F318" t="s">
        <v>1092</v>
      </c>
      <c r="G318" s="1"/>
      <c r="H318" t="s">
        <v>1111</v>
      </c>
    </row>
    <row r="319">
      <c r="A319" t="s">
        <v>595</v>
      </c>
      <c r="B319" s="1">
        <v>7</v>
      </c>
      <c r="C319" t="s">
        <v>1075</v>
      </c>
      <c r="D319" s="1">
        <v>2421132485.289693</v>
      </c>
      <c r="E319" s="1">
        <v>1724097.657348633</v>
      </c>
      <c r="F319" t="s">
        <v>1092</v>
      </c>
      <c r="G319" s="1"/>
      <c r="H319" t="s">
        <v>1111</v>
      </c>
    </row>
    <row r="320">
      <c r="A320" t="s">
        <v>596</v>
      </c>
      <c r="B320" s="1">
        <v>7</v>
      </c>
      <c r="C320" t="s">
        <v>1076</v>
      </c>
      <c r="D320" s="1">
        <v>1</v>
      </c>
      <c r="E320" s="1">
        <v>1724097.657348633</v>
      </c>
      <c r="F320" t="s">
        <v>1092</v>
      </c>
      <c r="G320" s="1"/>
      <c r="H320" t="s">
        <v>1111</v>
      </c>
    </row>
    <row r="321">
      <c r="A321" t="s">
        <v>597</v>
      </c>
      <c r="B321" s="1">
        <v>7</v>
      </c>
      <c r="C321" t="s">
        <v>1077</v>
      </c>
      <c r="D321" s="1">
        <v>1404.289643901599</v>
      </c>
      <c r="E321" s="1">
        <v>1724097.657348633</v>
      </c>
      <c r="F321" t="s">
        <v>1092</v>
      </c>
      <c r="G321" s="1"/>
      <c r="H321" t="s">
        <v>1111</v>
      </c>
    </row>
    <row r="322">
      <c r="A322" t="s">
        <v>598</v>
      </c>
      <c r="B322" s="1">
        <v>7</v>
      </c>
      <c r="C322" t="s">
        <v>1074</v>
      </c>
      <c r="D322" s="1">
        <v>1724097.657348633</v>
      </c>
      <c r="E322" s="1">
        <v>1724097.657348633</v>
      </c>
      <c r="F322" t="s">
        <v>1093</v>
      </c>
      <c r="G322" s="1"/>
      <c r="H322" t="s">
        <v>1111</v>
      </c>
    </row>
    <row r="323">
      <c r="A323" t="s">
        <v>599</v>
      </c>
      <c r="B323" s="1">
        <v>7</v>
      </c>
      <c r="C323" t="s">
        <v>1075</v>
      </c>
      <c r="D323" s="1">
        <v>13523358277.48915</v>
      </c>
      <c r="E323" s="1">
        <v>1724097.657348633</v>
      </c>
      <c r="F323" t="s">
        <v>1093</v>
      </c>
      <c r="G323" s="1"/>
      <c r="H323" t="s">
        <v>1111</v>
      </c>
    </row>
    <row r="324">
      <c r="A324" t="s">
        <v>600</v>
      </c>
      <c r="B324" s="1">
        <v>7</v>
      </c>
      <c r="C324" t="s">
        <v>1076</v>
      </c>
      <c r="D324" s="1">
        <v>1</v>
      </c>
      <c r="E324" s="1">
        <v>1724097.657348633</v>
      </c>
      <c r="F324" t="s">
        <v>1093</v>
      </c>
      <c r="G324" s="1"/>
      <c r="H324" t="s">
        <v>1111</v>
      </c>
    </row>
    <row r="325">
      <c r="A325" t="s">
        <v>601</v>
      </c>
      <c r="B325" s="1">
        <v>7</v>
      </c>
      <c r="C325" t="s">
        <v>1077</v>
      </c>
      <c r="D325" s="1">
        <v>7843.731020599934</v>
      </c>
      <c r="E325" s="1">
        <v>1724097.657348633</v>
      </c>
      <c r="F325" t="s">
        <v>1093</v>
      </c>
      <c r="G325" s="1"/>
      <c r="H325" t="s">
        <v>1111</v>
      </c>
    </row>
    <row r="326">
      <c r="A326" t="s">
        <v>1148</v>
      </c>
      <c r="B326" s="1">
        <v>7</v>
      </c>
      <c r="C326" t="s">
        <v>1074</v>
      </c>
      <c r="D326" s="1">
        <v>1309981.891471863</v>
      </c>
      <c r="E326" s="1">
        <v>1724097.657348633</v>
      </c>
      <c r="F326" t="s">
        <v>1193</v>
      </c>
      <c r="G326" s="1"/>
      <c r="H326" t="s">
        <v>1111</v>
      </c>
    </row>
    <row r="327">
      <c r="A327" t="s">
        <v>1149</v>
      </c>
      <c r="B327" s="1">
        <v>7</v>
      </c>
      <c r="C327" t="s">
        <v>1075</v>
      </c>
      <c r="D327" s="1">
        <v>27934739811.17214</v>
      </c>
      <c r="E327" s="1">
        <v>1724097.657348633</v>
      </c>
      <c r="F327" t="s">
        <v>1193</v>
      </c>
      <c r="G327" s="1"/>
      <c r="H327" t="s">
        <v>1111</v>
      </c>
    </row>
    <row r="328">
      <c r="A328" t="s">
        <v>1150</v>
      </c>
      <c r="B328" s="1">
        <v>7</v>
      </c>
      <c r="C328" t="s">
        <v>1076</v>
      </c>
      <c r="D328" s="1">
        <v>0.759807245191894</v>
      </c>
      <c r="E328" s="1">
        <v>1724097.657348633</v>
      </c>
      <c r="F328" t="s">
        <v>1193</v>
      </c>
      <c r="G328" s="1"/>
      <c r="H328" t="s">
        <v>1111</v>
      </c>
    </row>
    <row r="329">
      <c r="A329" t="s">
        <v>1151</v>
      </c>
      <c r="B329" s="1">
        <v>7</v>
      </c>
      <c r="C329" t="s">
        <v>1077</v>
      </c>
      <c r="D329" s="1">
        <v>16202.52756107272</v>
      </c>
      <c r="E329" s="1">
        <v>1724097.657348633</v>
      </c>
      <c r="F329" t="s">
        <v>1193</v>
      </c>
      <c r="G329" s="1"/>
      <c r="H329" t="s">
        <v>1111</v>
      </c>
    </row>
    <row r="330">
      <c r="A330" t="s">
        <v>602</v>
      </c>
      <c r="B330" s="1">
        <v>7</v>
      </c>
      <c r="C330" t="s">
        <v>1074</v>
      </c>
      <c r="D330" s="1">
        <v>144088.7754821777</v>
      </c>
      <c r="E330" s="1">
        <v>1724097.657348633</v>
      </c>
      <c r="F330" t="s">
        <v>1094</v>
      </c>
      <c r="G330" s="1"/>
      <c r="H330" t="s">
        <v>1111</v>
      </c>
    </row>
    <row r="331">
      <c r="A331" t="s">
        <v>603</v>
      </c>
      <c r="B331" s="1">
        <v>7</v>
      </c>
      <c r="C331" t="s">
        <v>1075</v>
      </c>
      <c r="D331" s="1">
        <v>222387761.9300585</v>
      </c>
      <c r="E331" s="1">
        <v>1724097.657348633</v>
      </c>
      <c r="F331" t="s">
        <v>1094</v>
      </c>
      <c r="G331" s="1"/>
      <c r="H331" t="s">
        <v>1111</v>
      </c>
    </row>
    <row r="332">
      <c r="A332" t="s">
        <v>604</v>
      </c>
      <c r="B332" s="1">
        <v>7</v>
      </c>
      <c r="C332" t="s">
        <v>1076</v>
      </c>
      <c r="D332" s="1">
        <v>0.08357344194978004</v>
      </c>
      <c r="E332" s="1">
        <v>1724097.657348633</v>
      </c>
      <c r="F332" t="s">
        <v>1094</v>
      </c>
      <c r="G332" s="1"/>
      <c r="H332" t="s">
        <v>1111</v>
      </c>
    </row>
    <row r="333">
      <c r="A333" t="s">
        <v>605</v>
      </c>
      <c r="B333" s="1">
        <v>7</v>
      </c>
      <c r="C333" t="s">
        <v>1077</v>
      </c>
      <c r="D333" s="1">
        <v>128.9879149143169</v>
      </c>
      <c r="E333" s="1">
        <v>1724097.657348633</v>
      </c>
      <c r="F333" t="s">
        <v>1094</v>
      </c>
      <c r="G333" s="1"/>
      <c r="H333" t="s">
        <v>1111</v>
      </c>
    </row>
    <row r="334">
      <c r="A334" t="s">
        <v>606</v>
      </c>
      <c r="B334" s="1">
        <v>7</v>
      </c>
      <c r="C334" t="s">
        <v>1074</v>
      </c>
      <c r="D334" s="1">
        <v>1146683.080955505</v>
      </c>
      <c r="E334" s="1">
        <v>1724097.657348633</v>
      </c>
      <c r="F334" t="s">
        <v>1095</v>
      </c>
      <c r="G334" s="1"/>
      <c r="H334" t="s">
        <v>1111</v>
      </c>
    </row>
    <row r="335">
      <c r="A335" t="s">
        <v>607</v>
      </c>
      <c r="B335" s="1">
        <v>7</v>
      </c>
      <c r="C335" t="s">
        <v>1075</v>
      </c>
      <c r="D335" s="1">
        <v>2271737735.4004</v>
      </c>
      <c r="E335" s="1">
        <v>1724097.657348633</v>
      </c>
      <c r="F335" t="s">
        <v>1095</v>
      </c>
      <c r="G335" s="1"/>
      <c r="H335" t="s">
        <v>1111</v>
      </c>
    </row>
    <row r="336">
      <c r="A336" t="s">
        <v>608</v>
      </c>
      <c r="B336" s="1">
        <v>7</v>
      </c>
      <c r="C336" t="s">
        <v>1076</v>
      </c>
      <c r="D336" s="1">
        <v>0.6650917226573509</v>
      </c>
      <c r="E336" s="1">
        <v>1724097.657348633</v>
      </c>
      <c r="F336" t="s">
        <v>1095</v>
      </c>
      <c r="G336" s="1"/>
      <c r="H336" t="s">
        <v>1111</v>
      </c>
    </row>
    <row r="337">
      <c r="A337" t="s">
        <v>609</v>
      </c>
      <c r="B337" s="1">
        <v>7</v>
      </c>
      <c r="C337" t="s">
        <v>1077</v>
      </c>
      <c r="D337" s="1">
        <v>1317.638664908312</v>
      </c>
      <c r="E337" s="1">
        <v>1724097.657348633</v>
      </c>
      <c r="F337" t="s">
        <v>1095</v>
      </c>
      <c r="G337" s="1"/>
      <c r="H337" t="s">
        <v>1111</v>
      </c>
    </row>
    <row r="338">
      <c r="A338" t="s">
        <v>614</v>
      </c>
      <c r="B338" s="1">
        <v>8</v>
      </c>
      <c r="C338" t="s">
        <v>1074</v>
      </c>
      <c r="D338" s="1">
        <v>1369300.671653748</v>
      </c>
      <c r="E338" s="1">
        <v>1725958.230340958</v>
      </c>
      <c r="F338" t="s">
        <v>1086</v>
      </c>
      <c r="G338" s="1"/>
      <c r="H338" t="s">
        <v>1111</v>
      </c>
    </row>
    <row r="339">
      <c r="A339" t="s">
        <v>615</v>
      </c>
      <c r="B339" s="1">
        <v>8</v>
      </c>
      <c r="C339" t="s">
        <v>1075</v>
      </c>
      <c r="D339" s="1">
        <v>10768425602.98171</v>
      </c>
      <c r="E339" s="1">
        <v>1725958.230340958</v>
      </c>
      <c r="F339" t="s">
        <v>1086</v>
      </c>
      <c r="G339" s="1"/>
      <c r="H339" t="s">
        <v>1111</v>
      </c>
    </row>
    <row r="340">
      <c r="A340" t="s">
        <v>616</v>
      </c>
      <c r="B340" s="1">
        <v>8</v>
      </c>
      <c r="C340" t="s">
        <v>1076</v>
      </c>
      <c r="D340" s="1">
        <v>0.7933567844125906</v>
      </c>
      <c r="E340" s="1">
        <v>1725958.230340958</v>
      </c>
      <c r="F340" t="s">
        <v>1086</v>
      </c>
      <c r="G340" s="1"/>
      <c r="H340" t="s">
        <v>1111</v>
      </c>
    </row>
    <row r="341">
      <c r="A341" t="s">
        <v>617</v>
      </c>
      <c r="B341" s="1">
        <v>8</v>
      </c>
      <c r="C341" t="s">
        <v>1077</v>
      </c>
      <c r="D341" s="1">
        <v>6239.099772915387</v>
      </c>
      <c r="E341" s="1">
        <v>1725958.230340958</v>
      </c>
      <c r="F341" t="s">
        <v>1086</v>
      </c>
      <c r="G341" s="1"/>
      <c r="H341" t="s">
        <v>1111</v>
      </c>
    </row>
    <row r="342">
      <c r="A342" t="s">
        <v>654</v>
      </c>
      <c r="B342" s="1">
        <v>8</v>
      </c>
      <c r="C342" t="s">
        <v>1074</v>
      </c>
      <c r="D342" s="1">
        <v>1725958.230340958</v>
      </c>
      <c r="E342" s="1">
        <v>1725958.230340958</v>
      </c>
      <c r="F342" t="s">
        <v>1096</v>
      </c>
      <c r="G342" s="1"/>
      <c r="H342" t="s">
        <v>1111</v>
      </c>
    </row>
    <row r="343">
      <c r="A343" t="s">
        <v>655</v>
      </c>
      <c r="B343" s="1">
        <v>8</v>
      </c>
      <c r="C343" t="s">
        <v>1075</v>
      </c>
      <c r="D343" s="1">
        <v>33461420901.96559</v>
      </c>
      <c r="E343" s="1">
        <v>1725958.230340958</v>
      </c>
      <c r="F343" t="s">
        <v>1096</v>
      </c>
      <c r="G343" s="1"/>
      <c r="H343" t="s">
        <v>1111</v>
      </c>
    </row>
    <row r="344">
      <c r="A344" t="s">
        <v>656</v>
      </c>
      <c r="B344" s="1">
        <v>8</v>
      </c>
      <c r="C344" t="s">
        <v>1076</v>
      </c>
      <c r="D344" s="1">
        <v>1</v>
      </c>
      <c r="E344" s="1">
        <v>1725958.230340958</v>
      </c>
      <c r="F344" t="s">
        <v>1096</v>
      </c>
      <c r="G344" s="1"/>
      <c r="H344" t="s">
        <v>1111</v>
      </c>
    </row>
    <row r="345">
      <c r="A345" t="s">
        <v>657</v>
      </c>
      <c r="B345" s="1">
        <v>8</v>
      </c>
      <c r="C345" t="s">
        <v>1077</v>
      </c>
      <c r="D345" s="1">
        <v>19387.1556760417</v>
      </c>
      <c r="E345" s="1">
        <v>1725958.230340958</v>
      </c>
      <c r="F345" t="s">
        <v>1096</v>
      </c>
      <c r="G345" s="1"/>
      <c r="H345" t="s">
        <v>1111</v>
      </c>
    </row>
    <row r="346">
      <c r="A346" t="s">
        <v>618</v>
      </c>
      <c r="B346" s="1">
        <v>8</v>
      </c>
      <c r="C346" t="s">
        <v>1074</v>
      </c>
      <c r="D346" s="1">
        <v>1394219.986671448</v>
      </c>
      <c r="E346" s="1">
        <v>1725958.230340958</v>
      </c>
      <c r="F346" t="s">
        <v>1087</v>
      </c>
      <c r="G346" s="1"/>
      <c r="H346" t="s">
        <v>1111</v>
      </c>
    </row>
    <row r="347">
      <c r="A347" t="s">
        <v>619</v>
      </c>
      <c r="B347" s="1">
        <v>8</v>
      </c>
      <c r="C347" t="s">
        <v>1075</v>
      </c>
      <c r="D347" s="1">
        <v>3941824326.755847</v>
      </c>
      <c r="E347" s="1">
        <v>1725958.230340958</v>
      </c>
      <c r="F347" t="s">
        <v>1087</v>
      </c>
      <c r="G347" s="1"/>
      <c r="H347" t="s">
        <v>1111</v>
      </c>
    </row>
    <row r="348">
      <c r="A348" t="s">
        <v>620</v>
      </c>
      <c r="B348" s="1">
        <v>8</v>
      </c>
      <c r="C348" t="s">
        <v>1076</v>
      </c>
      <c r="D348" s="1">
        <v>0.8077947439064177</v>
      </c>
      <c r="E348" s="1">
        <v>1725958.230340958</v>
      </c>
      <c r="F348" t="s">
        <v>1087</v>
      </c>
      <c r="G348" s="1"/>
      <c r="H348" t="s">
        <v>1111</v>
      </c>
    </row>
    <row r="349">
      <c r="A349" t="s">
        <v>621</v>
      </c>
      <c r="B349" s="1">
        <v>8</v>
      </c>
      <c r="C349" t="s">
        <v>1077</v>
      </c>
      <c r="D349" s="1">
        <v>2283.846884276656</v>
      </c>
      <c r="E349" s="1">
        <v>1725958.230340958</v>
      </c>
      <c r="F349" t="s">
        <v>1087</v>
      </c>
      <c r="G349" s="1"/>
      <c r="H349" t="s">
        <v>1111</v>
      </c>
    </row>
    <row r="350">
      <c r="A350" t="s">
        <v>622</v>
      </c>
      <c r="B350" s="1">
        <v>8</v>
      </c>
      <c r="C350" t="s">
        <v>1074</v>
      </c>
      <c r="D350" s="1">
        <v>1725958.230340958</v>
      </c>
      <c r="E350" s="1">
        <v>1725958.230340958</v>
      </c>
      <c r="F350" t="s">
        <v>1088</v>
      </c>
      <c r="G350" s="1"/>
      <c r="H350" t="s">
        <v>1111</v>
      </c>
    </row>
    <row r="351">
      <c r="A351" t="s">
        <v>623</v>
      </c>
      <c r="B351" s="1">
        <v>8</v>
      </c>
      <c r="C351" t="s">
        <v>1075</v>
      </c>
      <c r="D351" s="1">
        <v>37403245228.72144</v>
      </c>
      <c r="E351" s="1">
        <v>1725958.230340958</v>
      </c>
      <c r="F351" t="s">
        <v>1088</v>
      </c>
      <c r="G351" s="1"/>
      <c r="H351" t="s">
        <v>1111</v>
      </c>
    </row>
    <row r="352">
      <c r="A352" t="s">
        <v>624</v>
      </c>
      <c r="B352" s="1">
        <v>8</v>
      </c>
      <c r="C352" t="s">
        <v>1076</v>
      </c>
      <c r="D352" s="1">
        <v>1</v>
      </c>
      <c r="E352" s="1">
        <v>1725958.230340958</v>
      </c>
      <c r="F352" t="s">
        <v>1088</v>
      </c>
      <c r="G352" s="1"/>
      <c r="H352" t="s">
        <v>1111</v>
      </c>
    </row>
    <row r="353">
      <c r="A353" t="s">
        <v>625</v>
      </c>
      <c r="B353" s="1">
        <v>8</v>
      </c>
      <c r="C353" t="s">
        <v>1077</v>
      </c>
      <c r="D353" s="1">
        <v>21671.00256031836</v>
      </c>
      <c r="E353" s="1">
        <v>1725958.230340958</v>
      </c>
      <c r="F353" t="s">
        <v>1088</v>
      </c>
      <c r="G353" s="1"/>
      <c r="H353" t="s">
        <v>1111</v>
      </c>
    </row>
    <row r="354">
      <c r="A354" t="s">
        <v>626</v>
      </c>
      <c r="B354" s="1">
        <v>8</v>
      </c>
      <c r="C354" t="s">
        <v>1074</v>
      </c>
      <c r="D354" s="1">
        <v>1725958.230340958</v>
      </c>
      <c r="E354" s="1">
        <v>1725958.230340958</v>
      </c>
      <c r="F354" t="s">
        <v>1089</v>
      </c>
      <c r="G354" s="1"/>
      <c r="H354" t="s">
        <v>1111</v>
      </c>
    </row>
    <row r="355">
      <c r="A355" t="s">
        <v>627</v>
      </c>
      <c r="B355" s="1">
        <v>8</v>
      </c>
      <c r="C355" t="s">
        <v>1075</v>
      </c>
      <c r="D355" s="1">
        <v>9161500229.222645</v>
      </c>
      <c r="E355" s="1">
        <v>1725958.230340958</v>
      </c>
      <c r="F355" t="s">
        <v>1089</v>
      </c>
      <c r="G355" s="1"/>
      <c r="H355" t="s">
        <v>1111</v>
      </c>
    </row>
    <row r="356">
      <c r="A356" t="s">
        <v>628</v>
      </c>
      <c r="B356" s="1">
        <v>8</v>
      </c>
      <c r="C356" t="s">
        <v>1076</v>
      </c>
      <c r="D356" s="1">
        <v>1</v>
      </c>
      <c r="E356" s="1">
        <v>1725958.230340958</v>
      </c>
      <c r="F356" t="s">
        <v>1089</v>
      </c>
      <c r="G356" s="1"/>
      <c r="H356" t="s">
        <v>1111</v>
      </c>
    </row>
    <row r="357">
      <c r="A357" t="s">
        <v>629</v>
      </c>
      <c r="B357" s="1">
        <v>8</v>
      </c>
      <c r="C357" t="s">
        <v>1077</v>
      </c>
      <c r="D357" s="1">
        <v>5308.06601699325</v>
      </c>
      <c r="E357" s="1">
        <v>1725958.230340958</v>
      </c>
      <c r="F357" t="s">
        <v>1089</v>
      </c>
      <c r="G357" s="1"/>
      <c r="H357" t="s">
        <v>1111</v>
      </c>
    </row>
    <row r="358">
      <c r="A358" t="s">
        <v>630</v>
      </c>
      <c r="B358" s="1">
        <v>8</v>
      </c>
      <c r="C358" t="s">
        <v>1074</v>
      </c>
      <c r="D358" s="1">
        <v>1725958.230340958</v>
      </c>
      <c r="E358" s="1">
        <v>1725958.230340958</v>
      </c>
      <c r="F358" t="s">
        <v>1090</v>
      </c>
      <c r="G358" s="1"/>
      <c r="H358" t="s">
        <v>1111</v>
      </c>
    </row>
    <row r="359">
      <c r="A359" t="s">
        <v>631</v>
      </c>
      <c r="B359" s="1">
        <v>8</v>
      </c>
      <c r="C359" t="s">
        <v>1075</v>
      </c>
      <c r="D359" s="1">
        <v>19929925832.20436</v>
      </c>
      <c r="E359" s="1">
        <v>1725958.230340958</v>
      </c>
      <c r="F359" t="s">
        <v>1090</v>
      </c>
      <c r="G359" s="1"/>
      <c r="H359" t="s">
        <v>1111</v>
      </c>
    </row>
    <row r="360">
      <c r="A360" t="s">
        <v>632</v>
      </c>
      <c r="B360" s="1">
        <v>8</v>
      </c>
      <c r="C360" t="s">
        <v>1076</v>
      </c>
      <c r="D360" s="1">
        <v>1</v>
      </c>
      <c r="E360" s="1">
        <v>1725958.230340958</v>
      </c>
      <c r="F360" t="s">
        <v>1090</v>
      </c>
      <c r="G360" s="1"/>
      <c r="H360" t="s">
        <v>1111</v>
      </c>
    </row>
    <row r="361">
      <c r="A361" t="s">
        <v>633</v>
      </c>
      <c r="B361" s="1">
        <v>8</v>
      </c>
      <c r="C361" t="s">
        <v>1077</v>
      </c>
      <c r="D361" s="1">
        <v>11547.16578990864</v>
      </c>
      <c r="E361" s="1">
        <v>1725958.230340958</v>
      </c>
      <c r="F361" t="s">
        <v>1090</v>
      </c>
      <c r="G361" s="1"/>
      <c r="H361" t="s">
        <v>1111</v>
      </c>
    </row>
    <row r="362">
      <c r="A362" t="s">
        <v>634</v>
      </c>
      <c r="B362" s="1">
        <v>8</v>
      </c>
      <c r="C362" t="s">
        <v>1074</v>
      </c>
      <c r="D362" s="1">
        <v>1449438.161102295</v>
      </c>
      <c r="E362" s="1">
        <v>1725958.230340958</v>
      </c>
      <c r="F362" t="s">
        <v>1091</v>
      </c>
      <c r="G362" s="1"/>
      <c r="H362" t="s">
        <v>1111</v>
      </c>
    </row>
    <row r="363">
      <c r="A363" t="s">
        <v>635</v>
      </c>
      <c r="B363" s="1">
        <v>8</v>
      </c>
      <c r="C363" t="s">
        <v>1075</v>
      </c>
      <c r="D363" s="1">
        <v>14409256961.86875</v>
      </c>
      <c r="E363" s="1">
        <v>1725958.230340958</v>
      </c>
      <c r="F363" t="s">
        <v>1091</v>
      </c>
      <c r="G363" s="1"/>
      <c r="H363" t="s">
        <v>1111</v>
      </c>
    </row>
    <row r="364">
      <c r="A364" t="s">
        <v>636</v>
      </c>
      <c r="B364" s="1">
        <v>8</v>
      </c>
      <c r="C364" t="s">
        <v>1076</v>
      </c>
      <c r="D364" s="1">
        <v>0.8397875079607013</v>
      </c>
      <c r="E364" s="1">
        <v>1725958.230340958</v>
      </c>
      <c r="F364" t="s">
        <v>1091</v>
      </c>
      <c r="G364" s="1"/>
      <c r="H364" t="s">
        <v>1111</v>
      </c>
    </row>
    <row r="365">
      <c r="A365" t="s">
        <v>637</v>
      </c>
      <c r="B365" s="1">
        <v>8</v>
      </c>
      <c r="C365" t="s">
        <v>1077</v>
      </c>
      <c r="D365" s="1">
        <v>8348.554854089514</v>
      </c>
      <c r="E365" s="1">
        <v>1725958.230340958</v>
      </c>
      <c r="F365" t="s">
        <v>1091</v>
      </c>
      <c r="G365" s="1"/>
      <c r="H365" t="s">
        <v>1111</v>
      </c>
    </row>
    <row r="366">
      <c r="A366" t="s">
        <v>638</v>
      </c>
      <c r="B366" s="1">
        <v>8</v>
      </c>
      <c r="C366" t="s">
        <v>1074</v>
      </c>
      <c r="D366" s="1">
        <v>1725958.230340958</v>
      </c>
      <c r="E366" s="1">
        <v>1725958.230340958</v>
      </c>
      <c r="F366" t="s">
        <v>1092</v>
      </c>
      <c r="G366" s="1"/>
      <c r="H366" t="s">
        <v>1111</v>
      </c>
    </row>
    <row r="367">
      <c r="A367" t="s">
        <v>639</v>
      </c>
      <c r="B367" s="1">
        <v>8</v>
      </c>
      <c r="C367" t="s">
        <v>1075</v>
      </c>
      <c r="D367" s="1">
        <v>3064062434.648334</v>
      </c>
      <c r="E367" s="1">
        <v>1725958.230340958</v>
      </c>
      <c r="F367" t="s">
        <v>1092</v>
      </c>
      <c r="G367" s="1"/>
      <c r="H367" t="s">
        <v>1111</v>
      </c>
    </row>
    <row r="368">
      <c r="A368" t="s">
        <v>640</v>
      </c>
      <c r="B368" s="1">
        <v>8</v>
      </c>
      <c r="C368" t="s">
        <v>1076</v>
      </c>
      <c r="D368" s="1">
        <v>1</v>
      </c>
      <c r="E368" s="1">
        <v>1725958.230340958</v>
      </c>
      <c r="F368" t="s">
        <v>1092</v>
      </c>
      <c r="G368" s="1"/>
      <c r="H368" t="s">
        <v>1111</v>
      </c>
    </row>
    <row r="369">
      <c r="A369" t="s">
        <v>641</v>
      </c>
      <c r="B369" s="1">
        <v>8</v>
      </c>
      <c r="C369" t="s">
        <v>1077</v>
      </c>
      <c r="D369" s="1">
        <v>1775.28191632021</v>
      </c>
      <c r="E369" s="1">
        <v>1725958.230340958</v>
      </c>
      <c r="F369" t="s">
        <v>1092</v>
      </c>
      <c r="G369" s="1"/>
      <c r="H369" t="s">
        <v>1111</v>
      </c>
    </row>
    <row r="370">
      <c r="A370" t="s">
        <v>642</v>
      </c>
      <c r="B370" s="1">
        <v>8</v>
      </c>
      <c r="C370" t="s">
        <v>1074</v>
      </c>
      <c r="D370" s="1">
        <v>1725958.230340958</v>
      </c>
      <c r="E370" s="1">
        <v>1725958.230340958</v>
      </c>
      <c r="F370" t="s">
        <v>1093</v>
      </c>
      <c r="G370" s="1"/>
      <c r="H370" t="s">
        <v>1111</v>
      </c>
    </row>
    <row r="371">
      <c r="A371" t="s">
        <v>643</v>
      </c>
      <c r="B371" s="1">
        <v>8</v>
      </c>
      <c r="C371" t="s">
        <v>1075</v>
      </c>
      <c r="D371" s="1">
        <v>17473319396.51708</v>
      </c>
      <c r="E371" s="1">
        <v>1725958.230340958</v>
      </c>
      <c r="F371" t="s">
        <v>1093</v>
      </c>
      <c r="G371" s="1"/>
      <c r="H371" t="s">
        <v>1111</v>
      </c>
    </row>
    <row r="372">
      <c r="A372" t="s">
        <v>644</v>
      </c>
      <c r="B372" s="1">
        <v>8</v>
      </c>
      <c r="C372" t="s">
        <v>1076</v>
      </c>
      <c r="D372" s="1">
        <v>1</v>
      </c>
      <c r="E372" s="1">
        <v>1725958.230340958</v>
      </c>
      <c r="F372" t="s">
        <v>1093</v>
      </c>
      <c r="G372" s="1"/>
      <c r="H372" t="s">
        <v>1111</v>
      </c>
    </row>
    <row r="373">
      <c r="A373" t="s">
        <v>645</v>
      </c>
      <c r="B373" s="1">
        <v>8</v>
      </c>
      <c r="C373" t="s">
        <v>1077</v>
      </c>
      <c r="D373" s="1">
        <v>10123.83677040972</v>
      </c>
      <c r="E373" s="1">
        <v>1725958.230340958</v>
      </c>
      <c r="F373" t="s">
        <v>1093</v>
      </c>
      <c r="G373" s="1"/>
      <c r="H373" t="s">
        <v>1111</v>
      </c>
    </row>
    <row r="374">
      <c r="A374" t="s">
        <v>1152</v>
      </c>
      <c r="B374" s="1">
        <v>8</v>
      </c>
      <c r="C374" t="s">
        <v>1074</v>
      </c>
      <c r="D374" s="1">
        <v>1449438.161102295</v>
      </c>
      <c r="E374" s="1">
        <v>1725958.230340958</v>
      </c>
      <c r="F374" t="s">
        <v>1193</v>
      </c>
      <c r="G374" s="1"/>
      <c r="H374" t="s">
        <v>1111</v>
      </c>
    </row>
    <row r="375">
      <c r="A375" t="s">
        <v>1153</v>
      </c>
      <c r="B375" s="1">
        <v>8</v>
      </c>
      <c r="C375" t="s">
        <v>1075</v>
      </c>
      <c r="D375" s="1">
        <v>36954227969.53468</v>
      </c>
      <c r="E375" s="1">
        <v>1725958.230340958</v>
      </c>
      <c r="F375" t="s">
        <v>1193</v>
      </c>
      <c r="G375" s="1"/>
      <c r="H375" t="s">
        <v>1111</v>
      </c>
    </row>
    <row r="376">
      <c r="A376" t="s">
        <v>1154</v>
      </c>
      <c r="B376" s="1">
        <v>8</v>
      </c>
      <c r="C376" t="s">
        <v>1076</v>
      </c>
      <c r="D376" s="1">
        <v>0.8397875079607013</v>
      </c>
      <c r="E376" s="1">
        <v>1725958.230340958</v>
      </c>
      <c r="F376" t="s">
        <v>1193</v>
      </c>
      <c r="G376" s="1"/>
      <c r="H376" t="s">
        <v>1111</v>
      </c>
    </row>
    <row r="377">
      <c r="A377" t="s">
        <v>1155</v>
      </c>
      <c r="B377" s="1">
        <v>8</v>
      </c>
      <c r="C377" t="s">
        <v>1077</v>
      </c>
      <c r="D377" s="1">
        <v>21410.8472151348</v>
      </c>
      <c r="E377" s="1">
        <v>1725958.230340958</v>
      </c>
      <c r="F377" t="s">
        <v>1193</v>
      </c>
      <c r="G377" s="1"/>
      <c r="H377" t="s">
        <v>1111</v>
      </c>
    </row>
    <row r="378">
      <c r="A378" t="s">
        <v>646</v>
      </c>
      <c r="B378" s="1">
        <v>8</v>
      </c>
      <c r="C378" t="s">
        <v>1074</v>
      </c>
      <c r="D378" s="1">
        <v>251748.8659820557</v>
      </c>
      <c r="E378" s="1">
        <v>1725958.230340958</v>
      </c>
      <c r="F378" t="s">
        <v>1094</v>
      </c>
      <c r="G378" s="1"/>
      <c r="H378" t="s">
        <v>1111</v>
      </c>
    </row>
    <row r="379">
      <c r="A379" t="s">
        <v>647</v>
      </c>
      <c r="B379" s="1">
        <v>8</v>
      </c>
      <c r="C379" t="s">
        <v>1075</v>
      </c>
      <c r="D379" s="1">
        <v>307941234.4549395</v>
      </c>
      <c r="E379" s="1">
        <v>1725958.230340958</v>
      </c>
      <c r="F379" t="s">
        <v>1094</v>
      </c>
      <c r="G379" s="1"/>
      <c r="H379" t="s">
        <v>1111</v>
      </c>
    </row>
    <row r="380">
      <c r="A380" t="s">
        <v>648</v>
      </c>
      <c r="B380" s="1">
        <v>8</v>
      </c>
      <c r="C380" t="s">
        <v>1076</v>
      </c>
      <c r="D380" s="1">
        <v>0.1458603467665167</v>
      </c>
      <c r="E380" s="1">
        <v>1725958.230340958</v>
      </c>
      <c r="F380" t="s">
        <v>1094</v>
      </c>
      <c r="G380" s="1"/>
      <c r="H380" t="s">
        <v>1111</v>
      </c>
    </row>
    <row r="381">
      <c r="A381" t="s">
        <v>649</v>
      </c>
      <c r="B381" s="1">
        <v>8</v>
      </c>
      <c r="C381" t="s">
        <v>1077</v>
      </c>
      <c r="D381" s="1">
        <v>178.4175474478932</v>
      </c>
      <c r="E381" s="1">
        <v>1725958.230340958</v>
      </c>
      <c r="F381" t="s">
        <v>1094</v>
      </c>
      <c r="G381" s="1"/>
      <c r="H381" t="s">
        <v>1111</v>
      </c>
    </row>
    <row r="382">
      <c r="A382" t="s">
        <v>650</v>
      </c>
      <c r="B382" s="1">
        <v>8</v>
      </c>
      <c r="C382" t="s">
        <v>1074</v>
      </c>
      <c r="D382" s="1">
        <v>1369300.671653748</v>
      </c>
      <c r="E382" s="1">
        <v>1725958.230340958</v>
      </c>
      <c r="F382" t="s">
        <v>1095</v>
      </c>
      <c r="G382" s="1"/>
      <c r="H382" t="s">
        <v>1111</v>
      </c>
    </row>
    <row r="383">
      <c r="A383" t="s">
        <v>651</v>
      </c>
      <c r="B383" s="1">
        <v>8</v>
      </c>
      <c r="C383" t="s">
        <v>1075</v>
      </c>
      <c r="D383" s="1">
        <v>3633883092.300908</v>
      </c>
      <c r="E383" s="1">
        <v>1725958.230340958</v>
      </c>
      <c r="F383" t="s">
        <v>1095</v>
      </c>
      <c r="G383" s="1"/>
      <c r="H383" t="s">
        <v>1111</v>
      </c>
    </row>
    <row r="384">
      <c r="A384" t="s">
        <v>652</v>
      </c>
      <c r="B384" s="1">
        <v>8</v>
      </c>
      <c r="C384" t="s">
        <v>1076</v>
      </c>
      <c r="D384" s="1">
        <v>0.7933567844125906</v>
      </c>
      <c r="E384" s="1">
        <v>1725958.230340958</v>
      </c>
      <c r="F384" t="s">
        <v>1095</v>
      </c>
      <c r="G384" s="1"/>
      <c r="H384" t="s">
        <v>1111</v>
      </c>
    </row>
    <row r="385">
      <c r="A385" t="s">
        <v>653</v>
      </c>
      <c r="B385" s="1">
        <v>8</v>
      </c>
      <c r="C385" t="s">
        <v>1077</v>
      </c>
      <c r="D385" s="1">
        <v>2105.429336828763</v>
      </c>
      <c r="E385" s="1">
        <v>1725958.230340958</v>
      </c>
      <c r="F385" t="s">
        <v>1095</v>
      </c>
      <c r="G385" s="1"/>
      <c r="H385" t="s">
        <v>1111</v>
      </c>
    </row>
    <row r="386">
      <c r="A386" t="s">
        <v>658</v>
      </c>
      <c r="B386" s="1">
        <v>9</v>
      </c>
      <c r="C386" t="s">
        <v>1074</v>
      </c>
      <c r="D386" s="1">
        <v>1539397.42165184</v>
      </c>
      <c r="E386" s="1">
        <v>1721642.478590012</v>
      </c>
      <c r="F386" t="s">
        <v>1086</v>
      </c>
      <c r="G386" s="1"/>
      <c r="H386" t="s">
        <v>1111</v>
      </c>
    </row>
    <row r="387">
      <c r="A387" t="s">
        <v>659</v>
      </c>
      <c r="B387" s="1">
        <v>9</v>
      </c>
      <c r="C387" t="s">
        <v>1075</v>
      </c>
      <c r="D387" s="1">
        <v>14869729713.52585</v>
      </c>
      <c r="E387" s="1">
        <v>1721642.478590012</v>
      </c>
      <c r="F387" t="s">
        <v>1086</v>
      </c>
      <c r="G387" s="1"/>
      <c r="H387" t="s">
        <v>1111</v>
      </c>
    </row>
    <row r="388">
      <c r="A388" t="s">
        <v>660</v>
      </c>
      <c r="B388" s="1">
        <v>9</v>
      </c>
      <c r="C388" t="s">
        <v>1076</v>
      </c>
      <c r="D388" s="1">
        <v>0.8941446559291298</v>
      </c>
      <c r="E388" s="1">
        <v>1721642.478590012</v>
      </c>
      <c r="F388" t="s">
        <v>1086</v>
      </c>
      <c r="G388" s="1"/>
      <c r="H388" t="s">
        <v>1111</v>
      </c>
    </row>
    <row r="389">
      <c r="A389" t="s">
        <v>661</v>
      </c>
      <c r="B389" s="1">
        <v>9</v>
      </c>
      <c r="C389" t="s">
        <v>1077</v>
      </c>
      <c r="D389" s="1">
        <v>8636.944022027061</v>
      </c>
      <c r="E389" s="1">
        <v>1721642.478590012</v>
      </c>
      <c r="F389" t="s">
        <v>1086</v>
      </c>
      <c r="G389" s="1"/>
      <c r="H389" t="s">
        <v>1111</v>
      </c>
    </row>
    <row r="390">
      <c r="A390" t="s">
        <v>698</v>
      </c>
      <c r="B390" s="1">
        <v>9</v>
      </c>
      <c r="C390" t="s">
        <v>1074</v>
      </c>
      <c r="D390" s="1">
        <v>1721642.478590012</v>
      </c>
      <c r="E390" s="1">
        <v>1721642.478590012</v>
      </c>
      <c r="F390" t="s">
        <v>1096</v>
      </c>
      <c r="G390" s="1"/>
      <c r="H390" t="s">
        <v>1111</v>
      </c>
    </row>
    <row r="391">
      <c r="A391" t="s">
        <v>699</v>
      </c>
      <c r="B391" s="1">
        <v>9</v>
      </c>
      <c r="C391" t="s">
        <v>1075</v>
      </c>
      <c r="D391" s="1">
        <v>45401621031.80331</v>
      </c>
      <c r="E391" s="1">
        <v>1721642.478590012</v>
      </c>
      <c r="F391" t="s">
        <v>1096</v>
      </c>
      <c r="G391" s="1"/>
      <c r="H391" t="s">
        <v>1111</v>
      </c>
    </row>
    <row r="392">
      <c r="A392" t="s">
        <v>700</v>
      </c>
      <c r="B392" s="1">
        <v>9</v>
      </c>
      <c r="C392" t="s">
        <v>1076</v>
      </c>
      <c r="D392" s="1">
        <v>1</v>
      </c>
      <c r="E392" s="1">
        <v>1721642.478590012</v>
      </c>
      <c r="F392" t="s">
        <v>1096</v>
      </c>
      <c r="G392" s="1"/>
      <c r="H392" t="s">
        <v>1111</v>
      </c>
    </row>
    <row r="393">
      <c r="A393" t="s">
        <v>701</v>
      </c>
      <c r="B393" s="1">
        <v>9</v>
      </c>
      <c r="C393" t="s">
        <v>1077</v>
      </c>
      <c r="D393" s="1">
        <v>26371.10875016645</v>
      </c>
      <c r="E393" s="1">
        <v>1721642.478590012</v>
      </c>
      <c r="F393" t="s">
        <v>1096</v>
      </c>
      <c r="G393" s="1"/>
      <c r="H393" t="s">
        <v>1111</v>
      </c>
    </row>
    <row r="394">
      <c r="A394" t="s">
        <v>662</v>
      </c>
      <c r="B394" s="1">
        <v>9</v>
      </c>
      <c r="C394" t="s">
        <v>1074</v>
      </c>
      <c r="D394" s="1">
        <v>1551020.309148788</v>
      </c>
      <c r="E394" s="1">
        <v>1721642.478590012</v>
      </c>
      <c r="F394" t="s">
        <v>1087</v>
      </c>
      <c r="G394" s="1"/>
      <c r="H394" t="s">
        <v>1111</v>
      </c>
    </row>
    <row r="395">
      <c r="A395" t="s">
        <v>663</v>
      </c>
      <c r="B395" s="1">
        <v>9</v>
      </c>
      <c r="C395" t="s">
        <v>1075</v>
      </c>
      <c r="D395" s="1">
        <v>5477523797.627</v>
      </c>
      <c r="E395" s="1">
        <v>1721642.478590012</v>
      </c>
      <c r="F395" t="s">
        <v>1087</v>
      </c>
      <c r="G395" s="1"/>
      <c r="H395" t="s">
        <v>1111</v>
      </c>
    </row>
    <row r="396">
      <c r="A396" t="s">
        <v>664</v>
      </c>
      <c r="B396" s="1">
        <v>9</v>
      </c>
      <c r="C396" t="s">
        <v>1076</v>
      </c>
      <c r="D396" s="1">
        <v>0.9008957018875609</v>
      </c>
      <c r="E396" s="1">
        <v>1721642.478590012</v>
      </c>
      <c r="F396" t="s">
        <v>1087</v>
      </c>
      <c r="G396" s="1"/>
      <c r="H396" t="s">
        <v>1111</v>
      </c>
    </row>
    <row r="397">
      <c r="A397" t="s">
        <v>665</v>
      </c>
      <c r="B397" s="1">
        <v>9</v>
      </c>
      <c r="C397" t="s">
        <v>1077</v>
      </c>
      <c r="D397" s="1">
        <v>3181.56868556878</v>
      </c>
      <c r="E397" s="1">
        <v>1721642.478590012</v>
      </c>
      <c r="F397" t="s">
        <v>1087</v>
      </c>
      <c r="G397" s="1"/>
      <c r="H397" t="s">
        <v>1111</v>
      </c>
    </row>
    <row r="398">
      <c r="A398" t="s">
        <v>666</v>
      </c>
      <c r="B398" s="1">
        <v>9</v>
      </c>
      <c r="C398" t="s">
        <v>1074</v>
      </c>
      <c r="D398" s="1">
        <v>1721642.478590012</v>
      </c>
      <c r="E398" s="1">
        <v>1721642.478590012</v>
      </c>
      <c r="F398" t="s">
        <v>1088</v>
      </c>
      <c r="G398" s="1"/>
      <c r="H398" t="s">
        <v>1111</v>
      </c>
    </row>
    <row r="399">
      <c r="A399" t="s">
        <v>667</v>
      </c>
      <c r="B399" s="1">
        <v>9</v>
      </c>
      <c r="C399" t="s">
        <v>1075</v>
      </c>
      <c r="D399" s="1">
        <v>50879144829.43031</v>
      </c>
      <c r="E399" s="1">
        <v>1721642.478590012</v>
      </c>
      <c r="F399" t="s">
        <v>1088</v>
      </c>
      <c r="G399" s="1"/>
      <c r="H399" t="s">
        <v>1111</v>
      </c>
    </row>
    <row r="400">
      <c r="A400" t="s">
        <v>668</v>
      </c>
      <c r="B400" s="1">
        <v>9</v>
      </c>
      <c r="C400" t="s">
        <v>1076</v>
      </c>
      <c r="D400" s="1">
        <v>1</v>
      </c>
      <c r="E400" s="1">
        <v>1721642.478590012</v>
      </c>
      <c r="F400" t="s">
        <v>1088</v>
      </c>
      <c r="G400" s="1"/>
      <c r="H400" t="s">
        <v>1111</v>
      </c>
    </row>
    <row r="401">
      <c r="A401" t="s">
        <v>669</v>
      </c>
      <c r="B401" s="1">
        <v>9</v>
      </c>
      <c r="C401" t="s">
        <v>1077</v>
      </c>
      <c r="D401" s="1">
        <v>29552.67743573523</v>
      </c>
      <c r="E401" s="1">
        <v>1721642.478590012</v>
      </c>
      <c r="F401" t="s">
        <v>1088</v>
      </c>
      <c r="G401" s="1"/>
      <c r="H401" t="s">
        <v>1111</v>
      </c>
    </row>
    <row r="402">
      <c r="A402" t="s">
        <v>670</v>
      </c>
      <c r="B402" s="1">
        <v>9</v>
      </c>
      <c r="C402" t="s">
        <v>1074</v>
      </c>
      <c r="D402" s="1">
        <v>1721642.478590012</v>
      </c>
      <c r="E402" s="1">
        <v>1721642.478590012</v>
      </c>
      <c r="F402" t="s">
        <v>1089</v>
      </c>
      <c r="G402" s="1"/>
      <c r="H402" t="s">
        <v>1111</v>
      </c>
    </row>
    <row r="403">
      <c r="A403" t="s">
        <v>671</v>
      </c>
      <c r="B403" s="1">
        <v>9</v>
      </c>
      <c r="C403" t="s">
        <v>1075</v>
      </c>
      <c r="D403" s="1">
        <v>11778796792.55597</v>
      </c>
      <c r="E403" s="1">
        <v>1721642.478590012</v>
      </c>
      <c r="F403" t="s">
        <v>1089</v>
      </c>
      <c r="G403" s="1"/>
      <c r="H403" t="s">
        <v>1111</v>
      </c>
    </row>
    <row r="404">
      <c r="A404" t="s">
        <v>672</v>
      </c>
      <c r="B404" s="1">
        <v>9</v>
      </c>
      <c r="C404" t="s">
        <v>1076</v>
      </c>
      <c r="D404" s="1">
        <v>1</v>
      </c>
      <c r="E404" s="1">
        <v>1721642.478590012</v>
      </c>
      <c r="F404" t="s">
        <v>1089</v>
      </c>
      <c r="G404" s="1"/>
      <c r="H404" t="s">
        <v>1111</v>
      </c>
    </row>
    <row r="405">
      <c r="A405" t="s">
        <v>673</v>
      </c>
      <c r="B405" s="1">
        <v>9</v>
      </c>
      <c r="C405" t="s">
        <v>1077</v>
      </c>
      <c r="D405" s="1">
        <v>6841.604420798534</v>
      </c>
      <c r="E405" s="1">
        <v>1721642.478590012</v>
      </c>
      <c r="F405" t="s">
        <v>1089</v>
      </c>
      <c r="G405" s="1"/>
      <c r="H405" t="s">
        <v>1111</v>
      </c>
    </row>
    <row r="406">
      <c r="A406" t="s">
        <v>674</v>
      </c>
      <c r="B406" s="1">
        <v>9</v>
      </c>
      <c r="C406" t="s">
        <v>1074</v>
      </c>
      <c r="D406" s="1">
        <v>1721642.478590012</v>
      </c>
      <c r="E406" s="1">
        <v>1721642.478590012</v>
      </c>
      <c r="F406" t="s">
        <v>1090</v>
      </c>
      <c r="G406" s="1"/>
      <c r="H406" t="s">
        <v>1111</v>
      </c>
    </row>
    <row r="407">
      <c r="A407" t="s">
        <v>675</v>
      </c>
      <c r="B407" s="1">
        <v>9</v>
      </c>
      <c r="C407" t="s">
        <v>1075</v>
      </c>
      <c r="D407" s="1">
        <v>26648526506.08183</v>
      </c>
      <c r="E407" s="1">
        <v>1721642.478590012</v>
      </c>
      <c r="F407" t="s">
        <v>1090</v>
      </c>
      <c r="G407" s="1"/>
      <c r="H407" t="s">
        <v>1111</v>
      </c>
    </row>
    <row r="408">
      <c r="A408" t="s">
        <v>676</v>
      </c>
      <c r="B408" s="1">
        <v>9</v>
      </c>
      <c r="C408" t="s">
        <v>1076</v>
      </c>
      <c r="D408" s="1">
        <v>1</v>
      </c>
      <c r="E408" s="1">
        <v>1721642.478590012</v>
      </c>
      <c r="F408" t="s">
        <v>1090</v>
      </c>
      <c r="G408" s="1"/>
      <c r="H408" t="s">
        <v>1111</v>
      </c>
    </row>
    <row r="409">
      <c r="A409" t="s">
        <v>677</v>
      </c>
      <c r="B409" s="1">
        <v>9</v>
      </c>
      <c r="C409" t="s">
        <v>1077</v>
      </c>
      <c r="D409" s="1">
        <v>15478.5484428256</v>
      </c>
      <c r="E409" s="1">
        <v>1721642.478590012</v>
      </c>
      <c r="F409" t="s">
        <v>1090</v>
      </c>
      <c r="G409" s="1"/>
      <c r="H409" t="s">
        <v>1111</v>
      </c>
    </row>
    <row r="410">
      <c r="A410" t="s">
        <v>678</v>
      </c>
      <c r="B410" s="1">
        <v>9</v>
      </c>
      <c r="C410" t="s">
        <v>1074</v>
      </c>
      <c r="D410" s="1">
        <v>1545424.544525146</v>
      </c>
      <c r="E410" s="1">
        <v>1721642.478590012</v>
      </c>
      <c r="F410" t="s">
        <v>1091</v>
      </c>
      <c r="G410" s="1"/>
      <c r="H410" t="s">
        <v>1111</v>
      </c>
    </row>
    <row r="411">
      <c r="A411" t="s">
        <v>679</v>
      </c>
      <c r="B411" s="1">
        <v>9</v>
      </c>
      <c r="C411" t="s">
        <v>1075</v>
      </c>
      <c r="D411" s="1">
        <v>20297289774.1189</v>
      </c>
      <c r="E411" s="1">
        <v>1721642.478590012</v>
      </c>
      <c r="F411" t="s">
        <v>1091</v>
      </c>
      <c r="G411" s="1"/>
      <c r="H411" t="s">
        <v>1111</v>
      </c>
    </row>
    <row r="412">
      <c r="A412" t="s">
        <v>680</v>
      </c>
      <c r="B412" s="1">
        <v>9</v>
      </c>
      <c r="C412" t="s">
        <v>1076</v>
      </c>
      <c r="D412" s="1">
        <v>0.8976454541193803</v>
      </c>
      <c r="E412" s="1">
        <v>1721642.478590012</v>
      </c>
      <c r="F412" t="s">
        <v>1091</v>
      </c>
      <c r="G412" s="1"/>
      <c r="H412" t="s">
        <v>1111</v>
      </c>
    </row>
    <row r="413">
      <c r="A413" t="s">
        <v>681</v>
      </c>
      <c r="B413" s="1">
        <v>9</v>
      </c>
      <c r="C413" t="s">
        <v>1077</v>
      </c>
      <c r="D413" s="1">
        <v>11789.4917362529</v>
      </c>
      <c r="E413" s="1">
        <v>1721642.478590012</v>
      </c>
      <c r="F413" t="s">
        <v>1091</v>
      </c>
      <c r="G413" s="1"/>
      <c r="H413" t="s">
        <v>1111</v>
      </c>
    </row>
    <row r="414">
      <c r="A414" t="s">
        <v>682</v>
      </c>
      <c r="B414" s="1">
        <v>9</v>
      </c>
      <c r="C414" t="s">
        <v>1074</v>
      </c>
      <c r="D414" s="1">
        <v>1721642.478590012</v>
      </c>
      <c r="E414" s="1">
        <v>1721642.478590012</v>
      </c>
      <c r="F414" t="s">
        <v>1092</v>
      </c>
      <c r="G414" s="1"/>
      <c r="H414" t="s">
        <v>1111</v>
      </c>
    </row>
    <row r="415">
      <c r="A415" t="s">
        <v>683</v>
      </c>
      <c r="B415" s="1">
        <v>9</v>
      </c>
      <c r="C415" t="s">
        <v>1075</v>
      </c>
      <c r="D415" s="1">
        <v>3933328549.229588</v>
      </c>
      <c r="E415" s="1">
        <v>1721642.478590012</v>
      </c>
      <c r="F415" t="s">
        <v>1092</v>
      </c>
      <c r="G415" s="1"/>
      <c r="H415" t="s">
        <v>1111</v>
      </c>
    </row>
    <row r="416">
      <c r="A416" t="s">
        <v>684</v>
      </c>
      <c r="B416" s="1">
        <v>9</v>
      </c>
      <c r="C416" t="s">
        <v>1076</v>
      </c>
      <c r="D416" s="1">
        <v>1</v>
      </c>
      <c r="E416" s="1">
        <v>1721642.478590012</v>
      </c>
      <c r="F416" t="s">
        <v>1092</v>
      </c>
      <c r="G416" s="1"/>
      <c r="H416" t="s">
        <v>1111</v>
      </c>
    </row>
    <row r="417">
      <c r="A417" t="s">
        <v>685</v>
      </c>
      <c r="B417" s="1">
        <v>9</v>
      </c>
      <c r="C417" t="s">
        <v>1077</v>
      </c>
      <c r="D417" s="1">
        <v>2284.637256656737</v>
      </c>
      <c r="E417" s="1">
        <v>1721642.478590012</v>
      </c>
      <c r="F417" t="s">
        <v>1092</v>
      </c>
      <c r="G417" s="1"/>
      <c r="H417" t="s">
        <v>1111</v>
      </c>
    </row>
    <row r="418">
      <c r="A418" t="s">
        <v>686</v>
      </c>
      <c r="B418" s="1">
        <v>9</v>
      </c>
      <c r="C418" t="s">
        <v>1074</v>
      </c>
      <c r="D418" s="1">
        <v>1721642.478590012</v>
      </c>
      <c r="E418" s="1">
        <v>1721642.478590012</v>
      </c>
      <c r="F418" t="s">
        <v>1093</v>
      </c>
      <c r="G418" s="1"/>
      <c r="H418" t="s">
        <v>1111</v>
      </c>
    </row>
    <row r="419">
      <c r="A419" t="s">
        <v>687</v>
      </c>
      <c r="B419" s="1">
        <v>9</v>
      </c>
      <c r="C419" t="s">
        <v>1075</v>
      </c>
      <c r="D419" s="1">
        <v>24230618323.34849</v>
      </c>
      <c r="E419" s="1">
        <v>1721642.478590012</v>
      </c>
      <c r="F419" t="s">
        <v>1093</v>
      </c>
      <c r="G419" s="1"/>
      <c r="H419" t="s">
        <v>1111</v>
      </c>
    </row>
    <row r="420">
      <c r="A420" t="s">
        <v>688</v>
      </c>
      <c r="B420" s="1">
        <v>9</v>
      </c>
      <c r="C420" t="s">
        <v>1076</v>
      </c>
      <c r="D420" s="1">
        <v>1</v>
      </c>
      <c r="E420" s="1">
        <v>1721642.478590012</v>
      </c>
      <c r="F420" t="s">
        <v>1093</v>
      </c>
      <c r="G420" s="1"/>
      <c r="H420" t="s">
        <v>1111</v>
      </c>
    </row>
    <row r="421">
      <c r="A421" t="s">
        <v>689</v>
      </c>
      <c r="B421" s="1">
        <v>9</v>
      </c>
      <c r="C421" t="s">
        <v>1077</v>
      </c>
      <c r="D421" s="1">
        <v>14074.12899290963</v>
      </c>
      <c r="E421" s="1">
        <v>1721642.478590012</v>
      </c>
      <c r="F421" t="s">
        <v>1093</v>
      </c>
      <c r="G421" s="1"/>
      <c r="H421" t="s">
        <v>1111</v>
      </c>
    </row>
    <row r="422">
      <c r="A422" t="s">
        <v>1156</v>
      </c>
      <c r="B422" s="1">
        <v>9</v>
      </c>
      <c r="C422" t="s">
        <v>1074</v>
      </c>
      <c r="D422" s="1">
        <v>1545424.544525146</v>
      </c>
      <c r="E422" s="1">
        <v>1721642.478590012</v>
      </c>
      <c r="F422" t="s">
        <v>1193</v>
      </c>
      <c r="G422" s="1"/>
      <c r="H422" t="s">
        <v>1111</v>
      </c>
    </row>
    <row r="423">
      <c r="A423" t="s">
        <v>1157</v>
      </c>
      <c r="B423" s="1">
        <v>9</v>
      </c>
      <c r="C423" t="s">
        <v>1075</v>
      </c>
      <c r="D423" s="1">
        <v>52530605376.93568</v>
      </c>
      <c r="E423" s="1">
        <v>1721642.478590012</v>
      </c>
      <c r="F423" t="s">
        <v>1193</v>
      </c>
      <c r="G423" s="1"/>
      <c r="H423" t="s">
        <v>1111</v>
      </c>
    </row>
    <row r="424">
      <c r="A424" t="s">
        <v>1158</v>
      </c>
      <c r="B424" s="1">
        <v>9</v>
      </c>
      <c r="C424" t="s">
        <v>1076</v>
      </c>
      <c r="D424" s="1">
        <v>0.8976454541193803</v>
      </c>
      <c r="E424" s="1">
        <v>1721642.478590012</v>
      </c>
      <c r="F424" t="s">
        <v>1193</v>
      </c>
      <c r="G424" s="1"/>
      <c r="H424" t="s">
        <v>1111</v>
      </c>
    </row>
    <row r="425">
      <c r="A425" t="s">
        <v>1159</v>
      </c>
      <c r="B425" s="1">
        <v>9</v>
      </c>
      <c r="C425" t="s">
        <v>1077</v>
      </c>
      <c r="D425" s="1">
        <v>30511.91291467037</v>
      </c>
      <c r="E425" s="1">
        <v>1721642.478590012</v>
      </c>
      <c r="F425" t="s">
        <v>1193</v>
      </c>
      <c r="G425" s="1"/>
      <c r="H425" t="s">
        <v>1111</v>
      </c>
    </row>
    <row r="426">
      <c r="A426" t="s">
        <v>690</v>
      </c>
      <c r="B426" s="1">
        <v>9</v>
      </c>
      <c r="C426" t="s">
        <v>1074</v>
      </c>
      <c r="D426" s="1">
        <v>369813.4433135986</v>
      </c>
      <c r="E426" s="1">
        <v>1721642.478590012</v>
      </c>
      <c r="F426" t="s">
        <v>1094</v>
      </c>
      <c r="G426" s="1"/>
      <c r="H426" t="s">
        <v>1111</v>
      </c>
    </row>
    <row r="427">
      <c r="A427" t="s">
        <v>691</v>
      </c>
      <c r="B427" s="1">
        <v>9</v>
      </c>
      <c r="C427" t="s">
        <v>1075</v>
      </c>
      <c r="D427" s="1">
        <v>488541869.7197261</v>
      </c>
      <c r="E427" s="1">
        <v>1721642.478590012</v>
      </c>
      <c r="F427" t="s">
        <v>1094</v>
      </c>
      <c r="G427" s="1"/>
      <c r="H427" t="s">
        <v>1111</v>
      </c>
    </row>
    <row r="428">
      <c r="A428" t="s">
        <v>692</v>
      </c>
      <c r="B428" s="1">
        <v>9</v>
      </c>
      <c r="C428" t="s">
        <v>1076</v>
      </c>
      <c r="D428" s="1">
        <v>0.2148026944691025</v>
      </c>
      <c r="E428" s="1">
        <v>1721642.478590012</v>
      </c>
      <c r="F428" t="s">
        <v>1094</v>
      </c>
      <c r="G428" s="1"/>
      <c r="H428" t="s">
        <v>1111</v>
      </c>
    </row>
    <row r="429">
      <c r="A429" t="s">
        <v>693</v>
      </c>
      <c r="B429" s="1">
        <v>9</v>
      </c>
      <c r="C429" t="s">
        <v>1077</v>
      </c>
      <c r="D429" s="1">
        <v>283.764995227018</v>
      </c>
      <c r="E429" s="1">
        <v>1721642.478590012</v>
      </c>
      <c r="F429" t="s">
        <v>1094</v>
      </c>
      <c r="G429" s="1"/>
      <c r="H429" t="s">
        <v>1111</v>
      </c>
    </row>
    <row r="430">
      <c r="A430" t="s">
        <v>694</v>
      </c>
      <c r="B430" s="1">
        <v>9</v>
      </c>
      <c r="C430" t="s">
        <v>1074</v>
      </c>
      <c r="D430" s="1">
        <v>1539397.42165184</v>
      </c>
      <c r="E430" s="1">
        <v>1721642.478590012</v>
      </c>
      <c r="F430" t="s">
        <v>1095</v>
      </c>
      <c r="G430" s="1"/>
      <c r="H430" t="s">
        <v>1111</v>
      </c>
    </row>
    <row r="431">
      <c r="A431" t="s">
        <v>695</v>
      </c>
      <c r="B431" s="1">
        <v>9</v>
      </c>
      <c r="C431" t="s">
        <v>1075</v>
      </c>
      <c r="D431" s="1">
        <v>4988981927.907274</v>
      </c>
      <c r="E431" s="1">
        <v>1721642.478590012</v>
      </c>
      <c r="F431" t="s">
        <v>1095</v>
      </c>
      <c r="G431" s="1"/>
      <c r="H431" t="s">
        <v>1111</v>
      </c>
    </row>
    <row r="432">
      <c r="A432" t="s">
        <v>696</v>
      </c>
      <c r="B432" s="1">
        <v>9</v>
      </c>
      <c r="C432" t="s">
        <v>1076</v>
      </c>
      <c r="D432" s="1">
        <v>0.8941446559291298</v>
      </c>
      <c r="E432" s="1">
        <v>1721642.478590012</v>
      </c>
      <c r="F432" t="s">
        <v>1095</v>
      </c>
      <c r="G432" s="1"/>
      <c r="H432" t="s">
        <v>1111</v>
      </c>
    </row>
    <row r="433">
      <c r="A433" t="s">
        <v>697</v>
      </c>
      <c r="B433" s="1">
        <v>9</v>
      </c>
      <c r="C433" t="s">
        <v>1077</v>
      </c>
      <c r="D433" s="1">
        <v>2897.803690341762</v>
      </c>
      <c r="E433" s="1">
        <v>1721642.478590012</v>
      </c>
      <c r="F433" t="s">
        <v>1095</v>
      </c>
      <c r="G433" s="1"/>
      <c r="H433" t="s">
        <v>1111</v>
      </c>
    </row>
    <row r="434">
      <c r="A434" t="s">
        <v>702</v>
      </c>
      <c r="B434" s="1">
        <v>10</v>
      </c>
      <c r="C434" t="s">
        <v>1074</v>
      </c>
      <c r="D434" s="1">
        <v>1585486.807909012</v>
      </c>
      <c r="E434" s="1">
        <v>1732307.516914368</v>
      </c>
      <c r="F434" t="s">
        <v>1086</v>
      </c>
      <c r="G434" s="1"/>
      <c r="H434" t="s">
        <v>1111</v>
      </c>
    </row>
    <row r="435">
      <c r="A435" t="s">
        <v>703</v>
      </c>
      <c r="B435" s="1">
        <v>10</v>
      </c>
      <c r="C435" t="s">
        <v>1075</v>
      </c>
      <c r="D435" s="1">
        <v>33138244862.65318</v>
      </c>
      <c r="E435" s="1">
        <v>1732307.516914368</v>
      </c>
      <c r="F435" t="s">
        <v>1086</v>
      </c>
      <c r="G435" s="1"/>
      <c r="H435" t="s">
        <v>1111</v>
      </c>
    </row>
    <row r="436">
      <c r="A436" t="s">
        <v>704</v>
      </c>
      <c r="B436" s="1">
        <v>10</v>
      </c>
      <c r="C436" t="s">
        <v>1076</v>
      </c>
      <c r="D436" s="1">
        <v>0.9152455856874206</v>
      </c>
      <c r="E436" s="1">
        <v>1732307.516914368</v>
      </c>
      <c r="F436" t="s">
        <v>1086</v>
      </c>
      <c r="G436" s="1"/>
      <c r="H436" t="s">
        <v>1111</v>
      </c>
    </row>
    <row r="437">
      <c r="A437" t="s">
        <v>705</v>
      </c>
      <c r="B437" s="1">
        <v>10</v>
      </c>
      <c r="C437" t="s">
        <v>1077</v>
      </c>
      <c r="D437" s="1">
        <v>19129.53937975164</v>
      </c>
      <c r="E437" s="1">
        <v>1732307.516914368</v>
      </c>
      <c r="F437" t="s">
        <v>1086</v>
      </c>
      <c r="G437" s="1"/>
      <c r="H437" t="s">
        <v>1111</v>
      </c>
    </row>
    <row r="438">
      <c r="A438" t="s">
        <v>742</v>
      </c>
      <c r="B438" s="1">
        <v>10</v>
      </c>
      <c r="C438" t="s">
        <v>1074</v>
      </c>
      <c r="D438" s="1">
        <v>1732307.516914368</v>
      </c>
      <c r="E438" s="1">
        <v>1732307.516914368</v>
      </c>
      <c r="F438" t="s">
        <v>1096</v>
      </c>
      <c r="G438" s="1"/>
      <c r="H438" t="s">
        <v>1111</v>
      </c>
    </row>
    <row r="439">
      <c r="A439" t="s">
        <v>743</v>
      </c>
      <c r="B439" s="1">
        <v>10</v>
      </c>
      <c r="C439" t="s">
        <v>1075</v>
      </c>
      <c r="D439" s="1">
        <v>90281223248.28671</v>
      </c>
      <c r="E439" s="1">
        <v>1732307.516914368</v>
      </c>
      <c r="F439" t="s">
        <v>1096</v>
      </c>
      <c r="G439" s="1"/>
      <c r="H439" t="s">
        <v>1111</v>
      </c>
    </row>
    <row r="440">
      <c r="A440" t="s">
        <v>744</v>
      </c>
      <c r="B440" s="1">
        <v>10</v>
      </c>
      <c r="C440" t="s">
        <v>1076</v>
      </c>
      <c r="D440" s="1">
        <v>1</v>
      </c>
      <c r="E440" s="1">
        <v>1732307.516914368</v>
      </c>
      <c r="F440" t="s">
        <v>1096</v>
      </c>
      <c r="G440" s="1"/>
      <c r="H440" t="s">
        <v>1111</v>
      </c>
    </row>
    <row r="441">
      <c r="A441" t="s">
        <v>745</v>
      </c>
      <c r="B441" s="1">
        <v>10</v>
      </c>
      <c r="C441" t="s">
        <v>1077</v>
      </c>
      <c r="D441" s="1">
        <v>52116.16434540331</v>
      </c>
      <c r="E441" s="1">
        <v>1732307.516914368</v>
      </c>
      <c r="F441" t="s">
        <v>1096</v>
      </c>
      <c r="G441" s="1"/>
      <c r="H441" t="s">
        <v>1111</v>
      </c>
    </row>
    <row r="442">
      <c r="A442" t="s">
        <v>706</v>
      </c>
      <c r="B442" s="1">
        <v>10</v>
      </c>
      <c r="C442" t="s">
        <v>1074</v>
      </c>
      <c r="D442" s="1">
        <v>1606158.487230301</v>
      </c>
      <c r="E442" s="1">
        <v>1732307.516914368</v>
      </c>
      <c r="F442" t="s">
        <v>1087</v>
      </c>
      <c r="G442" s="1"/>
      <c r="H442" t="s">
        <v>1111</v>
      </c>
    </row>
    <row r="443">
      <c r="A443" t="s">
        <v>707</v>
      </c>
      <c r="B443" s="1">
        <v>10</v>
      </c>
      <c r="C443" t="s">
        <v>1075</v>
      </c>
      <c r="D443" s="1">
        <v>15902423172.4029</v>
      </c>
      <c r="E443" s="1">
        <v>1732307.516914368</v>
      </c>
      <c r="F443" t="s">
        <v>1087</v>
      </c>
      <c r="G443" s="1"/>
      <c r="H443" t="s">
        <v>1111</v>
      </c>
    </row>
    <row r="444">
      <c r="A444" t="s">
        <v>708</v>
      </c>
      <c r="B444" s="1">
        <v>10</v>
      </c>
      <c r="C444" t="s">
        <v>1076</v>
      </c>
      <c r="D444" s="1">
        <v>0.9271786166992066</v>
      </c>
      <c r="E444" s="1">
        <v>1732307.516914368</v>
      </c>
      <c r="F444" t="s">
        <v>1087</v>
      </c>
      <c r="G444" s="1"/>
      <c r="H444" t="s">
        <v>1111</v>
      </c>
    </row>
    <row r="445">
      <c r="A445" t="s">
        <v>709</v>
      </c>
      <c r="B445" s="1">
        <v>10</v>
      </c>
      <c r="C445" t="s">
        <v>1077</v>
      </c>
      <c r="D445" s="1">
        <v>9179.907734123743</v>
      </c>
      <c r="E445" s="1">
        <v>1732307.516914368</v>
      </c>
      <c r="F445" t="s">
        <v>1087</v>
      </c>
      <c r="G445" s="1"/>
      <c r="H445" t="s">
        <v>1111</v>
      </c>
    </row>
    <row r="446">
      <c r="A446" t="s">
        <v>710</v>
      </c>
      <c r="B446" s="1">
        <v>10</v>
      </c>
      <c r="C446" t="s">
        <v>1074</v>
      </c>
      <c r="D446" s="1">
        <v>1732307.516914368</v>
      </c>
      <c r="E446" s="1">
        <v>1732307.516914368</v>
      </c>
      <c r="F446" t="s">
        <v>1088</v>
      </c>
      <c r="G446" s="1"/>
      <c r="H446" t="s">
        <v>1111</v>
      </c>
    </row>
    <row r="447">
      <c r="A447" t="s">
        <v>711</v>
      </c>
      <c r="B447" s="1">
        <v>10</v>
      </c>
      <c r="C447" t="s">
        <v>1075</v>
      </c>
      <c r="D447" s="1">
        <v>106183646420.6896</v>
      </c>
      <c r="E447" s="1">
        <v>1732307.516914368</v>
      </c>
      <c r="F447" t="s">
        <v>1088</v>
      </c>
      <c r="G447" s="1"/>
      <c r="H447" t="s">
        <v>1111</v>
      </c>
    </row>
    <row r="448">
      <c r="A448" t="s">
        <v>712</v>
      </c>
      <c r="B448" s="1">
        <v>10</v>
      </c>
      <c r="C448" t="s">
        <v>1076</v>
      </c>
      <c r="D448" s="1">
        <v>1</v>
      </c>
      <c r="E448" s="1">
        <v>1732307.516914368</v>
      </c>
      <c r="F448" t="s">
        <v>1088</v>
      </c>
      <c r="G448" s="1"/>
      <c r="H448" t="s">
        <v>1111</v>
      </c>
    </row>
    <row r="449">
      <c r="A449" t="s">
        <v>713</v>
      </c>
      <c r="B449" s="1">
        <v>10</v>
      </c>
      <c r="C449" t="s">
        <v>1077</v>
      </c>
      <c r="D449" s="1">
        <v>61296.07207952705</v>
      </c>
      <c r="E449" s="1">
        <v>1732307.516914368</v>
      </c>
      <c r="F449" t="s">
        <v>1088</v>
      </c>
      <c r="G449" s="1"/>
      <c r="H449" t="s">
        <v>1111</v>
      </c>
    </row>
    <row r="450">
      <c r="A450" t="s">
        <v>714</v>
      </c>
      <c r="B450" s="1">
        <v>10</v>
      </c>
      <c r="C450" t="s">
        <v>1074</v>
      </c>
      <c r="D450" s="1">
        <v>1732307.516914368</v>
      </c>
      <c r="E450" s="1">
        <v>1732307.516914368</v>
      </c>
      <c r="F450" t="s">
        <v>1089</v>
      </c>
      <c r="G450" s="1"/>
      <c r="H450" t="s">
        <v>1111</v>
      </c>
    </row>
    <row r="451">
      <c r="A451" t="s">
        <v>715</v>
      </c>
      <c r="B451" s="1">
        <v>10</v>
      </c>
      <c r="C451" t="s">
        <v>1075</v>
      </c>
      <c r="D451" s="1">
        <v>23695623489.37558</v>
      </c>
      <c r="E451" s="1">
        <v>1732307.516914368</v>
      </c>
      <c r="F451" t="s">
        <v>1089</v>
      </c>
      <c r="G451" s="1"/>
      <c r="H451" t="s">
        <v>1111</v>
      </c>
    </row>
    <row r="452">
      <c r="A452" t="s">
        <v>716</v>
      </c>
      <c r="B452" s="1">
        <v>10</v>
      </c>
      <c r="C452" t="s">
        <v>1076</v>
      </c>
      <c r="D452" s="1">
        <v>1</v>
      </c>
      <c r="E452" s="1">
        <v>1732307.516914368</v>
      </c>
      <c r="F452" t="s">
        <v>1089</v>
      </c>
      <c r="G452" s="1"/>
      <c r="H452" t="s">
        <v>1111</v>
      </c>
    </row>
    <row r="453">
      <c r="A453" t="s">
        <v>717</v>
      </c>
      <c r="B453" s="1">
        <v>10</v>
      </c>
      <c r="C453" t="s">
        <v>1077</v>
      </c>
      <c r="D453" s="1">
        <v>13678.64727134756</v>
      </c>
      <c r="E453" s="1">
        <v>1732307.516914368</v>
      </c>
      <c r="F453" t="s">
        <v>1089</v>
      </c>
      <c r="G453" s="1"/>
      <c r="H453" t="s">
        <v>1111</v>
      </c>
    </row>
    <row r="454">
      <c r="A454" t="s">
        <v>718</v>
      </c>
      <c r="B454" s="1">
        <v>10</v>
      </c>
      <c r="C454" t="s">
        <v>1074</v>
      </c>
      <c r="D454" s="1">
        <v>1732307.516914368</v>
      </c>
      <c r="E454" s="1">
        <v>1732307.516914368</v>
      </c>
      <c r="F454" t="s">
        <v>1090</v>
      </c>
      <c r="G454" s="1"/>
      <c r="H454" t="s">
        <v>1111</v>
      </c>
    </row>
    <row r="455">
      <c r="A455" t="s">
        <v>719</v>
      </c>
      <c r="B455" s="1">
        <v>10</v>
      </c>
      <c r="C455" t="s">
        <v>1075</v>
      </c>
      <c r="D455" s="1">
        <v>56833868352.02875</v>
      </c>
      <c r="E455" s="1">
        <v>1732307.516914368</v>
      </c>
      <c r="F455" t="s">
        <v>1090</v>
      </c>
      <c r="G455" s="1"/>
      <c r="H455" t="s">
        <v>1111</v>
      </c>
    </row>
    <row r="456">
      <c r="A456" t="s">
        <v>720</v>
      </c>
      <c r="B456" s="1">
        <v>10</v>
      </c>
      <c r="C456" t="s">
        <v>1076</v>
      </c>
      <c r="D456" s="1">
        <v>1</v>
      </c>
      <c r="E456" s="1">
        <v>1732307.516914368</v>
      </c>
      <c r="F456" t="s">
        <v>1090</v>
      </c>
      <c r="G456" s="1"/>
      <c r="H456" t="s">
        <v>1111</v>
      </c>
    </row>
    <row r="457">
      <c r="A457" t="s">
        <v>721</v>
      </c>
      <c r="B457" s="1">
        <v>10</v>
      </c>
      <c r="C457" t="s">
        <v>1077</v>
      </c>
      <c r="D457" s="1">
        <v>32808.1866510992</v>
      </c>
      <c r="E457" s="1">
        <v>1732307.516914368</v>
      </c>
      <c r="F457" t="s">
        <v>1090</v>
      </c>
      <c r="G457" s="1"/>
      <c r="H457" t="s">
        <v>1111</v>
      </c>
    </row>
    <row r="458">
      <c r="A458" t="s">
        <v>722</v>
      </c>
      <c r="B458" s="1">
        <v>10</v>
      </c>
      <c r="C458" t="s">
        <v>1074</v>
      </c>
      <c r="D458" s="1">
        <v>1650453.244073868</v>
      </c>
      <c r="E458" s="1">
        <v>1732307.516914368</v>
      </c>
      <c r="F458" t="s">
        <v>1091</v>
      </c>
      <c r="G458" s="1"/>
      <c r="H458" t="s">
        <v>1111</v>
      </c>
    </row>
    <row r="459">
      <c r="A459" t="s">
        <v>723</v>
      </c>
      <c r="B459" s="1">
        <v>10</v>
      </c>
      <c r="C459" t="s">
        <v>1075</v>
      </c>
      <c r="D459" s="1">
        <v>41678569897.40722</v>
      </c>
      <c r="E459" s="1">
        <v>1732307.516914368</v>
      </c>
      <c r="F459" t="s">
        <v>1091</v>
      </c>
      <c r="G459" s="1"/>
      <c r="H459" t="s">
        <v>1111</v>
      </c>
    </row>
    <row r="460">
      <c r="A460" t="s">
        <v>724</v>
      </c>
      <c r="B460" s="1">
        <v>10</v>
      </c>
      <c r="C460" t="s">
        <v>1076</v>
      </c>
      <c r="D460" s="1">
        <v>0.9527484167555302</v>
      </c>
      <c r="E460" s="1">
        <v>1732307.516914368</v>
      </c>
      <c r="F460" t="s">
        <v>1091</v>
      </c>
      <c r="G460" s="1"/>
      <c r="H460" t="s">
        <v>1111</v>
      </c>
    </row>
    <row r="461">
      <c r="A461" t="s">
        <v>725</v>
      </c>
      <c r="B461" s="1">
        <v>10</v>
      </c>
      <c r="C461" t="s">
        <v>1077</v>
      </c>
      <c r="D461" s="1">
        <v>24059.56765207958</v>
      </c>
      <c r="E461" s="1">
        <v>1732307.516914368</v>
      </c>
      <c r="F461" t="s">
        <v>1091</v>
      </c>
      <c r="G461" s="1"/>
      <c r="H461" t="s">
        <v>1111</v>
      </c>
    </row>
    <row r="462">
      <c r="A462" t="s">
        <v>726</v>
      </c>
      <c r="B462" s="1">
        <v>10</v>
      </c>
      <c r="C462" t="s">
        <v>1074</v>
      </c>
      <c r="D462" s="1">
        <v>1732307.516914368</v>
      </c>
      <c r="E462" s="1">
        <v>1732307.516914368</v>
      </c>
      <c r="F462" t="s">
        <v>1092</v>
      </c>
      <c r="G462" s="1"/>
      <c r="H462" t="s">
        <v>1111</v>
      </c>
    </row>
    <row r="463">
      <c r="A463" t="s">
        <v>727</v>
      </c>
      <c r="B463" s="1">
        <v>10</v>
      </c>
      <c r="C463" t="s">
        <v>1075</v>
      </c>
      <c r="D463" s="1">
        <v>7671208171.253648</v>
      </c>
      <c r="E463" s="1">
        <v>1732307.516914368</v>
      </c>
      <c r="F463" t="s">
        <v>1092</v>
      </c>
      <c r="G463" s="1"/>
      <c r="H463" t="s">
        <v>1111</v>
      </c>
    </row>
    <row r="464">
      <c r="A464" t="s">
        <v>728</v>
      </c>
      <c r="B464" s="1">
        <v>10</v>
      </c>
      <c r="C464" t="s">
        <v>1076</v>
      </c>
      <c r="D464" s="1">
        <v>1</v>
      </c>
      <c r="E464" s="1">
        <v>1732307.516914368</v>
      </c>
      <c r="F464" t="s">
        <v>1092</v>
      </c>
      <c r="G464" s="1"/>
      <c r="H464" t="s">
        <v>1111</v>
      </c>
    </row>
    <row r="465">
      <c r="A465" t="s">
        <v>729</v>
      </c>
      <c r="B465" s="1">
        <v>10</v>
      </c>
      <c r="C465" t="s">
        <v>1077</v>
      </c>
      <c r="D465" s="1">
        <v>4428.317776348283</v>
      </c>
      <c r="E465" s="1">
        <v>1732307.516914368</v>
      </c>
      <c r="F465" t="s">
        <v>1092</v>
      </c>
      <c r="G465" s="1"/>
      <c r="H465" t="s">
        <v>1111</v>
      </c>
    </row>
    <row r="466">
      <c r="A466" t="s">
        <v>730</v>
      </c>
      <c r="B466" s="1">
        <v>10</v>
      </c>
      <c r="C466" t="s">
        <v>1074</v>
      </c>
      <c r="D466" s="1">
        <v>1732307.516914368</v>
      </c>
      <c r="E466" s="1">
        <v>1732307.516914368</v>
      </c>
      <c r="F466" t="s">
        <v>1093</v>
      </c>
      <c r="G466" s="1"/>
      <c r="H466" t="s">
        <v>1111</v>
      </c>
    </row>
    <row r="467">
      <c r="A467" t="s">
        <v>731</v>
      </c>
      <c r="B467" s="1">
        <v>10</v>
      </c>
      <c r="C467" t="s">
        <v>1075</v>
      </c>
      <c r="D467" s="1">
        <v>49349778068.66087</v>
      </c>
      <c r="E467" s="1">
        <v>1732307.516914368</v>
      </c>
      <c r="F467" t="s">
        <v>1093</v>
      </c>
      <c r="G467" s="1"/>
      <c r="H467" t="s">
        <v>1111</v>
      </c>
    </row>
    <row r="468">
      <c r="A468" t="s">
        <v>732</v>
      </c>
      <c r="B468" s="1">
        <v>10</v>
      </c>
      <c r="C468" t="s">
        <v>1076</v>
      </c>
      <c r="D468" s="1">
        <v>1</v>
      </c>
      <c r="E468" s="1">
        <v>1732307.516914368</v>
      </c>
      <c r="F468" t="s">
        <v>1093</v>
      </c>
      <c r="G468" s="1"/>
      <c r="H468" t="s">
        <v>1111</v>
      </c>
    </row>
    <row r="469">
      <c r="A469" t="s">
        <v>733</v>
      </c>
      <c r="B469" s="1">
        <v>10</v>
      </c>
      <c r="C469" t="s">
        <v>1077</v>
      </c>
      <c r="D469" s="1">
        <v>28487.88542842786</v>
      </c>
      <c r="E469" s="1">
        <v>1732307.516914368</v>
      </c>
      <c r="F469" t="s">
        <v>1093</v>
      </c>
      <c r="G469" s="1"/>
      <c r="H469" t="s">
        <v>1111</v>
      </c>
    </row>
    <row r="470">
      <c r="A470" t="s">
        <v>1160</v>
      </c>
      <c r="B470" s="1">
        <v>10</v>
      </c>
      <c r="C470" t="s">
        <v>1074</v>
      </c>
      <c r="D470" s="1">
        <v>1650453.244073868</v>
      </c>
      <c r="E470" s="1">
        <v>1732307.516914368</v>
      </c>
      <c r="F470" t="s">
        <v>1193</v>
      </c>
      <c r="G470" s="1"/>
      <c r="H470" t="s">
        <v>1111</v>
      </c>
    </row>
    <row r="471">
      <c r="A471" t="s">
        <v>1161</v>
      </c>
      <c r="B471" s="1">
        <v>10</v>
      </c>
      <c r="C471" t="s">
        <v>1075</v>
      </c>
      <c r="D471" s="1">
        <v>114503741833.9084</v>
      </c>
      <c r="E471" s="1">
        <v>1732307.516914368</v>
      </c>
      <c r="F471" t="s">
        <v>1193</v>
      </c>
      <c r="G471" s="1"/>
      <c r="H471" t="s">
        <v>1111</v>
      </c>
    </row>
    <row r="472">
      <c r="A472" t="s">
        <v>1162</v>
      </c>
      <c r="B472" s="1">
        <v>10</v>
      </c>
      <c r="C472" t="s">
        <v>1076</v>
      </c>
      <c r="D472" s="1">
        <v>0.9527484167555302</v>
      </c>
      <c r="E472" s="1">
        <v>1732307.516914368</v>
      </c>
      <c r="F472" t="s">
        <v>1193</v>
      </c>
      <c r="G472" s="1"/>
      <c r="H472" t="s">
        <v>1111</v>
      </c>
    </row>
    <row r="473">
      <c r="A473" t="s">
        <v>1163</v>
      </c>
      <c r="B473" s="1">
        <v>10</v>
      </c>
      <c r="C473" t="s">
        <v>1077</v>
      </c>
      <c r="D473" s="1">
        <v>66098.96956278615</v>
      </c>
      <c r="E473" s="1">
        <v>1732307.516914368</v>
      </c>
      <c r="F473" t="s">
        <v>1193</v>
      </c>
      <c r="G473" s="1"/>
      <c r="H473" t="s">
        <v>1111</v>
      </c>
    </row>
    <row r="474">
      <c r="A474" t="s">
        <v>734</v>
      </c>
      <c r="B474" s="1">
        <v>10</v>
      </c>
      <c r="C474" t="s">
        <v>1074</v>
      </c>
      <c r="D474" s="1">
        <v>581543.292722702</v>
      </c>
      <c r="E474" s="1">
        <v>1732307.516914368</v>
      </c>
      <c r="F474" t="s">
        <v>1094</v>
      </c>
      <c r="G474" s="1"/>
      <c r="H474" t="s">
        <v>1111</v>
      </c>
    </row>
    <row r="475">
      <c r="A475" t="s">
        <v>735</v>
      </c>
      <c r="B475" s="1">
        <v>10</v>
      </c>
      <c r="C475" t="s">
        <v>1075</v>
      </c>
      <c r="D475" s="1">
        <v>3001738024.249067</v>
      </c>
      <c r="E475" s="1">
        <v>1732307.516914368</v>
      </c>
      <c r="F475" t="s">
        <v>1094</v>
      </c>
      <c r="G475" s="1"/>
      <c r="H475" t="s">
        <v>1111</v>
      </c>
    </row>
    <row r="476">
      <c r="A476" t="s">
        <v>736</v>
      </c>
      <c r="B476" s="1">
        <v>10</v>
      </c>
      <c r="C476" t="s">
        <v>1076</v>
      </c>
      <c r="D476" s="1">
        <v>0.3357044214404625</v>
      </c>
      <c r="E476" s="1">
        <v>1732307.516914368</v>
      </c>
      <c r="F476" t="s">
        <v>1094</v>
      </c>
      <c r="G476" s="1"/>
      <c r="H476" t="s">
        <v>1111</v>
      </c>
    </row>
    <row r="477">
      <c r="A477" t="s">
        <v>737</v>
      </c>
      <c r="B477" s="1">
        <v>10</v>
      </c>
      <c r="C477" t="s">
        <v>1077</v>
      </c>
      <c r="D477" s="1">
        <v>1732.797436332692</v>
      </c>
      <c r="E477" s="1">
        <v>1732307.516914368</v>
      </c>
      <c r="F477" t="s">
        <v>1094</v>
      </c>
      <c r="G477" s="1"/>
      <c r="H477" t="s">
        <v>1111</v>
      </c>
    </row>
    <row r="478">
      <c r="A478" t="s">
        <v>738</v>
      </c>
      <c r="B478" s="1">
        <v>10</v>
      </c>
      <c r="C478" t="s">
        <v>1074</v>
      </c>
      <c r="D478" s="1">
        <v>1585486.807909012</v>
      </c>
      <c r="E478" s="1">
        <v>1732307.516914368</v>
      </c>
      <c r="F478" t="s">
        <v>1095</v>
      </c>
      <c r="G478" s="1"/>
      <c r="H478" t="s">
        <v>1111</v>
      </c>
    </row>
    <row r="479">
      <c r="A479" t="s">
        <v>739</v>
      </c>
      <c r="B479" s="1">
        <v>10</v>
      </c>
      <c r="C479" t="s">
        <v>1075</v>
      </c>
      <c r="D479" s="1">
        <v>12900685148.15383</v>
      </c>
      <c r="E479" s="1">
        <v>1732307.516914368</v>
      </c>
      <c r="F479" t="s">
        <v>1095</v>
      </c>
      <c r="G479" s="1"/>
      <c r="H479" t="s">
        <v>1111</v>
      </c>
    </row>
    <row r="480">
      <c r="A480" t="s">
        <v>740</v>
      </c>
      <c r="B480" s="1">
        <v>10</v>
      </c>
      <c r="C480" t="s">
        <v>1076</v>
      </c>
      <c r="D480" s="1">
        <v>0.9152455856874206</v>
      </c>
      <c r="E480" s="1">
        <v>1732307.516914368</v>
      </c>
      <c r="F480" t="s">
        <v>1095</v>
      </c>
      <c r="G480" s="1"/>
      <c r="H480" t="s">
        <v>1111</v>
      </c>
    </row>
    <row r="481">
      <c r="A481" t="s">
        <v>741</v>
      </c>
      <c r="B481" s="1">
        <v>10</v>
      </c>
      <c r="C481" t="s">
        <v>1077</v>
      </c>
      <c r="D481" s="1">
        <v>7447.11029779105</v>
      </c>
      <c r="E481" s="1">
        <v>1732307.516914368</v>
      </c>
      <c r="F481" t="s">
        <v>1095</v>
      </c>
      <c r="G481" s="1"/>
      <c r="H481" t="s">
        <v>1111</v>
      </c>
    </row>
    <row r="482">
      <c r="A482" t="s">
        <v>746</v>
      </c>
      <c r="B482" s="1">
        <v>1</v>
      </c>
      <c r="C482" t="s">
        <v>1072</v>
      </c>
      <c r="D482" s="1">
        <v>0.01193737241176179</v>
      </c>
      <c r="E482" s="1"/>
      <c r="F482" t="s">
        <v>1096</v>
      </c>
      <c r="G482" s="1"/>
      <c r="H482" t="s">
        <v>1111</v>
      </c>
    </row>
    <row r="483">
      <c r="A483" t="s">
        <v>747</v>
      </c>
      <c r="B483" s="1">
        <v>1</v>
      </c>
      <c r="C483" t="s">
        <v>1072</v>
      </c>
      <c r="D483" s="1">
        <v>0.01309198437642212</v>
      </c>
      <c r="E483" s="1"/>
      <c r="F483" t="s">
        <v>1088</v>
      </c>
      <c r="G483" s="1"/>
      <c r="H483" t="s">
        <v>1111</v>
      </c>
    </row>
    <row r="484">
      <c r="A484" t="s">
        <v>748</v>
      </c>
      <c r="B484" s="1">
        <v>1</v>
      </c>
      <c r="C484" t="s">
        <v>1072</v>
      </c>
      <c r="D484" s="1">
        <v>0.001154611964660328</v>
      </c>
      <c r="E484" s="1"/>
      <c r="F484" t="s">
        <v>1087</v>
      </c>
      <c r="G484" s="1"/>
      <c r="H484" t="s">
        <v>1111</v>
      </c>
    </row>
    <row r="485">
      <c r="A485" t="s">
        <v>749</v>
      </c>
      <c r="B485" s="1">
        <v>1</v>
      </c>
      <c r="C485" t="s">
        <v>1072</v>
      </c>
      <c r="D485" s="1">
        <v>0.002826422784451109</v>
      </c>
      <c r="E485" s="1"/>
      <c r="F485" t="s">
        <v>1091</v>
      </c>
      <c r="G485" s="1"/>
      <c r="H485" t="s">
        <v>1111</v>
      </c>
    </row>
    <row r="486">
      <c r="A486" t="s">
        <v>750</v>
      </c>
      <c r="B486" s="1">
        <v>1</v>
      </c>
      <c r="C486" t="s">
        <v>1072</v>
      </c>
      <c r="D486" s="1">
        <v>0.001982435402211655</v>
      </c>
      <c r="E486" s="1"/>
      <c r="F486" t="s">
        <v>1092</v>
      </c>
      <c r="G486" s="1"/>
      <c r="H486" t="s">
        <v>1111</v>
      </c>
    </row>
    <row r="487">
      <c r="A487" t="s">
        <v>751</v>
      </c>
      <c r="B487" s="1">
        <v>1</v>
      </c>
      <c r="C487" t="s">
        <v>1072</v>
      </c>
      <c r="D487" s="1">
        <v>0.004808858186662763</v>
      </c>
      <c r="E487" s="1"/>
      <c r="F487" t="s">
        <v>1093</v>
      </c>
      <c r="G487" s="1"/>
      <c r="H487" t="s">
        <v>1111</v>
      </c>
    </row>
    <row r="488">
      <c r="A488" t="s">
        <v>752</v>
      </c>
      <c r="B488" s="1">
        <v>1</v>
      </c>
      <c r="C488" t="s">
        <v>1072</v>
      </c>
      <c r="D488" s="1">
        <v>0.002336862911117196</v>
      </c>
      <c r="E488" s="1"/>
      <c r="F488" t="s">
        <v>1086</v>
      </c>
      <c r="G488" s="1"/>
      <c r="H488" t="s">
        <v>1111</v>
      </c>
    </row>
    <row r="489">
      <c r="A489" t="s">
        <v>753</v>
      </c>
      <c r="B489" s="1">
        <v>1</v>
      </c>
      <c r="C489" t="s">
        <v>1072</v>
      </c>
      <c r="D489" s="1">
        <v>0.00594626327864216</v>
      </c>
      <c r="E489" s="1"/>
      <c r="F489" t="s">
        <v>1089</v>
      </c>
      <c r="G489" s="1"/>
      <c r="H489" t="s">
        <v>1111</v>
      </c>
    </row>
    <row r="490">
      <c r="A490" t="s">
        <v>754</v>
      </c>
      <c r="B490" s="1">
        <v>1</v>
      </c>
      <c r="C490" t="s">
        <v>1072</v>
      </c>
      <c r="D490" s="1">
        <v>0.008283126189759358</v>
      </c>
      <c r="E490" s="1"/>
      <c r="F490" t="s">
        <v>1090</v>
      </c>
      <c r="G490" s="1"/>
      <c r="H490" t="s">
        <v>1111</v>
      </c>
    </row>
    <row r="491">
      <c r="A491" t="s">
        <v>1164</v>
      </c>
      <c r="B491" s="1">
        <v>1</v>
      </c>
      <c r="C491" t="s">
        <v>1072</v>
      </c>
      <c r="D491" s="1">
        <v>0.006864853711230775</v>
      </c>
      <c r="E491" s="1"/>
      <c r="F491" t="s">
        <v>1193</v>
      </c>
      <c r="G491" s="1"/>
      <c r="H491" t="s">
        <v>1111</v>
      </c>
    </row>
    <row r="492">
      <c r="A492" t="s">
        <v>755</v>
      </c>
      <c r="B492" s="1">
        <v>1</v>
      </c>
      <c r="C492" t="s">
        <v>1072</v>
      </c>
      <c r="D492" s="1">
        <v>-1.149028474233363e-05</v>
      </c>
      <c r="E492" s="1"/>
      <c r="F492" t="s">
        <v>1094</v>
      </c>
      <c r="G492" s="1"/>
      <c r="H492" t="s">
        <v>1111</v>
      </c>
    </row>
    <row r="493">
      <c r="A493" t="s">
        <v>756</v>
      </c>
      <c r="B493" s="1">
        <v>1</v>
      </c>
      <c r="C493" t="s">
        <v>1072</v>
      </c>
      <c r="D493" s="1">
        <v>-0.001143121679917994</v>
      </c>
      <c r="E493" s="1"/>
      <c r="F493" t="s">
        <v>1095</v>
      </c>
      <c r="G493" s="1"/>
      <c r="H493" t="s">
        <v>1111</v>
      </c>
    </row>
    <row r="494">
      <c r="A494" t="s">
        <v>757</v>
      </c>
      <c r="B494" s="1">
        <v>2</v>
      </c>
      <c r="C494" t="s">
        <v>1072</v>
      </c>
      <c r="D494" s="1">
        <v>0.01474577342614763</v>
      </c>
      <c r="E494" s="1"/>
      <c r="F494" t="s">
        <v>1096</v>
      </c>
      <c r="G494" s="1"/>
      <c r="H494" t="s">
        <v>1111</v>
      </c>
    </row>
    <row r="495">
      <c r="A495" t="s">
        <v>758</v>
      </c>
      <c r="B495" s="1">
        <v>2</v>
      </c>
      <c r="C495" t="s">
        <v>1072</v>
      </c>
      <c r="D495" s="1">
        <v>0.01640377904827732</v>
      </c>
      <c r="E495" s="1"/>
      <c r="F495" t="s">
        <v>1088</v>
      </c>
      <c r="G495" s="1"/>
      <c r="H495" t="s">
        <v>1111</v>
      </c>
    </row>
    <row r="496">
      <c r="A496" t="s">
        <v>759</v>
      </c>
      <c r="B496" s="1">
        <v>2</v>
      </c>
      <c r="C496" t="s">
        <v>1072</v>
      </c>
      <c r="D496" s="1">
        <v>0.001658005622129684</v>
      </c>
      <c r="E496" s="1"/>
      <c r="F496" t="s">
        <v>1087</v>
      </c>
      <c r="G496" s="1"/>
      <c r="H496" t="s">
        <v>1111</v>
      </c>
    </row>
    <row r="497">
      <c r="A497" t="s">
        <v>760</v>
      </c>
      <c r="B497" s="1">
        <v>2</v>
      </c>
      <c r="C497" t="s">
        <v>1072</v>
      </c>
      <c r="D497" s="1">
        <v>0.00411212277301938</v>
      </c>
      <c r="E497" s="1"/>
      <c r="F497" t="s">
        <v>1091</v>
      </c>
      <c r="G497" s="1"/>
      <c r="H497" t="s">
        <v>1111</v>
      </c>
    </row>
    <row r="498">
      <c r="A498" t="s">
        <v>761</v>
      </c>
      <c r="B498" s="1">
        <v>2</v>
      </c>
      <c r="C498" t="s">
        <v>1072</v>
      </c>
      <c r="D498" s="1">
        <v>0.002145254926721941</v>
      </c>
      <c r="E498" s="1"/>
      <c r="F498" t="s">
        <v>1092</v>
      </c>
      <c r="G498" s="1"/>
      <c r="H498" t="s">
        <v>1111</v>
      </c>
    </row>
    <row r="499">
      <c r="A499" t="s">
        <v>762</v>
      </c>
      <c r="B499" s="1">
        <v>2</v>
      </c>
      <c r="C499" t="s">
        <v>1072</v>
      </c>
      <c r="D499" s="1">
        <v>0.006257377699741323</v>
      </c>
      <c r="E499" s="1"/>
      <c r="F499" t="s">
        <v>1093</v>
      </c>
      <c r="G499" s="1"/>
      <c r="H499" t="s">
        <v>1111</v>
      </c>
    </row>
    <row r="500">
      <c r="A500" t="s">
        <v>763</v>
      </c>
      <c r="B500" s="1">
        <v>2</v>
      </c>
      <c r="C500" t="s">
        <v>1072</v>
      </c>
      <c r="D500" s="1">
        <v>0.003589873747817299</v>
      </c>
      <c r="E500" s="1"/>
      <c r="F500" t="s">
        <v>1086</v>
      </c>
      <c r="G500" s="1"/>
      <c r="H500" t="s">
        <v>1111</v>
      </c>
    </row>
    <row r="501">
      <c r="A501" t="s">
        <v>764</v>
      </c>
      <c r="B501" s="1">
        <v>2</v>
      </c>
      <c r="C501" t="s">
        <v>1072</v>
      </c>
      <c r="D501" s="1">
        <v>0.006556527600718695</v>
      </c>
      <c r="E501" s="1"/>
      <c r="F501" t="s">
        <v>1089</v>
      </c>
      <c r="G501" s="1"/>
      <c r="H501" t="s">
        <v>1111</v>
      </c>
    </row>
    <row r="502">
      <c r="A502" t="s">
        <v>765</v>
      </c>
      <c r="B502" s="1">
        <v>2</v>
      </c>
      <c r="C502" t="s">
        <v>1072</v>
      </c>
      <c r="D502" s="1">
        <v>0.01014640134853599</v>
      </c>
      <c r="E502" s="1"/>
      <c r="F502" t="s">
        <v>1090</v>
      </c>
      <c r="G502" s="1"/>
      <c r="H502" t="s">
        <v>1111</v>
      </c>
    </row>
    <row r="503">
      <c r="A503" t="s">
        <v>1165</v>
      </c>
      <c r="B503" s="1">
        <v>2</v>
      </c>
      <c r="C503" t="s">
        <v>1072</v>
      </c>
      <c r="D503" s="1">
        <v>0.01029037668303315</v>
      </c>
      <c r="E503" s="1"/>
      <c r="F503" t="s">
        <v>1193</v>
      </c>
      <c r="G503" s="1"/>
      <c r="H503" t="s">
        <v>1111</v>
      </c>
    </row>
    <row r="504">
      <c r="A504" t="s">
        <v>766</v>
      </c>
      <c r="B504" s="1">
        <v>2</v>
      </c>
      <c r="C504" t="s">
        <v>1072</v>
      </c>
      <c r="D504" s="1">
        <v>-8.560017432806802e-05</v>
      </c>
      <c r="E504" s="1"/>
      <c r="F504" t="s">
        <v>1094</v>
      </c>
      <c r="G504" s="1"/>
      <c r="H504" t="s">
        <v>1111</v>
      </c>
    </row>
    <row r="505">
      <c r="A505" t="s">
        <v>767</v>
      </c>
      <c r="B505" s="1">
        <v>2</v>
      </c>
      <c r="C505" t="s">
        <v>1072</v>
      </c>
      <c r="D505" s="1">
        <v>-0.001572405447801616</v>
      </c>
      <c r="E505" s="1"/>
      <c r="F505" t="s">
        <v>1095</v>
      </c>
      <c r="G505" s="1"/>
      <c r="H505" t="s">
        <v>1111</v>
      </c>
    </row>
    <row r="506">
      <c r="A506" t="s">
        <v>768</v>
      </c>
      <c r="B506" s="1">
        <v>3</v>
      </c>
      <c r="C506" t="s">
        <v>1072</v>
      </c>
      <c r="D506" s="1">
        <v>0.01619319430464201</v>
      </c>
      <c r="E506" s="1"/>
      <c r="F506" t="s">
        <v>1096</v>
      </c>
      <c r="G506" s="1"/>
      <c r="H506" t="s">
        <v>1111</v>
      </c>
    </row>
    <row r="507">
      <c r="A507" t="s">
        <v>769</v>
      </c>
      <c r="B507" s="1">
        <v>3</v>
      </c>
      <c r="C507" t="s">
        <v>1072</v>
      </c>
      <c r="D507" s="1">
        <v>0.01764196010858299</v>
      </c>
      <c r="E507" s="1"/>
      <c r="F507" t="s">
        <v>1088</v>
      </c>
      <c r="G507" s="1"/>
      <c r="H507" t="s">
        <v>1111</v>
      </c>
    </row>
    <row r="508">
      <c r="A508" t="s">
        <v>770</v>
      </c>
      <c r="B508" s="1">
        <v>3</v>
      </c>
      <c r="C508" t="s">
        <v>1072</v>
      </c>
      <c r="D508" s="1">
        <v>0.001448765803940978</v>
      </c>
      <c r="E508" s="1"/>
      <c r="F508" t="s">
        <v>1087</v>
      </c>
      <c r="G508" s="1"/>
      <c r="H508" t="s">
        <v>1111</v>
      </c>
    </row>
    <row r="509">
      <c r="A509" t="s">
        <v>771</v>
      </c>
      <c r="B509" s="1">
        <v>3</v>
      </c>
      <c r="C509" t="s">
        <v>1072</v>
      </c>
      <c r="D509" s="1">
        <v>0.005372378097476323</v>
      </c>
      <c r="E509" s="1"/>
      <c r="F509" t="s">
        <v>1091</v>
      </c>
      <c r="G509" s="1"/>
      <c r="H509" t="s">
        <v>1111</v>
      </c>
    </row>
    <row r="510">
      <c r="A510" t="s">
        <v>772</v>
      </c>
      <c r="B510" s="1">
        <v>3</v>
      </c>
      <c r="C510" t="s">
        <v>1072</v>
      </c>
      <c r="D510" s="1">
        <v>0.002149028924431503</v>
      </c>
      <c r="E510" s="1"/>
      <c r="F510" t="s">
        <v>1092</v>
      </c>
      <c r="G510" s="1"/>
      <c r="H510" t="s">
        <v>1111</v>
      </c>
    </row>
    <row r="511">
      <c r="A511" t="s">
        <v>773</v>
      </c>
      <c r="B511" s="1">
        <v>3</v>
      </c>
      <c r="C511" t="s">
        <v>1072</v>
      </c>
      <c r="D511" s="1">
        <v>0.007521407021907824</v>
      </c>
      <c r="E511" s="1"/>
      <c r="F511" t="s">
        <v>1093</v>
      </c>
      <c r="G511" s="1"/>
      <c r="H511" t="s">
        <v>1111</v>
      </c>
    </row>
    <row r="512">
      <c r="A512" t="s">
        <v>774</v>
      </c>
      <c r="B512" s="1">
        <v>3</v>
      </c>
      <c r="C512" t="s">
        <v>1072</v>
      </c>
      <c r="D512" s="1">
        <v>0.003548013374658207</v>
      </c>
      <c r="E512" s="1"/>
      <c r="F512" t="s">
        <v>1086</v>
      </c>
      <c r="G512" s="1"/>
      <c r="H512" t="s">
        <v>1111</v>
      </c>
    </row>
    <row r="513">
      <c r="A513" t="s">
        <v>775</v>
      </c>
      <c r="B513" s="1">
        <v>3</v>
      </c>
      <c r="C513" t="s">
        <v>1072</v>
      </c>
      <c r="D513" s="1">
        <v>0.006572539712016959</v>
      </c>
      <c r="E513" s="1"/>
      <c r="F513" t="s">
        <v>1089</v>
      </c>
      <c r="G513" s="1"/>
      <c r="H513" t="s">
        <v>1111</v>
      </c>
    </row>
    <row r="514">
      <c r="A514" t="s">
        <v>776</v>
      </c>
      <c r="B514" s="1">
        <v>3</v>
      </c>
      <c r="C514" t="s">
        <v>1072</v>
      </c>
      <c r="D514" s="1">
        <v>0.01012055308667516</v>
      </c>
      <c r="E514" s="1"/>
      <c r="F514" t="s">
        <v>1090</v>
      </c>
      <c r="G514" s="1"/>
      <c r="H514" t="s">
        <v>1111</v>
      </c>
    </row>
    <row r="515">
      <c r="A515" t="s">
        <v>1166</v>
      </c>
      <c r="B515" s="1">
        <v>3</v>
      </c>
      <c r="C515" t="s">
        <v>1072</v>
      </c>
      <c r="D515" s="1">
        <v>0.01356483407561823</v>
      </c>
      <c r="E515" s="1"/>
      <c r="F515" t="s">
        <v>1193</v>
      </c>
      <c r="G515" s="1"/>
      <c r="H515" t="s">
        <v>1111</v>
      </c>
    </row>
    <row r="516">
      <c r="A516" t="s">
        <v>777</v>
      </c>
      <c r="B516" s="1">
        <v>3</v>
      </c>
      <c r="C516" t="s">
        <v>1072</v>
      </c>
      <c r="D516" s="1">
        <v>-0.0001113099284659118</v>
      </c>
      <c r="E516" s="1"/>
      <c r="F516" t="s">
        <v>1094</v>
      </c>
      <c r="G516" s="1"/>
      <c r="H516" t="s">
        <v>1111</v>
      </c>
    </row>
    <row r="517">
      <c r="A517" t="s">
        <v>778</v>
      </c>
      <c r="B517" s="1">
        <v>3</v>
      </c>
      <c r="C517" t="s">
        <v>1072</v>
      </c>
      <c r="D517" s="1">
        <v>-0.001337455875475067</v>
      </c>
      <c r="E517" s="1"/>
      <c r="F517" t="s">
        <v>1095</v>
      </c>
      <c r="G517" s="1"/>
      <c r="H517" t="s">
        <v>1111</v>
      </c>
    </row>
    <row r="518">
      <c r="A518" t="s">
        <v>779</v>
      </c>
      <c r="B518" s="1">
        <v>4</v>
      </c>
      <c r="C518" t="s">
        <v>1072</v>
      </c>
      <c r="D518" s="1">
        <v>0.01857862996238224</v>
      </c>
      <c r="E518" s="1"/>
      <c r="F518" t="s">
        <v>1096</v>
      </c>
      <c r="G518" s="1"/>
      <c r="H518" t="s">
        <v>1111</v>
      </c>
    </row>
    <row r="519">
      <c r="A519" t="s">
        <v>780</v>
      </c>
      <c r="B519" s="1">
        <v>4</v>
      </c>
      <c r="C519" t="s">
        <v>1072</v>
      </c>
      <c r="D519" s="1">
        <v>0.02011268987431121</v>
      </c>
      <c r="E519" s="1"/>
      <c r="F519" t="s">
        <v>1088</v>
      </c>
      <c r="G519" s="1"/>
      <c r="H519" t="s">
        <v>1111</v>
      </c>
    </row>
    <row r="520">
      <c r="A520" t="s">
        <v>781</v>
      </c>
      <c r="B520" s="1">
        <v>4</v>
      </c>
      <c r="C520" t="s">
        <v>1072</v>
      </c>
      <c r="D520" s="1">
        <v>0.001534059911928976</v>
      </c>
      <c r="E520" s="1"/>
      <c r="F520" t="s">
        <v>1087</v>
      </c>
      <c r="G520" s="1"/>
      <c r="H520" t="s">
        <v>1111</v>
      </c>
    </row>
    <row r="521">
      <c r="A521" t="s">
        <v>782</v>
      </c>
      <c r="B521" s="1">
        <v>4</v>
      </c>
      <c r="C521" t="s">
        <v>1072</v>
      </c>
      <c r="D521" s="1">
        <v>0.006823525287736209</v>
      </c>
      <c r="E521" s="1"/>
      <c r="F521" t="s">
        <v>1091</v>
      </c>
      <c r="G521" s="1"/>
      <c r="H521" t="s">
        <v>1111</v>
      </c>
    </row>
    <row r="522">
      <c r="A522" t="s">
        <v>783</v>
      </c>
      <c r="B522" s="1">
        <v>4</v>
      </c>
      <c r="C522" t="s">
        <v>1072</v>
      </c>
      <c r="D522" s="1">
        <v>0.002208630598086643</v>
      </c>
      <c r="E522" s="1"/>
      <c r="F522" t="s">
        <v>1092</v>
      </c>
      <c r="G522" s="1"/>
      <c r="H522" t="s">
        <v>1111</v>
      </c>
    </row>
    <row r="523">
      <c r="A523" t="s">
        <v>784</v>
      </c>
      <c r="B523" s="1">
        <v>4</v>
      </c>
      <c r="C523" t="s">
        <v>1072</v>
      </c>
      <c r="D523" s="1">
        <v>0.009032155885822853</v>
      </c>
      <c r="E523" s="1"/>
      <c r="F523" t="s">
        <v>1093</v>
      </c>
      <c r="G523" s="1"/>
      <c r="H523" t="s">
        <v>1111</v>
      </c>
    </row>
    <row r="524">
      <c r="A524" t="s">
        <v>785</v>
      </c>
      <c r="B524" s="1">
        <v>4</v>
      </c>
      <c r="C524" t="s">
        <v>1072</v>
      </c>
      <c r="D524" s="1">
        <v>0.004088543174295323</v>
      </c>
      <c r="E524" s="1"/>
      <c r="F524" t="s">
        <v>1086</v>
      </c>
      <c r="G524" s="1"/>
      <c r="H524" t="s">
        <v>1111</v>
      </c>
    </row>
    <row r="525">
      <c r="A525" t="s">
        <v>786</v>
      </c>
      <c r="B525" s="1">
        <v>4</v>
      </c>
      <c r="C525" t="s">
        <v>1072</v>
      </c>
      <c r="D525" s="1">
        <v>0.006991990814193034</v>
      </c>
      <c r="E525" s="1"/>
      <c r="F525" t="s">
        <v>1089</v>
      </c>
      <c r="G525" s="1"/>
      <c r="H525" t="s">
        <v>1111</v>
      </c>
    </row>
    <row r="526">
      <c r="A526" t="s">
        <v>787</v>
      </c>
      <c r="B526" s="1">
        <v>4</v>
      </c>
      <c r="C526" t="s">
        <v>1072</v>
      </c>
      <c r="D526" s="1">
        <v>0.01108053398848836</v>
      </c>
      <c r="E526" s="1"/>
      <c r="F526" t="s">
        <v>1090</v>
      </c>
      <c r="G526" s="1"/>
      <c r="H526" t="s">
        <v>1111</v>
      </c>
    </row>
    <row r="527">
      <c r="A527" t="s">
        <v>1167</v>
      </c>
      <c r="B527" s="1">
        <v>4</v>
      </c>
      <c r="C527" t="s">
        <v>1072</v>
      </c>
      <c r="D527" s="1">
        <v>0.01699810197932478</v>
      </c>
      <c r="E527" s="1"/>
      <c r="F527" t="s">
        <v>1193</v>
      </c>
      <c r="G527" s="1"/>
      <c r="H527" t="s">
        <v>1111</v>
      </c>
    </row>
    <row r="528">
      <c r="A528" t="s">
        <v>788</v>
      </c>
      <c r="B528" s="1">
        <v>4</v>
      </c>
      <c r="C528" t="s">
        <v>1072</v>
      </c>
      <c r="D528" s="1">
        <v>-5.712870837093933e-05</v>
      </c>
      <c r="E528" s="1"/>
      <c r="F528" t="s">
        <v>1094</v>
      </c>
      <c r="G528" s="1"/>
      <c r="H528" t="s">
        <v>1111</v>
      </c>
    </row>
    <row r="529">
      <c r="A529" t="s">
        <v>789</v>
      </c>
      <c r="B529" s="1">
        <v>4</v>
      </c>
      <c r="C529" t="s">
        <v>1072</v>
      </c>
      <c r="D529" s="1">
        <v>-0.001476931203558036</v>
      </c>
      <c r="E529" s="1"/>
      <c r="F529" t="s">
        <v>1095</v>
      </c>
      <c r="G529" s="1"/>
      <c r="H529" t="s">
        <v>1111</v>
      </c>
    </row>
    <row r="530">
      <c r="A530" t="s">
        <v>790</v>
      </c>
      <c r="B530" s="1">
        <v>5</v>
      </c>
      <c r="C530" t="s">
        <v>1072</v>
      </c>
      <c r="D530" s="1">
        <v>0.01980995416842955</v>
      </c>
      <c r="E530" s="1"/>
      <c r="F530" t="s">
        <v>1096</v>
      </c>
      <c r="G530" s="1"/>
      <c r="H530" t="s">
        <v>1111</v>
      </c>
    </row>
    <row r="531">
      <c r="A531" t="s">
        <v>791</v>
      </c>
      <c r="B531" s="1">
        <v>5</v>
      </c>
      <c r="C531" t="s">
        <v>1072</v>
      </c>
      <c r="D531" s="1">
        <v>0.02165301389646433</v>
      </c>
      <c r="E531" s="1"/>
      <c r="F531" t="s">
        <v>1088</v>
      </c>
      <c r="G531" s="1"/>
      <c r="H531" t="s">
        <v>1111</v>
      </c>
    </row>
    <row r="532">
      <c r="A532" t="s">
        <v>792</v>
      </c>
      <c r="B532" s="1">
        <v>5</v>
      </c>
      <c r="C532" t="s">
        <v>1072</v>
      </c>
      <c r="D532" s="1">
        <v>0.00184305972803478</v>
      </c>
      <c r="E532" s="1"/>
      <c r="F532" t="s">
        <v>1087</v>
      </c>
      <c r="G532" s="1"/>
      <c r="H532" t="s">
        <v>1111</v>
      </c>
    </row>
    <row r="533">
      <c r="A533" t="s">
        <v>793</v>
      </c>
      <c r="B533" s="1">
        <v>5</v>
      </c>
      <c r="C533" t="s">
        <v>1072</v>
      </c>
      <c r="D533" s="1">
        <v>0.007128883500454107</v>
      </c>
      <c r="E533" s="1"/>
      <c r="F533" t="s">
        <v>1091</v>
      </c>
      <c r="G533" s="1"/>
      <c r="H533" t="s">
        <v>1111</v>
      </c>
    </row>
    <row r="534">
      <c r="A534" t="s">
        <v>794</v>
      </c>
      <c r="B534" s="1">
        <v>5</v>
      </c>
      <c r="C534" t="s">
        <v>1072</v>
      </c>
      <c r="D534" s="1">
        <v>0.002308198576601992</v>
      </c>
      <c r="E534" s="1"/>
      <c r="F534" t="s">
        <v>1092</v>
      </c>
      <c r="G534" s="1"/>
      <c r="H534" t="s">
        <v>1111</v>
      </c>
    </row>
    <row r="535">
      <c r="A535" t="s">
        <v>795</v>
      </c>
      <c r="B535" s="1">
        <v>5</v>
      </c>
      <c r="C535" t="s">
        <v>1072</v>
      </c>
      <c r="D535" s="1">
        <v>0.009437082077056099</v>
      </c>
      <c r="E535" s="1"/>
      <c r="F535" t="s">
        <v>1093</v>
      </c>
      <c r="G535" s="1"/>
      <c r="H535" t="s">
        <v>1111</v>
      </c>
    </row>
    <row r="536">
      <c r="A536" t="s">
        <v>796</v>
      </c>
      <c r="B536" s="1">
        <v>5</v>
      </c>
      <c r="C536" t="s">
        <v>1072</v>
      </c>
      <c r="D536" s="1">
        <v>0.005099953203082117</v>
      </c>
      <c r="E536" s="1"/>
      <c r="F536" t="s">
        <v>1086</v>
      </c>
      <c r="G536" s="1"/>
      <c r="H536" t="s">
        <v>1111</v>
      </c>
    </row>
    <row r="537">
      <c r="A537" t="s">
        <v>797</v>
      </c>
      <c r="B537" s="1">
        <v>5</v>
      </c>
      <c r="C537" t="s">
        <v>1072</v>
      </c>
      <c r="D537" s="1">
        <v>0.00711597861632611</v>
      </c>
      <c r="E537" s="1"/>
      <c r="F537" t="s">
        <v>1089</v>
      </c>
      <c r="G537" s="1"/>
      <c r="H537" t="s">
        <v>1111</v>
      </c>
    </row>
    <row r="538">
      <c r="A538" t="s">
        <v>798</v>
      </c>
      <c r="B538" s="1">
        <v>5</v>
      </c>
      <c r="C538" t="s">
        <v>1072</v>
      </c>
      <c r="D538" s="1">
        <v>0.01221593181940823</v>
      </c>
      <c r="E538" s="1"/>
      <c r="F538" t="s">
        <v>1090</v>
      </c>
      <c r="G538" s="1"/>
      <c r="H538" t="s">
        <v>1111</v>
      </c>
    </row>
    <row r="539">
      <c r="A539" t="s">
        <v>1168</v>
      </c>
      <c r="B539" s="1">
        <v>5</v>
      </c>
      <c r="C539" t="s">
        <v>1072</v>
      </c>
      <c r="D539" s="1">
        <v>0.01756690909363961</v>
      </c>
      <c r="E539" s="1"/>
      <c r="F539" t="s">
        <v>1193</v>
      </c>
      <c r="G539" s="1"/>
      <c r="H539" t="s">
        <v>1111</v>
      </c>
    </row>
    <row r="540">
      <c r="A540" t="s">
        <v>799</v>
      </c>
      <c r="B540" s="1">
        <v>5</v>
      </c>
      <c r="C540" t="s">
        <v>1072</v>
      </c>
      <c r="D540" s="1">
        <v>-4.243807020737599e-05</v>
      </c>
      <c r="E540" s="1"/>
      <c r="F540" t="s">
        <v>1094</v>
      </c>
      <c r="G540" s="1"/>
      <c r="H540" t="s">
        <v>1111</v>
      </c>
    </row>
    <row r="541">
      <c r="A541" t="s">
        <v>800</v>
      </c>
      <c r="B541" s="1">
        <v>5</v>
      </c>
      <c r="C541" t="s">
        <v>1072</v>
      </c>
      <c r="D541" s="1">
        <v>-0.001800621657827404</v>
      </c>
      <c r="E541" s="1"/>
      <c r="F541" t="s">
        <v>1095</v>
      </c>
      <c r="G541" s="1"/>
      <c r="H541" t="s">
        <v>1111</v>
      </c>
    </row>
    <row r="542">
      <c r="A542" t="s">
        <v>801</v>
      </c>
      <c r="B542" s="1">
        <v>6</v>
      </c>
      <c r="C542" t="s">
        <v>1072</v>
      </c>
      <c r="D542" s="1">
        <v>0.02239344375877587</v>
      </c>
      <c r="E542" s="1"/>
      <c r="F542" t="s">
        <v>1096</v>
      </c>
      <c r="G542" s="1"/>
      <c r="H542" t="s">
        <v>1111</v>
      </c>
    </row>
    <row r="543">
      <c r="A543" t="s">
        <v>802</v>
      </c>
      <c r="B543" s="1">
        <v>6</v>
      </c>
      <c r="C543" t="s">
        <v>1072</v>
      </c>
      <c r="D543" s="1">
        <v>0.0246703624402739</v>
      </c>
      <c r="E543" s="1"/>
      <c r="F543" t="s">
        <v>1088</v>
      </c>
      <c r="G543" s="1"/>
      <c r="H543" t="s">
        <v>1111</v>
      </c>
    </row>
    <row r="544">
      <c r="A544" t="s">
        <v>803</v>
      </c>
      <c r="B544" s="1">
        <v>6</v>
      </c>
      <c r="C544" t="s">
        <v>1072</v>
      </c>
      <c r="D544" s="1">
        <v>0.002276918681498031</v>
      </c>
      <c r="E544" s="1"/>
      <c r="F544" t="s">
        <v>1087</v>
      </c>
      <c r="G544" s="1"/>
      <c r="H544" t="s">
        <v>1111</v>
      </c>
    </row>
    <row r="545">
      <c r="A545" t="s">
        <v>804</v>
      </c>
      <c r="B545" s="1">
        <v>6</v>
      </c>
      <c r="C545" t="s">
        <v>1072</v>
      </c>
      <c r="D545" s="1">
        <v>0.00918942661242573</v>
      </c>
      <c r="E545" s="1"/>
      <c r="F545" t="s">
        <v>1091</v>
      </c>
      <c r="G545" s="1"/>
      <c r="H545" t="s">
        <v>1111</v>
      </c>
    </row>
    <row r="546">
      <c r="A546" t="s">
        <v>805</v>
      </c>
      <c r="B546" s="1">
        <v>6</v>
      </c>
      <c r="C546" t="s">
        <v>1072</v>
      </c>
      <c r="D546" s="1">
        <v>0.002300268811795744</v>
      </c>
      <c r="E546" s="1"/>
      <c r="F546" t="s">
        <v>1092</v>
      </c>
      <c r="G546" s="1"/>
      <c r="H546" t="s">
        <v>1111</v>
      </c>
    </row>
    <row r="547">
      <c r="A547" t="s">
        <v>806</v>
      </c>
      <c r="B547" s="1">
        <v>6</v>
      </c>
      <c r="C547" t="s">
        <v>1072</v>
      </c>
      <c r="D547" s="1">
        <v>0.01148969542422147</v>
      </c>
      <c r="E547" s="1"/>
      <c r="F547" t="s">
        <v>1093</v>
      </c>
      <c r="G547" s="1"/>
      <c r="H547" t="s">
        <v>1111</v>
      </c>
    </row>
    <row r="548">
      <c r="A548" t="s">
        <v>807</v>
      </c>
      <c r="B548" s="1">
        <v>6</v>
      </c>
      <c r="C548" t="s">
        <v>1072</v>
      </c>
      <c r="D548" s="1">
        <v>0.006072321578708321</v>
      </c>
      <c r="E548" s="1"/>
      <c r="F548" t="s">
        <v>1086</v>
      </c>
      <c r="G548" s="1"/>
      <c r="H548" t="s">
        <v>1111</v>
      </c>
    </row>
    <row r="549">
      <c r="A549" t="s">
        <v>808</v>
      </c>
      <c r="B549" s="1">
        <v>6</v>
      </c>
      <c r="C549" t="s">
        <v>1072</v>
      </c>
      <c r="D549" s="1">
        <v>0.007108345437344104</v>
      </c>
      <c r="E549" s="1"/>
      <c r="F549" t="s">
        <v>1089</v>
      </c>
      <c r="G549" s="1"/>
      <c r="H549" t="s">
        <v>1111</v>
      </c>
    </row>
    <row r="550">
      <c r="A550" t="s">
        <v>809</v>
      </c>
      <c r="B550" s="1">
        <v>6</v>
      </c>
      <c r="C550" t="s">
        <v>1072</v>
      </c>
      <c r="D550" s="1">
        <v>0.01318066701605243</v>
      </c>
      <c r="E550" s="1"/>
      <c r="F550" t="s">
        <v>1090</v>
      </c>
      <c r="G550" s="1"/>
      <c r="H550" t="s">
        <v>1111</v>
      </c>
    </row>
    <row r="551">
      <c r="A551" t="s">
        <v>1169</v>
      </c>
      <c r="B551" s="1">
        <v>6</v>
      </c>
      <c r="C551" t="s">
        <v>1072</v>
      </c>
      <c r="D551" s="1">
        <v>0.02327675087240247</v>
      </c>
      <c r="E551" s="1"/>
      <c r="F551" t="s">
        <v>1193</v>
      </c>
      <c r="G551" s="1"/>
      <c r="H551" t="s">
        <v>1111</v>
      </c>
    </row>
    <row r="552">
      <c r="A552" t="s">
        <v>810</v>
      </c>
      <c r="B552" s="1">
        <v>6</v>
      </c>
      <c r="C552" t="s">
        <v>1072</v>
      </c>
      <c r="D552" s="1">
        <v>-0.0001776476108679929</v>
      </c>
      <c r="E552" s="1"/>
      <c r="F552" t="s">
        <v>1094</v>
      </c>
      <c r="G552" s="1"/>
      <c r="H552" t="s">
        <v>1111</v>
      </c>
    </row>
    <row r="553">
      <c r="A553" t="s">
        <v>811</v>
      </c>
      <c r="B553" s="1">
        <v>6</v>
      </c>
      <c r="C553" t="s">
        <v>1072</v>
      </c>
      <c r="D553" s="1">
        <v>-0.002099271070630038</v>
      </c>
      <c r="E553" s="1"/>
      <c r="F553" t="s">
        <v>1095</v>
      </c>
      <c r="G553" s="1"/>
      <c r="H553" t="s">
        <v>1111</v>
      </c>
    </row>
    <row r="554">
      <c r="A554" t="s">
        <v>812</v>
      </c>
      <c r="B554" s="1">
        <v>7</v>
      </c>
      <c r="C554" t="s">
        <v>1072</v>
      </c>
      <c r="D554" s="1">
        <v>0.02472849711102729</v>
      </c>
      <c r="E554" s="1"/>
      <c r="F554" t="s">
        <v>1096</v>
      </c>
      <c r="G554" s="1"/>
      <c r="H554" t="s">
        <v>1111</v>
      </c>
    </row>
    <row r="555">
      <c r="A555" t="s">
        <v>813</v>
      </c>
      <c r="B555" s="1">
        <v>7</v>
      </c>
      <c r="C555" t="s">
        <v>1072</v>
      </c>
      <c r="D555" s="1">
        <v>0.02714709941126519</v>
      </c>
      <c r="E555" s="1"/>
      <c r="F555" t="s">
        <v>1088</v>
      </c>
      <c r="G555" s="1"/>
      <c r="H555" t="s">
        <v>1111</v>
      </c>
    </row>
    <row r="556">
      <c r="A556" t="s">
        <v>814</v>
      </c>
      <c r="B556" s="1">
        <v>7</v>
      </c>
      <c r="C556" t="s">
        <v>1072</v>
      </c>
      <c r="D556" s="1">
        <v>0.0024186023002379</v>
      </c>
      <c r="E556" s="1"/>
      <c r="F556" t="s">
        <v>1087</v>
      </c>
      <c r="G556" s="1"/>
      <c r="H556" t="s">
        <v>1111</v>
      </c>
    </row>
    <row r="557">
      <c r="A557" t="s">
        <v>815</v>
      </c>
      <c r="B557" s="1">
        <v>7</v>
      </c>
      <c r="C557" t="s">
        <v>1072</v>
      </c>
      <c r="D557" s="1">
        <v>0.01072813880772393</v>
      </c>
      <c r="E557" s="1"/>
      <c r="F557" t="s">
        <v>1091</v>
      </c>
      <c r="G557" s="1"/>
      <c r="H557" t="s">
        <v>1111</v>
      </c>
    </row>
    <row r="558">
      <c r="A558" t="s">
        <v>816</v>
      </c>
      <c r="B558" s="1">
        <v>7</v>
      </c>
      <c r="C558" t="s">
        <v>1072</v>
      </c>
      <c r="D558" s="1">
        <v>0.002346479372565541</v>
      </c>
      <c r="E558" s="1"/>
      <c r="F558" t="s">
        <v>1092</v>
      </c>
      <c r="G558" s="1"/>
      <c r="H558" t="s">
        <v>1111</v>
      </c>
    </row>
    <row r="559">
      <c r="A559" t="s">
        <v>817</v>
      </c>
      <c r="B559" s="1">
        <v>7</v>
      </c>
      <c r="C559" t="s">
        <v>1072</v>
      </c>
      <c r="D559" s="1">
        <v>0.01307461818028947</v>
      </c>
      <c r="E559" s="1"/>
      <c r="F559" t="s">
        <v>1093</v>
      </c>
      <c r="G559" s="1"/>
      <c r="H559" t="s">
        <v>1111</v>
      </c>
    </row>
    <row r="560">
      <c r="A560" t="s">
        <v>818</v>
      </c>
      <c r="B560" s="1">
        <v>7</v>
      </c>
      <c r="C560" t="s">
        <v>1072</v>
      </c>
      <c r="D560" s="1">
        <v>0.00681497021495207</v>
      </c>
      <c r="E560" s="1"/>
      <c r="F560" t="s">
        <v>1086</v>
      </c>
      <c r="G560" s="1"/>
      <c r="H560" t="s">
        <v>1111</v>
      </c>
    </row>
    <row r="561">
      <c r="A561" t="s">
        <v>819</v>
      </c>
      <c r="B561" s="1">
        <v>7</v>
      </c>
      <c r="C561" t="s">
        <v>1072</v>
      </c>
      <c r="D561" s="1">
        <v>0.007257511016023649</v>
      </c>
      <c r="E561" s="1"/>
      <c r="F561" t="s">
        <v>1089</v>
      </c>
      <c r="G561" s="1"/>
      <c r="H561" t="s">
        <v>1111</v>
      </c>
    </row>
    <row r="562">
      <c r="A562" t="s">
        <v>820</v>
      </c>
      <c r="B562" s="1">
        <v>7</v>
      </c>
      <c r="C562" t="s">
        <v>1072</v>
      </c>
      <c r="D562" s="1">
        <v>0.01407248123097572</v>
      </c>
      <c r="E562" s="1"/>
      <c r="F562" t="s">
        <v>1090</v>
      </c>
      <c r="G562" s="1"/>
      <c r="H562" t="s">
        <v>1111</v>
      </c>
    </row>
    <row r="563">
      <c r="A563" t="s">
        <v>1170</v>
      </c>
      <c r="B563" s="1">
        <v>7</v>
      </c>
      <c r="C563" t="s">
        <v>1072</v>
      </c>
      <c r="D563" s="1">
        <v>0.02696793458825862</v>
      </c>
      <c r="E563" s="1"/>
      <c r="F563" t="s">
        <v>1193</v>
      </c>
      <c r="G563" s="1"/>
      <c r="H563" t="s">
        <v>1111</v>
      </c>
    </row>
    <row r="564">
      <c r="A564" t="s">
        <v>821</v>
      </c>
      <c r="B564" s="1">
        <v>7</v>
      </c>
      <c r="C564" t="s">
        <v>1072</v>
      </c>
      <c r="D564" s="1">
        <v>-0.0002050502972987999</v>
      </c>
      <c r="E564" s="1"/>
      <c r="F564" t="s">
        <v>1094</v>
      </c>
      <c r="G564" s="1"/>
      <c r="H564" t="s">
        <v>1111</v>
      </c>
    </row>
    <row r="565">
      <c r="A565" t="s">
        <v>822</v>
      </c>
      <c r="B565" s="1">
        <v>7</v>
      </c>
      <c r="C565" t="s">
        <v>1072</v>
      </c>
      <c r="D565" s="1">
        <v>-0.0022135520029391</v>
      </c>
      <c r="E565" s="1"/>
      <c r="F565" t="s">
        <v>1095</v>
      </c>
      <c r="G565" s="1"/>
      <c r="H565" t="s">
        <v>1111</v>
      </c>
    </row>
    <row r="566">
      <c r="A566" t="s">
        <v>823</v>
      </c>
      <c r="B566" s="1">
        <v>8</v>
      </c>
      <c r="C566" t="s">
        <v>1072</v>
      </c>
      <c r="D566" s="1">
        <v>0.02678984784228099</v>
      </c>
      <c r="E566" s="1"/>
      <c r="F566" t="s">
        <v>1096</v>
      </c>
      <c r="G566" s="1"/>
      <c r="H566" t="s">
        <v>1111</v>
      </c>
    </row>
    <row r="567">
      <c r="A567" t="s">
        <v>824</v>
      </c>
      <c r="B567" s="1">
        <v>8</v>
      </c>
      <c r="C567" t="s">
        <v>1072</v>
      </c>
      <c r="D567" s="1">
        <v>0.02996758291696192</v>
      </c>
      <c r="E567" s="1"/>
      <c r="F567" t="s">
        <v>1088</v>
      </c>
      <c r="G567" s="1"/>
      <c r="H567" t="s">
        <v>1111</v>
      </c>
    </row>
    <row r="568">
      <c r="A568" t="s">
        <v>825</v>
      </c>
      <c r="B568" s="1">
        <v>8</v>
      </c>
      <c r="C568" t="s">
        <v>1072</v>
      </c>
      <c r="D568" s="1">
        <v>0.003177735074680928</v>
      </c>
      <c r="E568" s="1"/>
      <c r="F568" t="s">
        <v>1087</v>
      </c>
      <c r="G568" s="1"/>
      <c r="H568" t="s">
        <v>1111</v>
      </c>
    </row>
    <row r="569">
      <c r="A569" t="s">
        <v>826</v>
      </c>
      <c r="B569" s="1">
        <v>8</v>
      </c>
      <c r="C569" t="s">
        <v>1072</v>
      </c>
      <c r="D569" s="1">
        <v>0.01154802648666664</v>
      </c>
      <c r="E569" s="1"/>
      <c r="F569" t="s">
        <v>1091</v>
      </c>
      <c r="G569" s="1"/>
      <c r="H569" t="s">
        <v>1111</v>
      </c>
    </row>
    <row r="570">
      <c r="A570" t="s">
        <v>827</v>
      </c>
      <c r="B570" s="1">
        <v>8</v>
      </c>
      <c r="C570" t="s">
        <v>1072</v>
      </c>
      <c r="D570" s="1">
        <v>0.002449910798661721</v>
      </c>
      <c r="E570" s="1"/>
      <c r="F570" t="s">
        <v>1092</v>
      </c>
      <c r="G570" s="1"/>
      <c r="H570" t="s">
        <v>1111</v>
      </c>
    </row>
    <row r="571">
      <c r="A571" t="s">
        <v>828</v>
      </c>
      <c r="B571" s="1">
        <v>8</v>
      </c>
      <c r="C571" t="s">
        <v>1072</v>
      </c>
      <c r="D571" s="1">
        <v>0.01399793728532836</v>
      </c>
      <c r="E571" s="1"/>
      <c r="F571" t="s">
        <v>1093</v>
      </c>
      <c r="G571" s="1"/>
      <c r="H571" t="s">
        <v>1111</v>
      </c>
    </row>
    <row r="572">
      <c r="A572" t="s">
        <v>829</v>
      </c>
      <c r="B572" s="1">
        <v>8</v>
      </c>
      <c r="C572" t="s">
        <v>1072</v>
      </c>
      <c r="D572" s="1">
        <v>0.008646566500054959</v>
      </c>
      <c r="E572" s="1"/>
      <c r="F572" t="s">
        <v>1086</v>
      </c>
      <c r="G572" s="1"/>
      <c r="H572" t="s">
        <v>1111</v>
      </c>
    </row>
    <row r="573">
      <c r="A573" t="s">
        <v>830</v>
      </c>
      <c r="B573" s="1">
        <v>8</v>
      </c>
      <c r="C573" t="s">
        <v>1072</v>
      </c>
      <c r="D573" s="1">
        <v>0.007323079131578597</v>
      </c>
      <c r="E573" s="1"/>
      <c r="F573" t="s">
        <v>1089</v>
      </c>
      <c r="G573" s="1"/>
      <c r="H573" t="s">
        <v>1111</v>
      </c>
    </row>
    <row r="574">
      <c r="A574" t="s">
        <v>831</v>
      </c>
      <c r="B574" s="1">
        <v>8</v>
      </c>
      <c r="C574" t="s">
        <v>1072</v>
      </c>
      <c r="D574" s="1">
        <v>0.01596964563163356</v>
      </c>
      <c r="E574" s="1"/>
      <c r="F574" t="s">
        <v>1090</v>
      </c>
      <c r="G574" s="1"/>
      <c r="H574" t="s">
        <v>1111</v>
      </c>
    </row>
    <row r="575">
      <c r="A575" t="s">
        <v>1171</v>
      </c>
      <c r="B575" s="1">
        <v>8</v>
      </c>
      <c r="C575" t="s">
        <v>1072</v>
      </c>
      <c r="D575" s="1">
        <v>0.02962586961016934</v>
      </c>
      <c r="E575" s="1"/>
      <c r="F575" t="s">
        <v>1193</v>
      </c>
      <c r="G575" s="1"/>
      <c r="H575" t="s">
        <v>1111</v>
      </c>
    </row>
    <row r="576">
      <c r="A576" t="s">
        <v>832</v>
      </c>
      <c r="B576" s="1">
        <v>8</v>
      </c>
      <c r="C576" t="s">
        <v>1072</v>
      </c>
      <c r="D576" s="1">
        <v>-0.0002494306463349196</v>
      </c>
      <c r="E576" s="1"/>
      <c r="F576" t="s">
        <v>1094</v>
      </c>
      <c r="G576" s="1"/>
      <c r="H576" t="s">
        <v>1111</v>
      </c>
    </row>
    <row r="577">
      <c r="A577" t="s">
        <v>833</v>
      </c>
      <c r="B577" s="1">
        <v>8</v>
      </c>
      <c r="C577" t="s">
        <v>1072</v>
      </c>
      <c r="D577" s="1">
        <v>-0.002928304428346008</v>
      </c>
      <c r="E577" s="1"/>
      <c r="F577" t="s">
        <v>1095</v>
      </c>
      <c r="G577" s="1"/>
      <c r="H577" t="s">
        <v>1111</v>
      </c>
    </row>
    <row r="578">
      <c r="A578" t="s">
        <v>834</v>
      </c>
      <c r="B578" s="1">
        <v>9</v>
      </c>
      <c r="C578" t="s">
        <v>1072</v>
      </c>
      <c r="D578" s="1">
        <v>0.02796828136914292</v>
      </c>
      <c r="E578" s="1"/>
      <c r="F578" t="s">
        <v>1096</v>
      </c>
      <c r="G578" s="1"/>
      <c r="H578" t="s">
        <v>1111</v>
      </c>
    </row>
    <row r="579">
      <c r="A579" t="s">
        <v>835</v>
      </c>
      <c r="B579" s="1">
        <v>9</v>
      </c>
      <c r="C579" t="s">
        <v>1072</v>
      </c>
      <c r="D579" s="1">
        <v>0.03134825103488226</v>
      </c>
      <c r="E579" s="1"/>
      <c r="F579" t="s">
        <v>1088</v>
      </c>
      <c r="G579" s="1"/>
      <c r="H579" t="s">
        <v>1111</v>
      </c>
    </row>
    <row r="580">
      <c r="A580" t="s">
        <v>836</v>
      </c>
      <c r="B580" s="1">
        <v>9</v>
      </c>
      <c r="C580" t="s">
        <v>1072</v>
      </c>
      <c r="D580" s="1">
        <v>0.003379969665739336</v>
      </c>
      <c r="E580" s="1"/>
      <c r="F580" t="s">
        <v>1087</v>
      </c>
      <c r="G580" s="1"/>
      <c r="H580" t="s">
        <v>1111</v>
      </c>
    </row>
    <row r="581">
      <c r="A581" t="s">
        <v>837</v>
      </c>
      <c r="B581" s="1">
        <v>9</v>
      </c>
      <c r="C581" t="s">
        <v>1072</v>
      </c>
      <c r="D581" s="1">
        <v>0.01249300155077213</v>
      </c>
      <c r="E581" s="1"/>
      <c r="F581" t="s">
        <v>1091</v>
      </c>
      <c r="G581" s="1"/>
      <c r="H581" t="s">
        <v>1111</v>
      </c>
    </row>
    <row r="582">
      <c r="A582" t="s">
        <v>838</v>
      </c>
      <c r="B582" s="1">
        <v>9</v>
      </c>
      <c r="C582" t="s">
        <v>1072</v>
      </c>
      <c r="D582" s="1">
        <v>0.00242534468133039</v>
      </c>
      <c r="E582" s="1"/>
      <c r="F582" t="s">
        <v>1092</v>
      </c>
      <c r="G582" s="1"/>
      <c r="H582" t="s">
        <v>1111</v>
      </c>
    </row>
    <row r="583">
      <c r="A583" t="s">
        <v>839</v>
      </c>
      <c r="B583" s="1">
        <v>9</v>
      </c>
      <c r="C583" t="s">
        <v>1072</v>
      </c>
      <c r="D583" s="1">
        <v>0.01491834623210252</v>
      </c>
      <c r="E583" s="1"/>
      <c r="F583" t="s">
        <v>1093</v>
      </c>
      <c r="G583" s="1"/>
      <c r="H583" t="s">
        <v>1111</v>
      </c>
    </row>
    <row r="584">
      <c r="A584" t="s">
        <v>840</v>
      </c>
      <c r="B584" s="1">
        <v>9</v>
      </c>
      <c r="C584" t="s">
        <v>1072</v>
      </c>
      <c r="D584" s="1">
        <v>0.009167433362759313</v>
      </c>
      <c r="E584" s="1"/>
      <c r="F584" t="s">
        <v>1086</v>
      </c>
      <c r="G584" s="1"/>
      <c r="H584" t="s">
        <v>1111</v>
      </c>
    </row>
    <row r="585">
      <c r="A585" t="s">
        <v>841</v>
      </c>
      <c r="B585" s="1">
        <v>9</v>
      </c>
      <c r="C585" t="s">
        <v>1072</v>
      </c>
      <c r="D585" s="1">
        <v>0.007262471440020424</v>
      </c>
      <c r="E585" s="1"/>
      <c r="F585" t="s">
        <v>1089</v>
      </c>
      <c r="G585" s="1"/>
      <c r="H585" t="s">
        <v>1111</v>
      </c>
    </row>
    <row r="586">
      <c r="A586" t="s">
        <v>842</v>
      </c>
      <c r="B586" s="1">
        <v>9</v>
      </c>
      <c r="C586" t="s">
        <v>1072</v>
      </c>
      <c r="D586" s="1">
        <v>0.01642990480277974</v>
      </c>
      <c r="E586" s="1"/>
      <c r="F586" t="s">
        <v>1090</v>
      </c>
      <c r="G586" s="1"/>
      <c r="H586" t="s">
        <v>1111</v>
      </c>
    </row>
    <row r="587">
      <c r="A587" t="s">
        <v>1172</v>
      </c>
      <c r="B587" s="1">
        <v>9</v>
      </c>
      <c r="C587" t="s">
        <v>1072</v>
      </c>
      <c r="D587" s="1">
        <v>0.03232345087273381</v>
      </c>
      <c r="E587" s="1"/>
      <c r="F587" t="s">
        <v>1193</v>
      </c>
      <c r="G587" s="1"/>
      <c r="H587" t="s">
        <v>1111</v>
      </c>
    </row>
    <row r="588">
      <c r="A588" t="s">
        <v>843</v>
      </c>
      <c r="B588" s="1">
        <v>9</v>
      </c>
      <c r="C588" t="s">
        <v>1072</v>
      </c>
      <c r="D588" s="1">
        <v>-0.0003003990651479929</v>
      </c>
      <c r="E588" s="1"/>
      <c r="F588" t="s">
        <v>1094</v>
      </c>
      <c r="G588" s="1"/>
      <c r="H588" t="s">
        <v>1111</v>
      </c>
    </row>
    <row r="589">
      <c r="A589" t="s">
        <v>844</v>
      </c>
      <c r="B589" s="1">
        <v>9</v>
      </c>
      <c r="C589" t="s">
        <v>1072</v>
      </c>
      <c r="D589" s="1">
        <v>-0.003079570600591343</v>
      </c>
      <c r="E589" s="1"/>
      <c r="F589" t="s">
        <v>1095</v>
      </c>
      <c r="G589" s="1"/>
      <c r="H589" t="s">
        <v>1111</v>
      </c>
    </row>
    <row r="590">
      <c r="A590" t="s">
        <v>845</v>
      </c>
      <c r="B590" s="1">
        <v>10</v>
      </c>
      <c r="C590" t="s">
        <v>1072</v>
      </c>
      <c r="D590" s="1">
        <v>0.02820828402110997</v>
      </c>
      <c r="E590" s="1"/>
      <c r="F590" t="s">
        <v>1096</v>
      </c>
      <c r="G590" s="1"/>
      <c r="H590" t="s">
        <v>1111</v>
      </c>
    </row>
    <row r="591">
      <c r="A591" t="s">
        <v>846</v>
      </c>
      <c r="B591" s="1">
        <v>10</v>
      </c>
      <c r="C591" t="s">
        <v>1072</v>
      </c>
      <c r="D591" s="1">
        <v>0.03261756468747955</v>
      </c>
      <c r="E591" s="1"/>
      <c r="F591" t="s">
        <v>1088</v>
      </c>
      <c r="G591" s="1"/>
      <c r="H591" t="s">
        <v>1111</v>
      </c>
    </row>
    <row r="592">
      <c r="A592" t="s">
        <v>847</v>
      </c>
      <c r="B592" s="1">
        <v>10</v>
      </c>
      <c r="C592" t="s">
        <v>1072</v>
      </c>
      <c r="D592" s="1">
        <v>0.004409280666369582</v>
      </c>
      <c r="E592" s="1"/>
      <c r="F592" t="s">
        <v>1087</v>
      </c>
      <c r="G592" s="1"/>
      <c r="H592" t="s">
        <v>1111</v>
      </c>
    </row>
    <row r="593">
      <c r="A593" t="s">
        <v>848</v>
      </c>
      <c r="B593" s="1">
        <v>10</v>
      </c>
      <c r="C593" t="s">
        <v>1072</v>
      </c>
      <c r="D593" s="1">
        <v>0.01254364877776372</v>
      </c>
      <c r="E593" s="1"/>
      <c r="F593" t="s">
        <v>1091</v>
      </c>
      <c r="G593" s="1"/>
      <c r="H593" t="s">
        <v>1111</v>
      </c>
    </row>
    <row r="594">
      <c r="A594" t="s">
        <v>849</v>
      </c>
      <c r="B594" s="1">
        <v>10</v>
      </c>
      <c r="C594" t="s">
        <v>1072</v>
      </c>
      <c r="D594" s="1">
        <v>0.002437942475722646</v>
      </c>
      <c r="E594" s="1"/>
      <c r="F594" t="s">
        <v>1092</v>
      </c>
      <c r="G594" s="1"/>
      <c r="H594" t="s">
        <v>1111</v>
      </c>
    </row>
    <row r="595">
      <c r="A595" t="s">
        <v>850</v>
      </c>
      <c r="B595" s="1">
        <v>10</v>
      </c>
      <c r="C595" t="s">
        <v>1072</v>
      </c>
      <c r="D595" s="1">
        <v>0.01498159125348637</v>
      </c>
      <c r="E595" s="1"/>
      <c r="F595" t="s">
        <v>1093</v>
      </c>
      <c r="G595" s="1"/>
      <c r="H595" t="s">
        <v>1111</v>
      </c>
    </row>
    <row r="596">
      <c r="A596" t="s">
        <v>851</v>
      </c>
      <c r="B596" s="1">
        <v>10</v>
      </c>
      <c r="C596" t="s">
        <v>1072</v>
      </c>
      <c r="D596" s="1">
        <v>0.01005070325107919</v>
      </c>
      <c r="E596" s="1"/>
      <c r="F596" t="s">
        <v>1086</v>
      </c>
      <c r="G596" s="1"/>
      <c r="H596" t="s">
        <v>1111</v>
      </c>
    </row>
    <row r="597">
      <c r="A597" t="s">
        <v>852</v>
      </c>
      <c r="B597" s="1">
        <v>10</v>
      </c>
      <c r="C597" t="s">
        <v>1072</v>
      </c>
      <c r="D597" s="1">
        <v>0.007585270182913988</v>
      </c>
      <c r="E597" s="1"/>
      <c r="F597" t="s">
        <v>1089</v>
      </c>
      <c r="G597" s="1"/>
      <c r="H597" t="s">
        <v>1111</v>
      </c>
    </row>
    <row r="598">
      <c r="A598" t="s">
        <v>853</v>
      </c>
      <c r="B598" s="1">
        <v>10</v>
      </c>
      <c r="C598" t="s">
        <v>1072</v>
      </c>
      <c r="D598" s="1">
        <v>0.01763597343399318</v>
      </c>
      <c r="E598" s="1"/>
      <c r="F598" t="s">
        <v>1090</v>
      </c>
      <c r="G598" s="1"/>
      <c r="H598" t="s">
        <v>1111</v>
      </c>
    </row>
    <row r="599">
      <c r="A599" t="s">
        <v>1173</v>
      </c>
      <c r="B599" s="1">
        <v>10</v>
      </c>
      <c r="C599" t="s">
        <v>1072</v>
      </c>
      <c r="D599" s="1">
        <v>0.03377289190427531</v>
      </c>
      <c r="E599" s="1"/>
      <c r="F599" t="s">
        <v>1193</v>
      </c>
      <c r="G599" s="1"/>
      <c r="H599" t="s">
        <v>1111</v>
      </c>
    </row>
    <row r="600">
      <c r="A600" t="s">
        <v>854</v>
      </c>
      <c r="B600" s="1">
        <v>10</v>
      </c>
      <c r="C600" t="s">
        <v>1072</v>
      </c>
      <c r="D600" s="1">
        <v>-0.0006491025634837304</v>
      </c>
      <c r="E600" s="1"/>
      <c r="F600" t="s">
        <v>1094</v>
      </c>
      <c r="G600" s="1"/>
      <c r="H600" t="s">
        <v>1111</v>
      </c>
    </row>
    <row r="601">
      <c r="A601" t="s">
        <v>855</v>
      </c>
      <c r="B601" s="1">
        <v>10</v>
      </c>
      <c r="C601" t="s">
        <v>1072</v>
      </c>
      <c r="D601" s="1">
        <v>-0.003760178102885851</v>
      </c>
      <c r="E601" s="1"/>
      <c r="F601" t="s">
        <v>1095</v>
      </c>
      <c r="G601" s="1"/>
      <c r="H601" t="s">
        <v>1111</v>
      </c>
    </row>
    <row r="602">
      <c r="A602" t="s">
        <v>856</v>
      </c>
      <c r="B602" s="1">
        <v>1</v>
      </c>
      <c r="C602" t="s">
        <v>1073</v>
      </c>
      <c r="D602" s="1">
        <v>0.01193737241176179</v>
      </c>
      <c r="E602" s="1"/>
      <c r="F602" t="s">
        <v>1096</v>
      </c>
      <c r="G602" s="1"/>
      <c r="H602" t="s">
        <v>1111</v>
      </c>
    </row>
    <row r="603">
      <c r="A603" t="s">
        <v>857</v>
      </c>
      <c r="B603" s="1">
        <v>1</v>
      </c>
      <c r="C603" t="s">
        <v>1073</v>
      </c>
      <c r="D603" s="1">
        <v>0.01309198437642212</v>
      </c>
      <c r="E603" s="1"/>
      <c r="F603" t="s">
        <v>1088</v>
      </c>
      <c r="G603" s="1"/>
      <c r="H603" t="s">
        <v>1111</v>
      </c>
    </row>
    <row r="604">
      <c r="A604" t="s">
        <v>858</v>
      </c>
      <c r="B604" s="1">
        <v>1</v>
      </c>
      <c r="C604" t="s">
        <v>1073</v>
      </c>
      <c r="D604" s="1">
        <v>0.008247125230219334</v>
      </c>
      <c r="E604" s="1"/>
      <c r="F604" t="s">
        <v>1087</v>
      </c>
      <c r="G604" s="1"/>
      <c r="H604" t="s">
        <v>1111</v>
      </c>
    </row>
    <row r="605">
      <c r="A605" t="s">
        <v>859</v>
      </c>
      <c r="B605" s="1">
        <v>1</v>
      </c>
      <c r="C605" t="s">
        <v>1073</v>
      </c>
      <c r="D605" s="1">
        <v>0.01703853197349688</v>
      </c>
      <c r="E605" s="1"/>
      <c r="F605" t="s">
        <v>1091</v>
      </c>
      <c r="G605" s="1"/>
      <c r="H605" t="s">
        <v>1111</v>
      </c>
    </row>
    <row r="606">
      <c r="A606" t="s">
        <v>860</v>
      </c>
      <c r="B606" s="1">
        <v>1</v>
      </c>
      <c r="C606" t="s">
        <v>1073</v>
      </c>
      <c r="D606" s="1">
        <v>0.001982435402211655</v>
      </c>
      <c r="E606" s="1"/>
      <c r="F606" t="s">
        <v>1092</v>
      </c>
      <c r="G606" s="1"/>
      <c r="H606" t="s">
        <v>1111</v>
      </c>
    </row>
    <row r="607">
      <c r="A607" t="s">
        <v>861</v>
      </c>
      <c r="B607" s="1">
        <v>1</v>
      </c>
      <c r="C607" t="s">
        <v>1073</v>
      </c>
      <c r="D607" s="1">
        <v>0.004808858186662763</v>
      </c>
      <c r="E607" s="1"/>
      <c r="F607" t="s">
        <v>1093</v>
      </c>
      <c r="G607" s="1"/>
      <c r="H607" t="s">
        <v>1111</v>
      </c>
    </row>
    <row r="608">
      <c r="A608" t="s">
        <v>862</v>
      </c>
      <c r="B608" s="1">
        <v>1</v>
      </c>
      <c r="C608" t="s">
        <v>1073</v>
      </c>
      <c r="D608" s="1">
        <v>0.0173383931742044</v>
      </c>
      <c r="E608" s="1"/>
      <c r="F608" t="s">
        <v>1086</v>
      </c>
      <c r="G608" s="1"/>
      <c r="H608" t="s">
        <v>1111</v>
      </c>
    </row>
    <row r="609">
      <c r="A609" t="s">
        <v>863</v>
      </c>
      <c r="B609" s="1">
        <v>1</v>
      </c>
      <c r="C609" t="s">
        <v>1073</v>
      </c>
      <c r="D609" s="1">
        <v>0.00594626327864216</v>
      </c>
      <c r="E609" s="1"/>
      <c r="F609" t="s">
        <v>1089</v>
      </c>
      <c r="G609" s="1"/>
      <c r="H609" t="s">
        <v>1111</v>
      </c>
    </row>
    <row r="610">
      <c r="A610" t="s">
        <v>864</v>
      </c>
      <c r="B610" s="1">
        <v>1</v>
      </c>
      <c r="C610" t="s">
        <v>1073</v>
      </c>
      <c r="D610" s="1">
        <v>0.008283126189759358</v>
      </c>
      <c r="E610" s="1"/>
      <c r="F610" t="s">
        <v>1090</v>
      </c>
      <c r="G610" s="1"/>
      <c r="H610" t="s">
        <v>1111</v>
      </c>
    </row>
    <row r="611">
      <c r="A611" t="s">
        <v>1174</v>
      </c>
      <c r="B611" s="1">
        <v>1</v>
      </c>
      <c r="C611" t="s">
        <v>1073</v>
      </c>
      <c r="D611" s="1">
        <v>0.04138341584834741</v>
      </c>
      <c r="E611" s="1"/>
      <c r="F611" t="s">
        <v>1193</v>
      </c>
      <c r="G611" s="1"/>
      <c r="H611" t="s">
        <v>1111</v>
      </c>
    </row>
    <row r="612">
      <c r="A612" t="s">
        <v>865</v>
      </c>
      <c r="B612" s="1">
        <v>1</v>
      </c>
      <c r="C612" t="s">
        <v>1073</v>
      </c>
      <c r="D612" s="1">
        <v>-0.002200327235565596</v>
      </c>
      <c r="E612" s="1"/>
      <c r="F612" t="s">
        <v>1094</v>
      </c>
      <c r="G612" s="1"/>
      <c r="H612" t="s">
        <v>1111</v>
      </c>
    </row>
    <row r="613">
      <c r="A613" t="s">
        <v>866</v>
      </c>
      <c r="B613" s="1">
        <v>1</v>
      </c>
      <c r="C613" t="s">
        <v>1073</v>
      </c>
      <c r="D613" s="1">
        <v>-0.008481410286450998</v>
      </c>
      <c r="E613" s="1"/>
      <c r="F613" t="s">
        <v>1095</v>
      </c>
      <c r="G613" s="1"/>
      <c r="H613" t="s">
        <v>1111</v>
      </c>
    </row>
    <row r="614">
      <c r="A614" t="s">
        <v>867</v>
      </c>
      <c r="B614" s="1">
        <v>2</v>
      </c>
      <c r="C614" t="s">
        <v>1073</v>
      </c>
      <c r="D614" s="1">
        <v>0.01474577342614763</v>
      </c>
      <c r="E614" s="1"/>
      <c r="F614" t="s">
        <v>1096</v>
      </c>
      <c r="G614" s="1"/>
      <c r="H614" t="s">
        <v>1111</v>
      </c>
    </row>
    <row r="615">
      <c r="A615" t="s">
        <v>868</v>
      </c>
      <c r="B615" s="1">
        <v>2</v>
      </c>
      <c r="C615" t="s">
        <v>1073</v>
      </c>
      <c r="D615" s="1">
        <v>0.01640377904827732</v>
      </c>
      <c r="E615" s="1"/>
      <c r="F615" t="s">
        <v>1088</v>
      </c>
      <c r="G615" s="1"/>
      <c r="H615" t="s">
        <v>1111</v>
      </c>
    </row>
    <row r="616">
      <c r="A616" t="s">
        <v>869</v>
      </c>
      <c r="B616" s="1">
        <v>2</v>
      </c>
      <c r="C616" t="s">
        <v>1073</v>
      </c>
      <c r="D616" s="1">
        <v>0.007110918760969434</v>
      </c>
      <c r="E616" s="1"/>
      <c r="F616" t="s">
        <v>1087</v>
      </c>
      <c r="G616" s="1"/>
      <c r="H616" t="s">
        <v>1111</v>
      </c>
    </row>
    <row r="617">
      <c r="A617" t="s">
        <v>870</v>
      </c>
      <c r="B617" s="1">
        <v>2</v>
      </c>
      <c r="C617" t="s">
        <v>1073</v>
      </c>
      <c r="D617" s="1">
        <v>0.01521399675276865</v>
      </c>
      <c r="E617" s="1"/>
      <c r="F617" t="s">
        <v>1091</v>
      </c>
      <c r="G617" s="1"/>
      <c r="H617" t="s">
        <v>1111</v>
      </c>
    </row>
    <row r="618">
      <c r="A618" t="s">
        <v>871</v>
      </c>
      <c r="B618" s="1">
        <v>2</v>
      </c>
      <c r="C618" t="s">
        <v>1073</v>
      </c>
      <c r="D618" s="1">
        <v>0.002145254926721941</v>
      </c>
      <c r="E618" s="1"/>
      <c r="F618" t="s">
        <v>1092</v>
      </c>
      <c r="G618" s="1"/>
      <c r="H618" t="s">
        <v>1111</v>
      </c>
    </row>
    <row r="619">
      <c r="A619" t="s">
        <v>872</v>
      </c>
      <c r="B619" s="1">
        <v>2</v>
      </c>
      <c r="C619" t="s">
        <v>1073</v>
      </c>
      <c r="D619" s="1">
        <v>0.006257377699741323</v>
      </c>
      <c r="E619" s="1"/>
      <c r="F619" t="s">
        <v>1093</v>
      </c>
      <c r="G619" s="1"/>
      <c r="H619" t="s">
        <v>1111</v>
      </c>
    </row>
    <row r="620">
      <c r="A620" t="s">
        <v>873</v>
      </c>
      <c r="B620" s="1">
        <v>2</v>
      </c>
      <c r="C620" t="s">
        <v>1073</v>
      </c>
      <c r="D620" s="1">
        <v>0.01680412122046307</v>
      </c>
      <c r="E620" s="1"/>
      <c r="F620" t="s">
        <v>1086</v>
      </c>
      <c r="G620" s="1"/>
      <c r="H620" t="s">
        <v>1111</v>
      </c>
    </row>
    <row r="621">
      <c r="A621" t="s">
        <v>874</v>
      </c>
      <c r="B621" s="1">
        <v>2</v>
      </c>
      <c r="C621" t="s">
        <v>1073</v>
      </c>
      <c r="D621" s="1">
        <v>0.006556527600718695</v>
      </c>
      <c r="E621" s="1"/>
      <c r="F621" t="s">
        <v>1089</v>
      </c>
      <c r="G621" s="1"/>
      <c r="H621" t="s">
        <v>1111</v>
      </c>
    </row>
    <row r="622">
      <c r="A622" t="s">
        <v>875</v>
      </c>
      <c r="B622" s="1">
        <v>2</v>
      </c>
      <c r="C622" t="s">
        <v>1073</v>
      </c>
      <c r="D622" s="1">
        <v>0.01014640134853599</v>
      </c>
      <c r="E622" s="1"/>
      <c r="F622" t="s">
        <v>1090</v>
      </c>
      <c r="G622" s="1"/>
      <c r="H622" t="s">
        <v>1111</v>
      </c>
    </row>
    <row r="623">
      <c r="A623" t="s">
        <v>1175</v>
      </c>
      <c r="B623" s="1">
        <v>2</v>
      </c>
      <c r="C623" t="s">
        <v>1073</v>
      </c>
      <c r="D623" s="1">
        <v>0.03807224785885416</v>
      </c>
      <c r="E623" s="1"/>
      <c r="F623" t="s">
        <v>1193</v>
      </c>
      <c r="G623" s="1"/>
      <c r="H623" t="s">
        <v>1111</v>
      </c>
    </row>
    <row r="624">
      <c r="A624" t="s">
        <v>876</v>
      </c>
      <c r="B624" s="1">
        <v>2</v>
      </c>
      <c r="C624" t="s">
        <v>1073</v>
      </c>
      <c r="D624" s="1">
        <v>-0.00340639374141488</v>
      </c>
      <c r="E624" s="1"/>
      <c r="F624" t="s">
        <v>1094</v>
      </c>
      <c r="G624" s="1"/>
      <c r="H624" t="s">
        <v>1111</v>
      </c>
    </row>
    <row r="625">
      <c r="A625" t="s">
        <v>877</v>
      </c>
      <c r="B625" s="1">
        <v>2</v>
      </c>
      <c r="C625" t="s">
        <v>1073</v>
      </c>
      <c r="D625" s="1">
        <v>-0.007360395826911853</v>
      </c>
      <c r="E625" s="1"/>
      <c r="F625" t="s">
        <v>1095</v>
      </c>
      <c r="G625" s="1"/>
      <c r="H625" t="s">
        <v>1111</v>
      </c>
    </row>
    <row r="626">
      <c r="A626" t="s">
        <v>878</v>
      </c>
      <c r="B626" s="1">
        <v>3</v>
      </c>
      <c r="C626" t="s">
        <v>1073</v>
      </c>
      <c r="D626" s="1">
        <v>0.01619319430464201</v>
      </c>
      <c r="E626" s="1"/>
      <c r="F626" t="s">
        <v>1096</v>
      </c>
      <c r="G626" s="1"/>
      <c r="H626" t="s">
        <v>1111</v>
      </c>
    </row>
    <row r="627">
      <c r="A627" t="s">
        <v>879</v>
      </c>
      <c r="B627" s="1">
        <v>3</v>
      </c>
      <c r="C627" t="s">
        <v>1073</v>
      </c>
      <c r="D627" s="1">
        <v>0.01764196010858299</v>
      </c>
      <c r="E627" s="1"/>
      <c r="F627" t="s">
        <v>1088</v>
      </c>
      <c r="G627" s="1"/>
      <c r="H627" t="s">
        <v>1111</v>
      </c>
    </row>
    <row r="628">
      <c r="A628" t="s">
        <v>880</v>
      </c>
      <c r="B628" s="1">
        <v>3</v>
      </c>
      <c r="C628" t="s">
        <v>1073</v>
      </c>
      <c r="D628" s="1">
        <v>0.004259754827439212</v>
      </c>
      <c r="E628" s="1"/>
      <c r="F628" t="s">
        <v>1087</v>
      </c>
      <c r="G628" s="1"/>
      <c r="H628" t="s">
        <v>1111</v>
      </c>
    </row>
    <row r="629">
      <c r="A629" t="s">
        <v>881</v>
      </c>
      <c r="B629" s="1">
        <v>3</v>
      </c>
      <c r="C629" t="s">
        <v>1073</v>
      </c>
      <c r="D629" s="1">
        <v>0.01526573672604455</v>
      </c>
      <c r="E629" s="1"/>
      <c r="F629" t="s">
        <v>1091</v>
      </c>
      <c r="G629" s="1"/>
      <c r="H629" t="s">
        <v>1111</v>
      </c>
    </row>
    <row r="630">
      <c r="A630" t="s">
        <v>882</v>
      </c>
      <c r="B630" s="1">
        <v>3</v>
      </c>
      <c r="C630" t="s">
        <v>1073</v>
      </c>
      <c r="D630" s="1">
        <v>0.002149028924431503</v>
      </c>
      <c r="E630" s="1"/>
      <c r="F630" t="s">
        <v>1092</v>
      </c>
      <c r="G630" s="1"/>
      <c r="H630" t="s">
        <v>1111</v>
      </c>
    </row>
    <row r="631">
      <c r="A631" t="s">
        <v>883</v>
      </c>
      <c r="B631" s="1">
        <v>3</v>
      </c>
      <c r="C631" t="s">
        <v>1073</v>
      </c>
      <c r="D631" s="1">
        <v>0.007521407021907824</v>
      </c>
      <c r="E631" s="1"/>
      <c r="F631" t="s">
        <v>1093</v>
      </c>
      <c r="G631" s="1"/>
      <c r="H631" t="s">
        <v>1111</v>
      </c>
    </row>
    <row r="632">
      <c r="A632" t="s">
        <v>884</v>
      </c>
      <c r="B632" s="1">
        <v>3</v>
      </c>
      <c r="C632" t="s">
        <v>1073</v>
      </c>
      <c r="D632" s="1">
        <v>0.01087685899785968</v>
      </c>
      <c r="E632" s="1"/>
      <c r="F632" t="s">
        <v>1086</v>
      </c>
      <c r="G632" s="1"/>
      <c r="H632" t="s">
        <v>1111</v>
      </c>
    </row>
    <row r="633">
      <c r="A633" t="s">
        <v>885</v>
      </c>
      <c r="B633" s="1">
        <v>3</v>
      </c>
      <c r="C633" t="s">
        <v>1073</v>
      </c>
      <c r="D633" s="1">
        <v>0.006572539712016959</v>
      </c>
      <c r="E633" s="1"/>
      <c r="F633" t="s">
        <v>1089</v>
      </c>
      <c r="G633" s="1"/>
      <c r="H633" t="s">
        <v>1111</v>
      </c>
    </row>
    <row r="634">
      <c r="A634" t="s">
        <v>886</v>
      </c>
      <c r="B634" s="1">
        <v>3</v>
      </c>
      <c r="C634" t="s">
        <v>1073</v>
      </c>
      <c r="D634" s="1">
        <v>0.01012055308667516</v>
      </c>
      <c r="E634" s="1"/>
      <c r="F634" t="s">
        <v>1090</v>
      </c>
      <c r="G634" s="1"/>
      <c r="H634" t="s">
        <v>1111</v>
      </c>
    </row>
    <row r="635">
      <c r="A635" t="s">
        <v>1176</v>
      </c>
      <c r="B635" s="1">
        <v>3</v>
      </c>
      <c r="C635" t="s">
        <v>1073</v>
      </c>
      <c r="D635" s="1">
        <v>0.03854479003034809</v>
      </c>
      <c r="E635" s="1"/>
      <c r="F635" t="s">
        <v>1193</v>
      </c>
      <c r="G635" s="1"/>
      <c r="H635" t="s">
        <v>1111</v>
      </c>
    </row>
    <row r="636">
      <c r="A636" t="s">
        <v>887</v>
      </c>
      <c r="B636" s="1">
        <v>3</v>
      </c>
      <c r="C636" t="s">
        <v>1073</v>
      </c>
      <c r="D636" s="1">
        <v>-0.003527001537283374</v>
      </c>
      <c r="E636" s="1"/>
      <c r="F636" t="s">
        <v>1094</v>
      </c>
      <c r="G636" s="1"/>
      <c r="H636" t="s">
        <v>1111</v>
      </c>
    </row>
    <row r="637">
      <c r="A637" t="s">
        <v>888</v>
      </c>
      <c r="B637" s="1">
        <v>3</v>
      </c>
      <c r="C637" t="s">
        <v>1073</v>
      </c>
      <c r="D637" s="1">
        <v>-0.004100130816108511</v>
      </c>
      <c r="E637" s="1"/>
      <c r="F637" t="s">
        <v>1095</v>
      </c>
      <c r="G637" s="1"/>
      <c r="H637" t="s">
        <v>1111</v>
      </c>
    </row>
    <row r="638">
      <c r="A638" t="s">
        <v>889</v>
      </c>
      <c r="B638" s="1">
        <v>4</v>
      </c>
      <c r="C638" t="s">
        <v>1073</v>
      </c>
      <c r="D638" s="1">
        <v>0.01857862996238224</v>
      </c>
      <c r="E638" s="1"/>
      <c r="F638" t="s">
        <v>1096</v>
      </c>
      <c r="G638" s="1"/>
      <c r="H638" t="s">
        <v>1111</v>
      </c>
    </row>
    <row r="639">
      <c r="A639" t="s">
        <v>890</v>
      </c>
      <c r="B639" s="1">
        <v>4</v>
      </c>
      <c r="C639" t="s">
        <v>1073</v>
      </c>
      <c r="D639" s="1">
        <v>0.02011268987431121</v>
      </c>
      <c r="E639" s="1"/>
      <c r="F639" t="s">
        <v>1088</v>
      </c>
      <c r="G639" s="1"/>
      <c r="H639" t="s">
        <v>1111</v>
      </c>
    </row>
    <row r="640">
      <c r="A640" t="s">
        <v>891</v>
      </c>
      <c r="B640" s="1">
        <v>4</v>
      </c>
      <c r="C640" t="s">
        <v>1073</v>
      </c>
      <c r="D640" s="1">
        <v>0.004122721418685345</v>
      </c>
      <c r="E640" s="1"/>
      <c r="F640" t="s">
        <v>1087</v>
      </c>
      <c r="G640" s="1"/>
      <c r="H640" t="s">
        <v>1111</v>
      </c>
    </row>
    <row r="641">
      <c r="A641" t="s">
        <v>892</v>
      </c>
      <c r="B641" s="1">
        <v>4</v>
      </c>
      <c r="C641" t="s">
        <v>1073</v>
      </c>
      <c r="D641" s="1">
        <v>0.01423857438297632</v>
      </c>
      <c r="E641" s="1"/>
      <c r="F641" t="s">
        <v>1091</v>
      </c>
      <c r="G641" s="1"/>
      <c r="H641" t="s">
        <v>1111</v>
      </c>
    </row>
    <row r="642">
      <c r="A642" t="s">
        <v>893</v>
      </c>
      <c r="B642" s="1">
        <v>4</v>
      </c>
      <c r="C642" t="s">
        <v>1073</v>
      </c>
      <c r="D642" s="1">
        <v>0.002208630598086643</v>
      </c>
      <c r="E642" s="1"/>
      <c r="F642" t="s">
        <v>1092</v>
      </c>
      <c r="G642" s="1"/>
      <c r="H642" t="s">
        <v>1111</v>
      </c>
    </row>
    <row r="643">
      <c r="A643" t="s">
        <v>894</v>
      </c>
      <c r="B643" s="1">
        <v>4</v>
      </c>
      <c r="C643" t="s">
        <v>1073</v>
      </c>
      <c r="D643" s="1">
        <v>0.009032155885822853</v>
      </c>
      <c r="E643" s="1"/>
      <c r="F643" t="s">
        <v>1093</v>
      </c>
      <c r="G643" s="1"/>
      <c r="H643" t="s">
        <v>1111</v>
      </c>
    </row>
    <row r="644">
      <c r="A644" t="s">
        <v>895</v>
      </c>
      <c r="B644" s="1">
        <v>4</v>
      </c>
      <c r="C644" t="s">
        <v>1073</v>
      </c>
      <c r="D644" s="1">
        <v>0.0113983244642476</v>
      </c>
      <c r="E644" s="1"/>
      <c r="F644" t="s">
        <v>1086</v>
      </c>
      <c r="G644" s="1"/>
      <c r="H644" t="s">
        <v>1111</v>
      </c>
    </row>
    <row r="645">
      <c r="A645" t="s">
        <v>896</v>
      </c>
      <c r="B645" s="1">
        <v>4</v>
      </c>
      <c r="C645" t="s">
        <v>1073</v>
      </c>
      <c r="D645" s="1">
        <v>0.006991990814193034</v>
      </c>
      <c r="E645" s="1"/>
      <c r="F645" t="s">
        <v>1089</v>
      </c>
      <c r="G645" s="1"/>
      <c r="H645" t="s">
        <v>1111</v>
      </c>
    </row>
    <row r="646">
      <c r="A646" t="s">
        <v>897</v>
      </c>
      <c r="B646" s="1">
        <v>4</v>
      </c>
      <c r="C646" t="s">
        <v>1073</v>
      </c>
      <c r="D646" s="1">
        <v>0.01108053398848836</v>
      </c>
      <c r="E646" s="1"/>
      <c r="F646" t="s">
        <v>1090</v>
      </c>
      <c r="G646" s="1"/>
      <c r="H646" t="s">
        <v>1111</v>
      </c>
    </row>
    <row r="647">
      <c r="A647" t="s">
        <v>1177</v>
      </c>
      <c r="B647" s="1">
        <v>4</v>
      </c>
      <c r="C647" t="s">
        <v>1073</v>
      </c>
      <c r="D647" s="1">
        <v>0.0354697504876294</v>
      </c>
      <c r="E647" s="1"/>
      <c r="F647" t="s">
        <v>1193</v>
      </c>
      <c r="G647" s="1"/>
      <c r="H647" t="s">
        <v>1111</v>
      </c>
    </row>
    <row r="648">
      <c r="A648" t="s">
        <v>898</v>
      </c>
      <c r="B648" s="1">
        <v>4</v>
      </c>
      <c r="C648" t="s">
        <v>1073</v>
      </c>
      <c r="D648" s="1">
        <v>-0.001059965971909744</v>
      </c>
      <c r="E648" s="1"/>
      <c r="F648" t="s">
        <v>1094</v>
      </c>
      <c r="G648" s="1"/>
      <c r="H648" t="s">
        <v>1111</v>
      </c>
    </row>
    <row r="649">
      <c r="A649" t="s">
        <v>899</v>
      </c>
      <c r="B649" s="1">
        <v>4</v>
      </c>
      <c r="C649" t="s">
        <v>1073</v>
      </c>
      <c r="D649" s="1">
        <v>-0.004117491329274691</v>
      </c>
      <c r="E649" s="1"/>
      <c r="F649" t="s">
        <v>1095</v>
      </c>
      <c r="G649" s="1"/>
      <c r="H649" t="s">
        <v>1111</v>
      </c>
    </row>
    <row r="650">
      <c r="A650" t="s">
        <v>900</v>
      </c>
      <c r="B650" s="1">
        <v>5</v>
      </c>
      <c r="C650" t="s">
        <v>1073</v>
      </c>
      <c r="D650" s="1">
        <v>0.01980995416842955</v>
      </c>
      <c r="E650" s="1"/>
      <c r="F650" t="s">
        <v>1096</v>
      </c>
      <c r="G650" s="1"/>
      <c r="H650" t="s">
        <v>1111</v>
      </c>
    </row>
    <row r="651">
      <c r="A651" t="s">
        <v>901</v>
      </c>
      <c r="B651" s="1">
        <v>5</v>
      </c>
      <c r="C651" t="s">
        <v>1073</v>
      </c>
      <c r="D651" s="1">
        <v>0.02165301389646433</v>
      </c>
      <c r="E651" s="1"/>
      <c r="F651" t="s">
        <v>1088</v>
      </c>
      <c r="G651" s="1"/>
      <c r="H651" t="s">
        <v>1111</v>
      </c>
    </row>
    <row r="652">
      <c r="A652" t="s">
        <v>902</v>
      </c>
      <c r="B652" s="1">
        <v>5</v>
      </c>
      <c r="C652" t="s">
        <v>1073</v>
      </c>
      <c r="D652" s="1">
        <v>0.003636887267495569</v>
      </c>
      <c r="E652" s="1"/>
      <c r="F652" t="s">
        <v>1087</v>
      </c>
      <c r="G652" s="1"/>
      <c r="H652" t="s">
        <v>1111</v>
      </c>
    </row>
    <row r="653">
      <c r="A653" t="s">
        <v>903</v>
      </c>
      <c r="B653" s="1">
        <v>5</v>
      </c>
      <c r="C653" t="s">
        <v>1073</v>
      </c>
      <c r="D653" s="1">
        <v>0.01308176504631147</v>
      </c>
      <c r="E653" s="1"/>
      <c r="F653" t="s">
        <v>1091</v>
      </c>
      <c r="G653" s="1"/>
      <c r="H653" t="s">
        <v>1111</v>
      </c>
    </row>
    <row r="654">
      <c r="A654" t="s">
        <v>904</v>
      </c>
      <c r="B654" s="1">
        <v>5</v>
      </c>
      <c r="C654" t="s">
        <v>1073</v>
      </c>
      <c r="D654" s="1">
        <v>0.002308198576601992</v>
      </c>
      <c r="E654" s="1"/>
      <c r="F654" t="s">
        <v>1092</v>
      </c>
      <c r="G654" s="1"/>
      <c r="H654" t="s">
        <v>1111</v>
      </c>
    </row>
    <row r="655">
      <c r="A655" t="s">
        <v>905</v>
      </c>
      <c r="B655" s="1">
        <v>5</v>
      </c>
      <c r="C655" t="s">
        <v>1073</v>
      </c>
      <c r="D655" s="1">
        <v>0.009437082077056099</v>
      </c>
      <c r="E655" s="1"/>
      <c r="F655" t="s">
        <v>1093</v>
      </c>
      <c r="G655" s="1"/>
      <c r="H655" t="s">
        <v>1111</v>
      </c>
    </row>
    <row r="656">
      <c r="A656" t="s">
        <v>906</v>
      </c>
      <c r="B656" s="1">
        <v>5</v>
      </c>
      <c r="C656" t="s">
        <v>1073</v>
      </c>
      <c r="D656" s="1">
        <v>0.0102663292993894</v>
      </c>
      <c r="E656" s="1"/>
      <c r="F656" t="s">
        <v>1086</v>
      </c>
      <c r="G656" s="1"/>
      <c r="H656" t="s">
        <v>1111</v>
      </c>
    </row>
    <row r="657">
      <c r="A657" t="s">
        <v>907</v>
      </c>
      <c r="B657" s="1">
        <v>5</v>
      </c>
      <c r="C657" t="s">
        <v>1073</v>
      </c>
      <c r="D657" s="1">
        <v>0.00711597861632611</v>
      </c>
      <c r="E657" s="1"/>
      <c r="F657" t="s">
        <v>1089</v>
      </c>
      <c r="G657" s="1"/>
      <c r="H657" t="s">
        <v>1111</v>
      </c>
    </row>
    <row r="658">
      <c r="A658" t="s">
        <v>908</v>
      </c>
      <c r="B658" s="1">
        <v>5</v>
      </c>
      <c r="C658" t="s">
        <v>1073</v>
      </c>
      <c r="D658" s="1">
        <v>0.01221593181940823</v>
      </c>
      <c r="E658" s="1"/>
      <c r="F658" t="s">
        <v>1090</v>
      </c>
      <c r="G658" s="1"/>
      <c r="H658" t="s">
        <v>1111</v>
      </c>
    </row>
    <row r="659">
      <c r="A659" t="s">
        <v>1178</v>
      </c>
      <c r="B659" s="1">
        <v>5</v>
      </c>
      <c r="C659" t="s">
        <v>1073</v>
      </c>
      <c r="D659" s="1">
        <v>0.03223592829624263</v>
      </c>
      <c r="E659" s="1"/>
      <c r="F659" t="s">
        <v>1193</v>
      </c>
      <c r="G659" s="1"/>
      <c r="H659" t="s">
        <v>1111</v>
      </c>
    </row>
    <row r="660">
      <c r="A660" t="s">
        <v>909</v>
      </c>
      <c r="B660" s="1">
        <v>5</v>
      </c>
      <c r="C660" t="s">
        <v>1073</v>
      </c>
      <c r="D660" s="1">
        <v>-0.001231040243924869</v>
      </c>
      <c r="E660" s="1"/>
      <c r="F660" t="s">
        <v>1094</v>
      </c>
      <c r="G660" s="1"/>
      <c r="H660" t="s">
        <v>1111</v>
      </c>
    </row>
    <row r="661">
      <c r="A661" t="s">
        <v>910</v>
      </c>
      <c r="B661" s="1">
        <v>5</v>
      </c>
      <c r="C661" t="s">
        <v>1073</v>
      </c>
      <c r="D661" s="1">
        <v>-0.003624695001455476</v>
      </c>
      <c r="E661" s="1"/>
      <c r="F661" t="s">
        <v>1095</v>
      </c>
      <c r="G661" s="1"/>
      <c r="H661" t="s">
        <v>1111</v>
      </c>
    </row>
    <row r="662">
      <c r="A662" t="s">
        <v>911</v>
      </c>
      <c r="B662" s="1">
        <v>6</v>
      </c>
      <c r="C662" t="s">
        <v>1073</v>
      </c>
      <c r="D662" s="1">
        <v>0.02239344375877587</v>
      </c>
      <c r="E662" s="1"/>
      <c r="F662" t="s">
        <v>1096</v>
      </c>
      <c r="G662" s="1"/>
      <c r="H662" t="s">
        <v>1111</v>
      </c>
    </row>
    <row r="663">
      <c r="A663" t="s">
        <v>912</v>
      </c>
      <c r="B663" s="1">
        <v>6</v>
      </c>
      <c r="C663" t="s">
        <v>1073</v>
      </c>
      <c r="D663" s="1">
        <v>0.0246703624402739</v>
      </c>
      <c r="E663" s="1"/>
      <c r="F663" t="s">
        <v>1088</v>
      </c>
      <c r="G663" s="1"/>
      <c r="H663" t="s">
        <v>1111</v>
      </c>
    </row>
    <row r="664">
      <c r="A664" t="s">
        <v>913</v>
      </c>
      <c r="B664" s="1">
        <v>6</v>
      </c>
      <c r="C664" t="s">
        <v>1073</v>
      </c>
      <c r="D664" s="1">
        <v>0.003552251153955078</v>
      </c>
      <c r="E664" s="1"/>
      <c r="F664" t="s">
        <v>1087</v>
      </c>
      <c r="G664" s="1"/>
      <c r="H664" t="s">
        <v>1111</v>
      </c>
    </row>
    <row r="665">
      <c r="A665" t="s">
        <v>914</v>
      </c>
      <c r="B665" s="1">
        <v>6</v>
      </c>
      <c r="C665" t="s">
        <v>1073</v>
      </c>
      <c r="D665" s="1">
        <v>0.01401233595034327</v>
      </c>
      <c r="E665" s="1"/>
      <c r="F665" t="s">
        <v>1091</v>
      </c>
      <c r="G665" s="1"/>
      <c r="H665" t="s">
        <v>1111</v>
      </c>
    </row>
    <row r="666">
      <c r="A666" t="s">
        <v>915</v>
      </c>
      <c r="B666" s="1">
        <v>6</v>
      </c>
      <c r="C666" t="s">
        <v>1073</v>
      </c>
      <c r="D666" s="1">
        <v>0.002300268811795744</v>
      </c>
      <c r="E666" s="1"/>
      <c r="F666" t="s">
        <v>1092</v>
      </c>
      <c r="G666" s="1"/>
      <c r="H666" t="s">
        <v>1111</v>
      </c>
    </row>
    <row r="667">
      <c r="A667" t="s">
        <v>916</v>
      </c>
      <c r="B667" s="1">
        <v>6</v>
      </c>
      <c r="C667" t="s">
        <v>1073</v>
      </c>
      <c r="D667" s="1">
        <v>0.01148969542422147</v>
      </c>
      <c r="E667" s="1"/>
      <c r="F667" t="s">
        <v>1093</v>
      </c>
      <c r="G667" s="1"/>
      <c r="H667" t="s">
        <v>1111</v>
      </c>
    </row>
    <row r="668">
      <c r="A668" t="s">
        <v>917</v>
      </c>
      <c r="B668" s="1">
        <v>6</v>
      </c>
      <c r="C668" t="s">
        <v>1073</v>
      </c>
      <c r="D668" s="1">
        <v>0.009737842729820244</v>
      </c>
      <c r="E668" s="1"/>
      <c r="F668" t="s">
        <v>1086</v>
      </c>
      <c r="G668" s="1"/>
      <c r="H668" t="s">
        <v>1111</v>
      </c>
    </row>
    <row r="669">
      <c r="A669" t="s">
        <v>918</v>
      </c>
      <c r="B669" s="1">
        <v>6</v>
      </c>
      <c r="C669" t="s">
        <v>1073</v>
      </c>
      <c r="D669" s="1">
        <v>0.007108345437344104</v>
      </c>
      <c r="E669" s="1"/>
      <c r="F669" t="s">
        <v>1089</v>
      </c>
      <c r="G669" s="1"/>
      <c r="H669" t="s">
        <v>1111</v>
      </c>
    </row>
    <row r="670">
      <c r="A670" t="s">
        <v>919</v>
      </c>
      <c r="B670" s="1">
        <v>6</v>
      </c>
      <c r="C670" t="s">
        <v>1073</v>
      </c>
      <c r="D670" s="1">
        <v>0.01318066701605243</v>
      </c>
      <c r="E670" s="1"/>
      <c r="F670" t="s">
        <v>1090</v>
      </c>
      <c r="G670" s="1"/>
      <c r="H670" t="s">
        <v>1111</v>
      </c>
    </row>
    <row r="671">
      <c r="A671" t="s">
        <v>1179</v>
      </c>
      <c r="B671" s="1">
        <v>6</v>
      </c>
      <c r="C671" t="s">
        <v>1073</v>
      </c>
      <c r="D671" s="1">
        <v>0.03549314519967121</v>
      </c>
      <c r="E671" s="1"/>
      <c r="F671" t="s">
        <v>1193</v>
      </c>
      <c r="G671" s="1"/>
      <c r="H671" t="s">
        <v>1111</v>
      </c>
    </row>
    <row r="672">
      <c r="A672" t="s">
        <v>920</v>
      </c>
      <c r="B672" s="1">
        <v>6</v>
      </c>
      <c r="C672" t="s">
        <v>1073</v>
      </c>
      <c r="D672" s="1">
        <v>-0.001526068232393332</v>
      </c>
      <c r="E672" s="1"/>
      <c r="F672" t="s">
        <v>1094</v>
      </c>
      <c r="G672" s="1"/>
      <c r="H672" t="s">
        <v>1111</v>
      </c>
    </row>
    <row r="673">
      <c r="A673" t="s">
        <v>921</v>
      </c>
      <c r="B673" s="1">
        <v>6</v>
      </c>
      <c r="C673" t="s">
        <v>1073</v>
      </c>
      <c r="D673" s="1">
        <v>-0.003366483686360545</v>
      </c>
      <c r="E673" s="1"/>
      <c r="F673" t="s">
        <v>1095</v>
      </c>
      <c r="G673" s="1"/>
      <c r="H673" t="s">
        <v>1111</v>
      </c>
    </row>
    <row r="674">
      <c r="A674" t="s">
        <v>922</v>
      </c>
      <c r="B674" s="1">
        <v>7</v>
      </c>
      <c r="C674" t="s">
        <v>1073</v>
      </c>
      <c r="D674" s="1">
        <v>0.02472849711102729</v>
      </c>
      <c r="E674" s="1"/>
      <c r="F674" t="s">
        <v>1096</v>
      </c>
      <c r="G674" s="1"/>
      <c r="H674" t="s">
        <v>1111</v>
      </c>
    </row>
    <row r="675">
      <c r="A675" t="s">
        <v>923</v>
      </c>
      <c r="B675" s="1">
        <v>7</v>
      </c>
      <c r="C675" t="s">
        <v>1073</v>
      </c>
      <c r="D675" s="1">
        <v>0.02714709941126519</v>
      </c>
      <c r="E675" s="1"/>
      <c r="F675" t="s">
        <v>1088</v>
      </c>
      <c r="G675" s="1"/>
      <c r="H675" t="s">
        <v>1111</v>
      </c>
    </row>
    <row r="676">
      <c r="A676" t="s">
        <v>924</v>
      </c>
      <c r="B676" s="1">
        <v>7</v>
      </c>
      <c r="C676" t="s">
        <v>1073</v>
      </c>
      <c r="D676" s="1">
        <v>0.003576149278510325</v>
      </c>
      <c r="E676" s="1"/>
      <c r="F676" t="s">
        <v>1087</v>
      </c>
      <c r="G676" s="1"/>
      <c r="H676" t="s">
        <v>1111</v>
      </c>
    </row>
    <row r="677">
      <c r="A677" t="s">
        <v>925</v>
      </c>
      <c r="B677" s="1">
        <v>7</v>
      </c>
      <c r="C677" t="s">
        <v>1073</v>
      </c>
      <c r="D677" s="1">
        <v>0.01411955318353732</v>
      </c>
      <c r="E677" s="1"/>
      <c r="F677" t="s">
        <v>1091</v>
      </c>
      <c r="G677" s="1"/>
      <c r="H677" t="s">
        <v>1111</v>
      </c>
    </row>
    <row r="678">
      <c r="A678" t="s">
        <v>926</v>
      </c>
      <c r="B678" s="1">
        <v>7</v>
      </c>
      <c r="C678" t="s">
        <v>1073</v>
      </c>
      <c r="D678" s="1">
        <v>0.002346479372565541</v>
      </c>
      <c r="E678" s="1"/>
      <c r="F678" t="s">
        <v>1092</v>
      </c>
      <c r="G678" s="1"/>
      <c r="H678" t="s">
        <v>1111</v>
      </c>
    </row>
    <row r="679">
      <c r="A679" t="s">
        <v>927</v>
      </c>
      <c r="B679" s="1">
        <v>7</v>
      </c>
      <c r="C679" t="s">
        <v>1073</v>
      </c>
      <c r="D679" s="1">
        <v>0.01307461818028947</v>
      </c>
      <c r="E679" s="1"/>
      <c r="F679" t="s">
        <v>1093</v>
      </c>
      <c r="G679" s="1"/>
      <c r="H679" t="s">
        <v>1111</v>
      </c>
    </row>
    <row r="680">
      <c r="A680" t="s">
        <v>928</v>
      </c>
      <c r="B680" s="1">
        <v>7</v>
      </c>
      <c r="C680" t="s">
        <v>1073</v>
      </c>
      <c r="D680" s="1">
        <v>0.01024666220130224</v>
      </c>
      <c r="E680" s="1"/>
      <c r="F680" t="s">
        <v>1086</v>
      </c>
      <c r="G680" s="1"/>
      <c r="H680" t="s">
        <v>1111</v>
      </c>
    </row>
    <row r="681">
      <c r="A681" t="s">
        <v>929</v>
      </c>
      <c r="B681" s="1">
        <v>7</v>
      </c>
      <c r="C681" t="s">
        <v>1073</v>
      </c>
      <c r="D681" s="1">
        <v>0.007257511016023649</v>
      </c>
      <c r="E681" s="1"/>
      <c r="F681" t="s">
        <v>1089</v>
      </c>
      <c r="G681" s="1"/>
      <c r="H681" t="s">
        <v>1111</v>
      </c>
    </row>
    <row r="682">
      <c r="A682" t="s">
        <v>930</v>
      </c>
      <c r="B682" s="1">
        <v>7</v>
      </c>
      <c r="C682" t="s">
        <v>1073</v>
      </c>
      <c r="D682" s="1">
        <v>0.01407248123097572</v>
      </c>
      <c r="E682" s="1"/>
      <c r="F682" t="s">
        <v>1090</v>
      </c>
      <c r="G682" s="1"/>
      <c r="H682" t="s">
        <v>1111</v>
      </c>
    </row>
    <row r="683">
      <c r="A683" t="s">
        <v>1180</v>
      </c>
      <c r="B683" s="1">
        <v>7</v>
      </c>
      <c r="C683" t="s">
        <v>1073</v>
      </c>
      <c r="D683" s="1">
        <v>0.03549312639345483</v>
      </c>
      <c r="E683" s="1"/>
      <c r="F683" t="s">
        <v>1193</v>
      </c>
      <c r="G683" s="1"/>
      <c r="H683" t="s">
        <v>1111</v>
      </c>
    </row>
    <row r="684">
      <c r="A684" t="s">
        <v>931</v>
      </c>
      <c r="B684" s="1">
        <v>7</v>
      </c>
      <c r="C684" t="s">
        <v>1073</v>
      </c>
      <c r="D684" s="1">
        <v>-0.002453534191184997</v>
      </c>
      <c r="E684" s="1"/>
      <c r="F684" t="s">
        <v>1094</v>
      </c>
      <c r="G684" s="1"/>
      <c r="H684" t="s">
        <v>1111</v>
      </c>
    </row>
    <row r="685">
      <c r="A685" t="s">
        <v>932</v>
      </c>
      <c r="B685" s="1">
        <v>7</v>
      </c>
      <c r="C685" t="s">
        <v>1073</v>
      </c>
      <c r="D685" s="1">
        <v>-0.003328190575120871</v>
      </c>
      <c r="E685" s="1"/>
      <c r="F685" t="s">
        <v>1095</v>
      </c>
      <c r="G685" s="1"/>
      <c r="H685" t="s">
        <v>1111</v>
      </c>
    </row>
    <row r="686">
      <c r="A686" t="s">
        <v>933</v>
      </c>
      <c r="B686" s="1">
        <v>8</v>
      </c>
      <c r="C686" t="s">
        <v>1073</v>
      </c>
      <c r="D686" s="1">
        <v>0.02678984784228099</v>
      </c>
      <c r="E686" s="1"/>
      <c r="F686" t="s">
        <v>1096</v>
      </c>
      <c r="G686" s="1"/>
      <c r="H686" t="s">
        <v>1111</v>
      </c>
    </row>
    <row r="687">
      <c r="A687" t="s">
        <v>934</v>
      </c>
      <c r="B687" s="1">
        <v>8</v>
      </c>
      <c r="C687" t="s">
        <v>1073</v>
      </c>
      <c r="D687" s="1">
        <v>0.02996758291696192</v>
      </c>
      <c r="E687" s="1"/>
      <c r="F687" t="s">
        <v>1088</v>
      </c>
      <c r="G687" s="1"/>
      <c r="H687" t="s">
        <v>1111</v>
      </c>
    </row>
    <row r="688">
      <c r="A688" t="s">
        <v>935</v>
      </c>
      <c r="B688" s="1">
        <v>8</v>
      </c>
      <c r="C688" t="s">
        <v>1073</v>
      </c>
      <c r="D688" s="1">
        <v>0.003933839751560782</v>
      </c>
      <c r="E688" s="1"/>
      <c r="F688" t="s">
        <v>1087</v>
      </c>
      <c r="G688" s="1"/>
      <c r="H688" t="s">
        <v>1111</v>
      </c>
    </row>
    <row r="689">
      <c r="A689" t="s">
        <v>936</v>
      </c>
      <c r="B689" s="1">
        <v>8</v>
      </c>
      <c r="C689" t="s">
        <v>1073</v>
      </c>
      <c r="D689" s="1">
        <v>0.01375112915731421</v>
      </c>
      <c r="E689" s="1"/>
      <c r="F689" t="s">
        <v>1091</v>
      </c>
      <c r="G689" s="1"/>
      <c r="H689" t="s">
        <v>1111</v>
      </c>
    </row>
    <row r="690">
      <c r="A690" t="s">
        <v>937</v>
      </c>
      <c r="B690" s="1">
        <v>8</v>
      </c>
      <c r="C690" t="s">
        <v>1073</v>
      </c>
      <c r="D690" s="1">
        <v>0.002449910798661721</v>
      </c>
      <c r="E690" s="1"/>
      <c r="F690" t="s">
        <v>1092</v>
      </c>
      <c r="G690" s="1"/>
      <c r="H690" t="s">
        <v>1111</v>
      </c>
    </row>
    <row r="691">
      <c r="A691" t="s">
        <v>938</v>
      </c>
      <c r="B691" s="1">
        <v>8</v>
      </c>
      <c r="C691" t="s">
        <v>1073</v>
      </c>
      <c r="D691" s="1">
        <v>0.01399793728532836</v>
      </c>
      <c r="E691" s="1"/>
      <c r="F691" t="s">
        <v>1093</v>
      </c>
      <c r="G691" s="1"/>
      <c r="H691" t="s">
        <v>1111</v>
      </c>
    </row>
    <row r="692">
      <c r="A692" t="s">
        <v>939</v>
      </c>
      <c r="B692" s="1">
        <v>8</v>
      </c>
      <c r="C692" t="s">
        <v>1073</v>
      </c>
      <c r="D692" s="1">
        <v>0.01089871123552181</v>
      </c>
      <c r="E692" s="1"/>
      <c r="F692" t="s">
        <v>1086</v>
      </c>
      <c r="G692" s="1"/>
      <c r="H692" t="s">
        <v>1111</v>
      </c>
    </row>
    <row r="693">
      <c r="A693" t="s">
        <v>940</v>
      </c>
      <c r="B693" s="1">
        <v>8</v>
      </c>
      <c r="C693" t="s">
        <v>1073</v>
      </c>
      <c r="D693" s="1">
        <v>0.007323079131578597</v>
      </c>
      <c r="E693" s="1"/>
      <c r="F693" t="s">
        <v>1089</v>
      </c>
      <c r="G693" s="1"/>
      <c r="H693" t="s">
        <v>1111</v>
      </c>
    </row>
    <row r="694">
      <c r="A694" t="s">
        <v>941</v>
      </c>
      <c r="B694" s="1">
        <v>8</v>
      </c>
      <c r="C694" t="s">
        <v>1073</v>
      </c>
      <c r="D694" s="1">
        <v>0.01596964563163356</v>
      </c>
      <c r="E694" s="1"/>
      <c r="F694" t="s">
        <v>1090</v>
      </c>
      <c r="G694" s="1"/>
      <c r="H694" t="s">
        <v>1111</v>
      </c>
    </row>
    <row r="695">
      <c r="A695" t="s">
        <v>1181</v>
      </c>
      <c r="B695" s="1">
        <v>8</v>
      </c>
      <c r="C695" t="s">
        <v>1073</v>
      </c>
      <c r="D695" s="1">
        <v>0.03527781650635808</v>
      </c>
      <c r="E695" s="1"/>
      <c r="F695" t="s">
        <v>1193</v>
      </c>
      <c r="G695" s="1"/>
      <c r="H695" t="s">
        <v>1111</v>
      </c>
    </row>
    <row r="696">
      <c r="A696" t="s">
        <v>942</v>
      </c>
      <c r="B696" s="1">
        <v>8</v>
      </c>
      <c r="C696" t="s">
        <v>1073</v>
      </c>
      <c r="D696" s="1">
        <v>-0.00171006481106336</v>
      </c>
      <c r="E696" s="1"/>
      <c r="F696" t="s">
        <v>1094</v>
      </c>
      <c r="G696" s="1"/>
      <c r="H696" t="s">
        <v>1111</v>
      </c>
    </row>
    <row r="697">
      <c r="A697" t="s">
        <v>943</v>
      </c>
      <c r="B697" s="1">
        <v>8</v>
      </c>
      <c r="C697" t="s">
        <v>1073</v>
      </c>
      <c r="D697" s="1">
        <v>-0.003691030928177106</v>
      </c>
      <c r="E697" s="1"/>
      <c r="F697" t="s">
        <v>1095</v>
      </c>
      <c r="G697" s="1"/>
      <c r="H697" t="s">
        <v>1111</v>
      </c>
    </row>
    <row r="698">
      <c r="A698" t="s">
        <v>944</v>
      </c>
      <c r="B698" s="1">
        <v>9</v>
      </c>
      <c r="C698" t="s">
        <v>1073</v>
      </c>
      <c r="D698" s="1">
        <v>0.02796828136914292</v>
      </c>
      <c r="E698" s="1"/>
      <c r="F698" t="s">
        <v>1096</v>
      </c>
      <c r="G698" s="1"/>
      <c r="H698" t="s">
        <v>1111</v>
      </c>
    </row>
    <row r="699">
      <c r="A699" t="s">
        <v>945</v>
      </c>
      <c r="B699" s="1">
        <v>9</v>
      </c>
      <c r="C699" t="s">
        <v>1073</v>
      </c>
      <c r="D699" s="1">
        <v>0.03134825103488226</v>
      </c>
      <c r="E699" s="1"/>
      <c r="F699" t="s">
        <v>1088</v>
      </c>
      <c r="G699" s="1"/>
      <c r="H699" t="s">
        <v>1111</v>
      </c>
    </row>
    <row r="700">
      <c r="A700" t="s">
        <v>946</v>
      </c>
      <c r="B700" s="1">
        <v>9</v>
      </c>
      <c r="C700" t="s">
        <v>1073</v>
      </c>
      <c r="D700" s="1">
        <v>0.003751787980181955</v>
      </c>
      <c r="E700" s="1"/>
      <c r="F700" t="s">
        <v>1087</v>
      </c>
      <c r="G700" s="1"/>
      <c r="H700" t="s">
        <v>1111</v>
      </c>
    </row>
    <row r="701">
      <c r="A701" t="s">
        <v>947</v>
      </c>
      <c r="B701" s="1">
        <v>9</v>
      </c>
      <c r="C701" t="s">
        <v>1073</v>
      </c>
      <c r="D701" s="1">
        <v>0.01391752333111092</v>
      </c>
      <c r="E701" s="1"/>
      <c r="F701" t="s">
        <v>1091</v>
      </c>
      <c r="G701" s="1"/>
      <c r="H701" t="s">
        <v>1111</v>
      </c>
    </row>
    <row r="702">
      <c r="A702" t="s">
        <v>948</v>
      </c>
      <c r="B702" s="1">
        <v>9</v>
      </c>
      <c r="C702" t="s">
        <v>1073</v>
      </c>
      <c r="D702" s="1">
        <v>0.00242534468133039</v>
      </c>
      <c r="E702" s="1"/>
      <c r="F702" t="s">
        <v>1092</v>
      </c>
      <c r="G702" s="1"/>
      <c r="H702" t="s">
        <v>1111</v>
      </c>
    </row>
    <row r="703">
      <c r="A703" t="s">
        <v>949</v>
      </c>
      <c r="B703" s="1">
        <v>9</v>
      </c>
      <c r="C703" t="s">
        <v>1073</v>
      </c>
      <c r="D703" s="1">
        <v>0.01491834623210252</v>
      </c>
      <c r="E703" s="1"/>
      <c r="F703" t="s">
        <v>1093</v>
      </c>
      <c r="G703" s="1"/>
      <c r="H703" t="s">
        <v>1111</v>
      </c>
    </row>
    <row r="704">
      <c r="A704" t="s">
        <v>950</v>
      </c>
      <c r="B704" s="1">
        <v>9</v>
      </c>
      <c r="C704" t="s">
        <v>1073</v>
      </c>
      <c r="D704" s="1">
        <v>0.0102527407640022</v>
      </c>
      <c r="E704" s="1"/>
      <c r="F704" t="s">
        <v>1086</v>
      </c>
      <c r="G704" s="1"/>
      <c r="H704" t="s">
        <v>1111</v>
      </c>
    </row>
    <row r="705">
      <c r="A705" t="s">
        <v>951</v>
      </c>
      <c r="B705" s="1">
        <v>9</v>
      </c>
      <c r="C705" t="s">
        <v>1073</v>
      </c>
      <c r="D705" s="1">
        <v>0.007262471440020424</v>
      </c>
      <c r="E705" s="1"/>
      <c r="F705" t="s">
        <v>1089</v>
      </c>
      <c r="G705" s="1"/>
      <c r="H705" t="s">
        <v>1111</v>
      </c>
    </row>
    <row r="706">
      <c r="A706" t="s">
        <v>952</v>
      </c>
      <c r="B706" s="1">
        <v>9</v>
      </c>
      <c r="C706" t="s">
        <v>1073</v>
      </c>
      <c r="D706" s="1">
        <v>0.01642990480277974</v>
      </c>
      <c r="E706" s="1"/>
      <c r="F706" t="s">
        <v>1090</v>
      </c>
      <c r="G706" s="1"/>
      <c r="H706" t="s">
        <v>1111</v>
      </c>
    </row>
    <row r="707">
      <c r="A707" t="s">
        <v>1182</v>
      </c>
      <c r="B707" s="1">
        <v>9</v>
      </c>
      <c r="C707" t="s">
        <v>1073</v>
      </c>
      <c r="D707" s="1">
        <v>0.03600915119037078</v>
      </c>
      <c r="E707" s="1"/>
      <c r="F707" t="s">
        <v>1193</v>
      </c>
      <c r="G707" s="1"/>
      <c r="H707" t="s">
        <v>1111</v>
      </c>
    </row>
    <row r="708">
      <c r="A708" t="s">
        <v>953</v>
      </c>
      <c r="B708" s="1">
        <v>9</v>
      </c>
      <c r="C708" t="s">
        <v>1073</v>
      </c>
      <c r="D708" s="1">
        <v>-0.001398488347133852</v>
      </c>
      <c r="E708" s="1"/>
      <c r="F708" t="s">
        <v>1094</v>
      </c>
      <c r="G708" s="1"/>
      <c r="H708" t="s">
        <v>1111</v>
      </c>
    </row>
    <row r="709">
      <c r="A709" t="s">
        <v>954</v>
      </c>
      <c r="B709" s="1">
        <v>9</v>
      </c>
      <c r="C709" t="s">
        <v>1073</v>
      </c>
      <c r="D709" s="1">
        <v>-0.003444152554254522</v>
      </c>
      <c r="E709" s="1"/>
      <c r="F709" t="s">
        <v>1095</v>
      </c>
      <c r="G709" s="1"/>
      <c r="H709" t="s">
        <v>1111</v>
      </c>
    </row>
    <row r="710">
      <c r="A710" t="s">
        <v>955</v>
      </c>
      <c r="B710" s="1">
        <v>10</v>
      </c>
      <c r="C710" t="s">
        <v>1073</v>
      </c>
      <c r="D710" s="1">
        <v>0.02820828402110997</v>
      </c>
      <c r="E710" s="1"/>
      <c r="F710" t="s">
        <v>1096</v>
      </c>
      <c r="G710" s="1"/>
      <c r="H710" t="s">
        <v>1111</v>
      </c>
    </row>
    <row r="711">
      <c r="A711" t="s">
        <v>956</v>
      </c>
      <c r="B711" s="1">
        <v>10</v>
      </c>
      <c r="C711" t="s">
        <v>1073</v>
      </c>
      <c r="D711" s="1">
        <v>0.03261756468747955</v>
      </c>
      <c r="E711" s="1"/>
      <c r="F711" t="s">
        <v>1088</v>
      </c>
      <c r="G711" s="1"/>
      <c r="H711" t="s">
        <v>1111</v>
      </c>
    </row>
    <row r="712">
      <c r="A712" t="s">
        <v>957</v>
      </c>
      <c r="B712" s="1">
        <v>10</v>
      </c>
      <c r="C712" t="s">
        <v>1073</v>
      </c>
      <c r="D712" s="1">
        <v>0.004755589254276376</v>
      </c>
      <c r="E712" s="1"/>
      <c r="F712" t="s">
        <v>1087</v>
      </c>
      <c r="G712" s="1"/>
      <c r="H712" t="s">
        <v>1111</v>
      </c>
    </row>
    <row r="713">
      <c r="A713" t="s">
        <v>958</v>
      </c>
      <c r="B713" s="1">
        <v>10</v>
      </c>
      <c r="C713" t="s">
        <v>1073</v>
      </c>
      <c r="D713" s="1">
        <v>0.01316575137482737</v>
      </c>
      <c r="E713" s="1"/>
      <c r="F713" t="s">
        <v>1091</v>
      </c>
      <c r="G713" s="1"/>
      <c r="H713" t="s">
        <v>1111</v>
      </c>
    </row>
    <row r="714">
      <c r="A714" t="s">
        <v>959</v>
      </c>
      <c r="B714" s="1">
        <v>10</v>
      </c>
      <c r="C714" t="s">
        <v>1073</v>
      </c>
      <c r="D714" s="1">
        <v>0.002437942475722646</v>
      </c>
      <c r="E714" s="1"/>
      <c r="F714" t="s">
        <v>1092</v>
      </c>
      <c r="G714" s="1"/>
      <c r="H714" t="s">
        <v>1111</v>
      </c>
    </row>
    <row r="715">
      <c r="A715" t="s">
        <v>960</v>
      </c>
      <c r="B715" s="1">
        <v>10</v>
      </c>
      <c r="C715" t="s">
        <v>1073</v>
      </c>
      <c r="D715" s="1">
        <v>0.01498159125348637</v>
      </c>
      <c r="E715" s="1"/>
      <c r="F715" t="s">
        <v>1093</v>
      </c>
      <c r="G715" s="1"/>
      <c r="H715" t="s">
        <v>1111</v>
      </c>
    </row>
    <row r="716">
      <c r="A716" t="s">
        <v>961</v>
      </c>
      <c r="B716" s="1">
        <v>10</v>
      </c>
      <c r="C716" t="s">
        <v>1073</v>
      </c>
      <c r="D716" s="1">
        <v>0.01098142772634116</v>
      </c>
      <c r="E716" s="1"/>
      <c r="F716" t="s">
        <v>1086</v>
      </c>
      <c r="G716" s="1"/>
      <c r="H716" t="s">
        <v>1111</v>
      </c>
    </row>
    <row r="717">
      <c r="A717" t="s">
        <v>962</v>
      </c>
      <c r="B717" s="1">
        <v>10</v>
      </c>
      <c r="C717" t="s">
        <v>1073</v>
      </c>
      <c r="D717" s="1">
        <v>0.007585270182913988</v>
      </c>
      <c r="E717" s="1"/>
      <c r="F717" t="s">
        <v>1089</v>
      </c>
      <c r="G717" s="1"/>
      <c r="H717" t="s">
        <v>1111</v>
      </c>
    </row>
    <row r="718">
      <c r="A718" t="s">
        <v>963</v>
      </c>
      <c r="B718" s="1">
        <v>10</v>
      </c>
      <c r="C718" t="s">
        <v>1073</v>
      </c>
      <c r="D718" s="1">
        <v>0.01763597343399318</v>
      </c>
      <c r="E718" s="1"/>
      <c r="F718" t="s">
        <v>1090</v>
      </c>
      <c r="G718" s="1"/>
      <c r="H718" t="s">
        <v>1111</v>
      </c>
    </row>
    <row r="719">
      <c r="A719" t="s">
        <v>1183</v>
      </c>
      <c r="B719" s="1">
        <v>10</v>
      </c>
      <c r="C719" t="s">
        <v>1073</v>
      </c>
      <c r="D719" s="1">
        <v>0.03544785938273697</v>
      </c>
      <c r="E719" s="1"/>
      <c r="F719" t="s">
        <v>1193</v>
      </c>
      <c r="G719" s="1"/>
      <c r="H719" t="s">
        <v>1111</v>
      </c>
    </row>
    <row r="720">
      <c r="A720" t="s">
        <v>964</v>
      </c>
      <c r="B720" s="1">
        <v>10</v>
      </c>
      <c r="C720" t="s">
        <v>1073</v>
      </c>
      <c r="D720" s="1">
        <v>-0.001933553811113117</v>
      </c>
      <c r="E720" s="1"/>
      <c r="F720" t="s">
        <v>1094</v>
      </c>
      <c r="G720" s="1"/>
      <c r="H720" t="s">
        <v>1111</v>
      </c>
    </row>
    <row r="721">
      <c r="A721" t="s">
        <v>965</v>
      </c>
      <c r="B721" s="1">
        <v>10</v>
      </c>
      <c r="C721" t="s">
        <v>1073</v>
      </c>
      <c r="D721" s="1">
        <v>-0.004108381577237179</v>
      </c>
      <c r="E721" s="1"/>
      <c r="F721" t="s">
        <v>1095</v>
      </c>
      <c r="G721" s="1"/>
      <c r="H721" t="s">
        <v>1111</v>
      </c>
    </row>
    <row r="722">
      <c r="A722" t="s">
        <v>966</v>
      </c>
      <c r="B722" s="1">
        <v>0</v>
      </c>
      <c r="C722" t="s">
        <v>1074</v>
      </c>
      <c r="D722" s="1">
        <v>9358875.142463684</v>
      </c>
      <c r="E722" s="1">
        <v>17258998.46749878</v>
      </c>
      <c r="F722" t="s">
        <v>1086</v>
      </c>
      <c r="G722" s="1">
        <v>1</v>
      </c>
      <c r="H722" t="s">
        <v>1111</v>
      </c>
    </row>
    <row r="723">
      <c r="A723" t="s">
        <v>967</v>
      </c>
      <c r="B723" s="1">
        <v>0</v>
      </c>
      <c r="C723" t="s">
        <v>1075</v>
      </c>
      <c r="D723" s="1">
        <v>81374955957.01382</v>
      </c>
      <c r="E723" s="1">
        <v>17258998.46749878</v>
      </c>
      <c r="F723" t="s">
        <v>1086</v>
      </c>
      <c r="G723" s="1">
        <v>1</v>
      </c>
      <c r="H723" t="s">
        <v>1111</v>
      </c>
    </row>
    <row r="724">
      <c r="A724" t="s">
        <v>968</v>
      </c>
      <c r="B724" s="1">
        <v>0</v>
      </c>
      <c r="C724" t="s">
        <v>1076</v>
      </c>
      <c r="D724" s="1">
        <v>0.5422606161121004</v>
      </c>
      <c r="E724" s="1">
        <v>17258998.46749878</v>
      </c>
      <c r="F724" t="s">
        <v>1086</v>
      </c>
      <c r="G724" s="1">
        <v>1</v>
      </c>
      <c r="H724" t="s">
        <v>1111</v>
      </c>
    </row>
    <row r="725">
      <c r="A725" t="s">
        <v>969</v>
      </c>
      <c r="B725" s="1">
        <v>0</v>
      </c>
      <c r="C725" t="s">
        <v>1077</v>
      </c>
      <c r="D725" s="1">
        <v>4714.929206944122</v>
      </c>
      <c r="E725" s="1">
        <v>17258998.46749878</v>
      </c>
      <c r="F725" t="s">
        <v>1086</v>
      </c>
      <c r="G725" s="1">
        <v>1</v>
      </c>
      <c r="H725" t="s">
        <v>1111</v>
      </c>
    </row>
    <row r="726">
      <c r="A726" t="s">
        <v>1006</v>
      </c>
      <c r="B726" s="1">
        <v>0</v>
      </c>
      <c r="C726" t="s">
        <v>1074</v>
      </c>
      <c r="D726" s="1">
        <v>17258998.46749878</v>
      </c>
      <c r="E726" s="1">
        <v>17258998.46749878</v>
      </c>
      <c r="F726" t="s">
        <v>1096</v>
      </c>
      <c r="G726" s="1">
        <v>1</v>
      </c>
      <c r="H726" t="s">
        <v>1111</v>
      </c>
    </row>
    <row r="727">
      <c r="A727" t="s">
        <v>1007</v>
      </c>
      <c r="B727" s="1">
        <v>0</v>
      </c>
      <c r="C727" t="s">
        <v>1075</v>
      </c>
      <c r="D727" s="1">
        <v>258409461574.0454</v>
      </c>
      <c r="E727" s="1">
        <v>17258998.46749878</v>
      </c>
      <c r="F727" t="s">
        <v>1096</v>
      </c>
      <c r="G727" s="1">
        <v>1</v>
      </c>
      <c r="H727" t="s">
        <v>1111</v>
      </c>
    </row>
    <row r="728">
      <c r="A728" t="s">
        <v>1008</v>
      </c>
      <c r="B728" s="1">
        <v>0</v>
      </c>
      <c r="C728" t="s">
        <v>1076</v>
      </c>
      <c r="D728" s="1">
        <v>1</v>
      </c>
      <c r="E728" s="1">
        <v>17258998.46749878</v>
      </c>
      <c r="F728" t="s">
        <v>1096</v>
      </c>
      <c r="G728" s="1">
        <v>1</v>
      </c>
      <c r="H728" t="s">
        <v>1111</v>
      </c>
    </row>
    <row r="729">
      <c r="A729" t="s">
        <v>1009</v>
      </c>
      <c r="B729" s="1">
        <v>0</v>
      </c>
      <c r="C729" t="s">
        <v>1077</v>
      </c>
      <c r="D729" s="1">
        <v>14972.44826000004</v>
      </c>
      <c r="E729" s="1">
        <v>17258998.46749878</v>
      </c>
      <c r="F729" t="s">
        <v>1096</v>
      </c>
      <c r="G729" s="1">
        <v>1</v>
      </c>
      <c r="H729" t="s">
        <v>1111</v>
      </c>
    </row>
    <row r="730">
      <c r="A730" t="s">
        <v>970</v>
      </c>
      <c r="B730" s="1">
        <v>0</v>
      </c>
      <c r="C730" t="s">
        <v>1074</v>
      </c>
      <c r="D730" s="1">
        <v>9572706.646827698</v>
      </c>
      <c r="E730" s="1">
        <v>17258998.46749878</v>
      </c>
      <c r="F730" t="s">
        <v>1087</v>
      </c>
      <c r="G730" s="1">
        <v>1</v>
      </c>
      <c r="H730" t="s">
        <v>1111</v>
      </c>
    </row>
    <row r="731">
      <c r="A731" t="s">
        <v>971</v>
      </c>
      <c r="B731" s="1">
        <v>0</v>
      </c>
      <c r="C731" t="s">
        <v>1075</v>
      </c>
      <c r="D731" s="1">
        <v>33881791099.81222</v>
      </c>
      <c r="E731" s="1">
        <v>17258998.46749878</v>
      </c>
      <c r="F731" t="s">
        <v>1087</v>
      </c>
      <c r="G731" s="1">
        <v>1</v>
      </c>
      <c r="H731" t="s">
        <v>1111</v>
      </c>
    </row>
    <row r="732">
      <c r="A732" t="s">
        <v>972</v>
      </c>
      <c r="B732" s="1">
        <v>0</v>
      </c>
      <c r="C732" t="s">
        <v>1076</v>
      </c>
      <c r="D732" s="1">
        <v>0.5546501823297861</v>
      </c>
      <c r="E732" s="1">
        <v>17258998.46749878</v>
      </c>
      <c r="F732" t="s">
        <v>1087</v>
      </c>
      <c r="G732" s="1">
        <v>1</v>
      </c>
      <c r="H732" t="s">
        <v>1111</v>
      </c>
    </row>
    <row r="733">
      <c r="A733" t="s">
        <v>973</v>
      </c>
      <c r="B733" s="1">
        <v>0</v>
      </c>
      <c r="C733" t="s">
        <v>1077</v>
      </c>
      <c r="D733" s="1">
        <v>1963.13773152113</v>
      </c>
      <c r="E733" s="1">
        <v>17258998.46749878</v>
      </c>
      <c r="F733" t="s">
        <v>1087</v>
      </c>
      <c r="G733" s="1">
        <v>1</v>
      </c>
      <c r="H733" t="s">
        <v>1111</v>
      </c>
    </row>
    <row r="734">
      <c r="A734" t="s">
        <v>974</v>
      </c>
      <c r="B734" s="1">
        <v>0</v>
      </c>
      <c r="C734" t="s">
        <v>1074</v>
      </c>
      <c r="D734" s="1">
        <v>17258998.46749878</v>
      </c>
      <c r="E734" s="1">
        <v>17258998.46749878</v>
      </c>
      <c r="F734" t="s">
        <v>1088</v>
      </c>
      <c r="G734" s="1">
        <v>1</v>
      </c>
      <c r="H734" t="s">
        <v>1111</v>
      </c>
    </row>
    <row r="735">
      <c r="A735" t="s">
        <v>975</v>
      </c>
      <c r="B735" s="1">
        <v>0</v>
      </c>
      <c r="C735" t="s">
        <v>1075</v>
      </c>
      <c r="D735" s="1">
        <v>292291252673.8577</v>
      </c>
      <c r="E735" s="1">
        <v>17258998.46749878</v>
      </c>
      <c r="F735" t="s">
        <v>1088</v>
      </c>
      <c r="G735" s="1">
        <v>1</v>
      </c>
      <c r="H735" t="s">
        <v>1111</v>
      </c>
    </row>
    <row r="736">
      <c r="A736" t="s">
        <v>976</v>
      </c>
      <c r="B736" s="1">
        <v>0</v>
      </c>
      <c r="C736" t="s">
        <v>1076</v>
      </c>
      <c r="D736" s="1">
        <v>1</v>
      </c>
      <c r="E736" s="1">
        <v>17258998.46749878</v>
      </c>
      <c r="F736" t="s">
        <v>1088</v>
      </c>
      <c r="G736" s="1">
        <v>1</v>
      </c>
      <c r="H736" t="s">
        <v>1111</v>
      </c>
    </row>
    <row r="737">
      <c r="A737" t="s">
        <v>977</v>
      </c>
      <c r="B737" s="1">
        <v>0</v>
      </c>
      <c r="C737" t="s">
        <v>1077</v>
      </c>
      <c r="D737" s="1">
        <v>16935.58599152117</v>
      </c>
      <c r="E737" s="1">
        <v>17258998.46749878</v>
      </c>
      <c r="F737" t="s">
        <v>1088</v>
      </c>
      <c r="G737" s="1">
        <v>1</v>
      </c>
      <c r="H737" t="s">
        <v>1111</v>
      </c>
    </row>
    <row r="738">
      <c r="A738" t="s">
        <v>978</v>
      </c>
      <c r="B738" s="1">
        <v>0</v>
      </c>
      <c r="C738" t="s">
        <v>1074</v>
      </c>
      <c r="D738" s="1">
        <v>17258998.46749878</v>
      </c>
      <c r="E738" s="1">
        <v>17258998.46749878</v>
      </c>
      <c r="F738" t="s">
        <v>1089</v>
      </c>
      <c r="G738" s="1">
        <v>1</v>
      </c>
      <c r="H738" t="s">
        <v>1111</v>
      </c>
    </row>
    <row r="739">
      <c r="A739" t="s">
        <v>979</v>
      </c>
      <c r="B739" s="1">
        <v>0</v>
      </c>
      <c r="C739" t="s">
        <v>1075</v>
      </c>
      <c r="D739" s="1">
        <v>75839887097.71976</v>
      </c>
      <c r="E739" s="1">
        <v>17258998.46749878</v>
      </c>
      <c r="F739" t="s">
        <v>1089</v>
      </c>
      <c r="G739" s="1">
        <v>1</v>
      </c>
      <c r="H739" t="s">
        <v>1111</v>
      </c>
    </row>
    <row r="740">
      <c r="A740" t="s">
        <v>980</v>
      </c>
      <c r="B740" s="1">
        <v>0</v>
      </c>
      <c r="C740" t="s">
        <v>1076</v>
      </c>
      <c r="D740" s="1">
        <v>1</v>
      </c>
      <c r="E740" s="1">
        <v>17258998.46749878</v>
      </c>
      <c r="F740" t="s">
        <v>1089</v>
      </c>
      <c r="G740" s="1">
        <v>1</v>
      </c>
      <c r="H740" t="s">
        <v>1111</v>
      </c>
    </row>
    <row r="741">
      <c r="A741" t="s">
        <v>981</v>
      </c>
      <c r="B741" s="1">
        <v>0</v>
      </c>
      <c r="C741" t="s">
        <v>1077</v>
      </c>
      <c r="D741" s="1">
        <v>4394.222946397345</v>
      </c>
      <c r="E741" s="1">
        <v>17258998.46749878</v>
      </c>
      <c r="F741" t="s">
        <v>1089</v>
      </c>
      <c r="G741" s="1">
        <v>1</v>
      </c>
      <c r="H741" t="s">
        <v>1111</v>
      </c>
    </row>
    <row r="742">
      <c r="A742" t="s">
        <v>982</v>
      </c>
      <c r="B742" s="1">
        <v>0</v>
      </c>
      <c r="C742" t="s">
        <v>1074</v>
      </c>
      <c r="D742" s="1">
        <v>17258998.46749878</v>
      </c>
      <c r="E742" s="1">
        <v>17258998.46749878</v>
      </c>
      <c r="F742" t="s">
        <v>1090</v>
      </c>
      <c r="G742" s="1">
        <v>1</v>
      </c>
      <c r="H742" t="s">
        <v>1111</v>
      </c>
    </row>
    <row r="743">
      <c r="A743" t="s">
        <v>983</v>
      </c>
      <c r="B743" s="1">
        <v>0</v>
      </c>
      <c r="C743" t="s">
        <v>1075</v>
      </c>
      <c r="D743" s="1">
        <v>157214843054.7336</v>
      </c>
      <c r="E743" s="1">
        <v>17258998.46749878</v>
      </c>
      <c r="F743" t="s">
        <v>1090</v>
      </c>
      <c r="G743" s="1">
        <v>1</v>
      </c>
      <c r="H743" t="s">
        <v>1111</v>
      </c>
    </row>
    <row r="744">
      <c r="A744" t="s">
        <v>984</v>
      </c>
      <c r="B744" s="1">
        <v>0</v>
      </c>
      <c r="C744" t="s">
        <v>1076</v>
      </c>
      <c r="D744" s="1">
        <v>1</v>
      </c>
      <c r="E744" s="1">
        <v>17258998.46749878</v>
      </c>
      <c r="F744" t="s">
        <v>1090</v>
      </c>
      <c r="G744" s="1">
        <v>1</v>
      </c>
      <c r="H744" t="s">
        <v>1111</v>
      </c>
    </row>
    <row r="745">
      <c r="A745" t="s">
        <v>985</v>
      </c>
      <c r="B745" s="1">
        <v>0</v>
      </c>
      <c r="C745" t="s">
        <v>1077</v>
      </c>
      <c r="D745" s="1">
        <v>9109.152153341467</v>
      </c>
      <c r="E745" s="1">
        <v>17258998.46749878</v>
      </c>
      <c r="F745" t="s">
        <v>1090</v>
      </c>
      <c r="G745" s="1">
        <v>1</v>
      </c>
      <c r="H745" t="s">
        <v>1111</v>
      </c>
    </row>
    <row r="746">
      <c r="A746" t="s">
        <v>986</v>
      </c>
      <c r="B746" s="1">
        <v>0</v>
      </c>
      <c r="C746" t="s">
        <v>1074</v>
      </c>
      <c r="D746" s="1">
        <v>10216884.44954109</v>
      </c>
      <c r="E746" s="1">
        <v>17258998.46749878</v>
      </c>
      <c r="F746" t="s">
        <v>1091</v>
      </c>
      <c r="G746" s="1">
        <v>1</v>
      </c>
      <c r="H746" t="s">
        <v>1111</v>
      </c>
    </row>
    <row r="747">
      <c r="A747" t="s">
        <v>987</v>
      </c>
      <c r="B747" s="1">
        <v>0</v>
      </c>
      <c r="C747" t="s">
        <v>1075</v>
      </c>
      <c r="D747" s="1">
        <v>110303048545.9941</v>
      </c>
      <c r="E747" s="1">
        <v>17258998.46749878</v>
      </c>
      <c r="F747" t="s">
        <v>1091</v>
      </c>
      <c r="G747" s="1">
        <v>1</v>
      </c>
      <c r="H747" t="s">
        <v>1111</v>
      </c>
    </row>
    <row r="748">
      <c r="A748" t="s">
        <v>988</v>
      </c>
      <c r="B748" s="1">
        <v>0</v>
      </c>
      <c r="C748" t="s">
        <v>1076</v>
      </c>
      <c r="D748" s="1">
        <v>0.5919743529023993</v>
      </c>
      <c r="E748" s="1">
        <v>17258998.46749878</v>
      </c>
      <c r="F748" t="s">
        <v>1091</v>
      </c>
      <c r="G748" s="1">
        <v>1</v>
      </c>
      <c r="H748" t="s">
        <v>1111</v>
      </c>
    </row>
    <row r="749">
      <c r="A749" t="s">
        <v>989</v>
      </c>
      <c r="B749" s="1">
        <v>0</v>
      </c>
      <c r="C749" t="s">
        <v>1077</v>
      </c>
      <c r="D749" s="1">
        <v>6391.045734995047</v>
      </c>
      <c r="E749" s="1">
        <v>17258998.46749878</v>
      </c>
      <c r="F749" t="s">
        <v>1091</v>
      </c>
      <c r="G749" s="1">
        <v>1</v>
      </c>
      <c r="H749" t="s">
        <v>1111</v>
      </c>
    </row>
    <row r="750">
      <c r="A750" t="s">
        <v>990</v>
      </c>
      <c r="B750" s="1">
        <v>0</v>
      </c>
      <c r="C750" t="s">
        <v>1074</v>
      </c>
      <c r="D750" s="1">
        <v>17258998.46749878</v>
      </c>
      <c r="E750" s="1">
        <v>17258998.46749878</v>
      </c>
      <c r="F750" t="s">
        <v>1092</v>
      </c>
      <c r="G750" s="1">
        <v>1</v>
      </c>
      <c r="H750" t="s">
        <v>1111</v>
      </c>
    </row>
    <row r="751">
      <c r="A751" t="s">
        <v>991</v>
      </c>
      <c r="B751" s="1">
        <v>0</v>
      </c>
      <c r="C751" t="s">
        <v>1075</v>
      </c>
      <c r="D751" s="1">
        <v>24773361073.12996</v>
      </c>
      <c r="E751" s="1">
        <v>17258998.46749878</v>
      </c>
      <c r="F751" t="s">
        <v>1092</v>
      </c>
      <c r="G751" s="1">
        <v>1</v>
      </c>
      <c r="H751" t="s">
        <v>1111</v>
      </c>
    </row>
    <row r="752">
      <c r="A752" t="s">
        <v>992</v>
      </c>
      <c r="B752" s="1">
        <v>0</v>
      </c>
      <c r="C752" t="s">
        <v>1076</v>
      </c>
      <c r="D752" s="1">
        <v>1</v>
      </c>
      <c r="E752" s="1">
        <v>17258998.46749878</v>
      </c>
      <c r="F752" t="s">
        <v>1092</v>
      </c>
      <c r="G752" s="1">
        <v>1</v>
      </c>
      <c r="H752" t="s">
        <v>1111</v>
      </c>
    </row>
    <row r="753">
      <c r="A753" t="s">
        <v>993</v>
      </c>
      <c r="B753" s="1">
        <v>0</v>
      </c>
      <c r="C753" t="s">
        <v>1077</v>
      </c>
      <c r="D753" s="1">
        <v>1435.388103184656</v>
      </c>
      <c r="E753" s="1">
        <v>17258998.46749878</v>
      </c>
      <c r="F753" t="s">
        <v>1092</v>
      </c>
      <c r="G753" s="1">
        <v>1</v>
      </c>
      <c r="H753" t="s">
        <v>1111</v>
      </c>
    </row>
    <row r="754">
      <c r="A754" t="s">
        <v>994</v>
      </c>
      <c r="B754" s="1">
        <v>0</v>
      </c>
      <c r="C754" t="s">
        <v>1074</v>
      </c>
      <c r="D754" s="1">
        <v>17258998.46749878</v>
      </c>
      <c r="E754" s="1">
        <v>17258998.46749878</v>
      </c>
      <c r="F754" t="s">
        <v>1093</v>
      </c>
      <c r="G754" s="1">
        <v>1</v>
      </c>
      <c r="H754" t="s">
        <v>1111</v>
      </c>
    </row>
    <row r="755">
      <c r="A755" t="s">
        <v>995</v>
      </c>
      <c r="B755" s="1">
        <v>0</v>
      </c>
      <c r="C755" t="s">
        <v>1075</v>
      </c>
      <c r="D755" s="1">
        <v>135076409619.1241</v>
      </c>
      <c r="E755" s="1">
        <v>17258998.46749878</v>
      </c>
      <c r="F755" t="s">
        <v>1093</v>
      </c>
      <c r="G755" s="1">
        <v>1</v>
      </c>
      <c r="H755" t="s">
        <v>1111</v>
      </c>
    </row>
    <row r="756">
      <c r="A756" t="s">
        <v>996</v>
      </c>
      <c r="B756" s="1">
        <v>0</v>
      </c>
      <c r="C756" t="s">
        <v>1076</v>
      </c>
      <c r="D756" s="1">
        <v>1</v>
      </c>
      <c r="E756" s="1">
        <v>17258998.46749878</v>
      </c>
      <c r="F756" t="s">
        <v>1093</v>
      </c>
      <c r="G756" s="1">
        <v>1</v>
      </c>
      <c r="H756" t="s">
        <v>1111</v>
      </c>
    </row>
    <row r="757">
      <c r="A757" t="s">
        <v>997</v>
      </c>
      <c r="B757" s="1">
        <v>0</v>
      </c>
      <c r="C757" t="s">
        <v>1077</v>
      </c>
      <c r="D757" s="1">
        <v>7826.433838179703</v>
      </c>
      <c r="E757" s="1">
        <v>17258998.46749878</v>
      </c>
      <c r="F757" t="s">
        <v>1093</v>
      </c>
      <c r="G757" s="1">
        <v>1</v>
      </c>
      <c r="H757" t="s">
        <v>1111</v>
      </c>
    </row>
    <row r="758">
      <c r="A758" t="s">
        <v>1184</v>
      </c>
      <c r="B758" s="1">
        <v>0</v>
      </c>
      <c r="C758" t="s">
        <v>1074</v>
      </c>
      <c r="D758" s="1">
        <v>10216884.44954109</v>
      </c>
      <c r="E758" s="1">
        <v>17258998.46749878</v>
      </c>
      <c r="F758" t="s">
        <v>1193</v>
      </c>
      <c r="G758" s="1">
        <v>1</v>
      </c>
      <c r="H758" t="s">
        <v>1111</v>
      </c>
    </row>
    <row r="759">
      <c r="A759" t="s">
        <v>1185</v>
      </c>
      <c r="B759" s="1">
        <v>0</v>
      </c>
      <c r="C759" t="s">
        <v>1075</v>
      </c>
      <c r="D759" s="1">
        <v>289003532717.5941</v>
      </c>
      <c r="E759" s="1">
        <v>17258998.46749878</v>
      </c>
      <c r="F759" t="s">
        <v>1193</v>
      </c>
      <c r="G759" s="1">
        <v>1</v>
      </c>
      <c r="H759" t="s">
        <v>1111</v>
      </c>
    </row>
    <row r="760">
      <c r="A760" t="s">
        <v>1186</v>
      </c>
      <c r="B760" s="1">
        <v>0</v>
      </c>
      <c r="C760" t="s">
        <v>1076</v>
      </c>
      <c r="D760" s="1">
        <v>0.5919743529023993</v>
      </c>
      <c r="E760" s="1">
        <v>17258998.46749878</v>
      </c>
      <c r="F760" t="s">
        <v>1193</v>
      </c>
      <c r="G760" s="1">
        <v>1</v>
      </c>
      <c r="H760" t="s">
        <v>1111</v>
      </c>
    </row>
    <row r="761">
      <c r="A761" t="s">
        <v>1187</v>
      </c>
      <c r="B761" s="1">
        <v>0</v>
      </c>
      <c r="C761" t="s">
        <v>1077</v>
      </c>
      <c r="D761" s="1">
        <v>16745.09290106433</v>
      </c>
      <c r="E761" s="1">
        <v>17258998.46749878</v>
      </c>
      <c r="F761" t="s">
        <v>1193</v>
      </c>
      <c r="G761" s="1">
        <v>1</v>
      </c>
      <c r="H761" t="s">
        <v>1111</v>
      </c>
    </row>
    <row r="762">
      <c r="A762" t="s">
        <v>998</v>
      </c>
      <c r="B762" s="1">
        <v>0</v>
      </c>
      <c r="C762" t="s">
        <v>1074</v>
      </c>
      <c r="D762" s="1">
        <v>1807833.045042038</v>
      </c>
      <c r="E762" s="1">
        <v>17258998.46749878</v>
      </c>
      <c r="F762" t="s">
        <v>1094</v>
      </c>
      <c r="G762" s="1">
        <v>1</v>
      </c>
      <c r="H762" t="s">
        <v>1111</v>
      </c>
    </row>
    <row r="763">
      <c r="A763" t="s">
        <v>999</v>
      </c>
      <c r="B763" s="1">
        <v>0</v>
      </c>
      <c r="C763" t="s">
        <v>1075</v>
      </c>
      <c r="D763" s="1">
        <v>4337105080.331972</v>
      </c>
      <c r="E763" s="1">
        <v>17258998.46749878</v>
      </c>
      <c r="F763" t="s">
        <v>1094</v>
      </c>
      <c r="G763" s="1">
        <v>1</v>
      </c>
      <c r="H763" t="s">
        <v>1111</v>
      </c>
    </row>
    <row r="764">
      <c r="A764" t="s">
        <v>1000</v>
      </c>
      <c r="B764" s="1">
        <v>0</v>
      </c>
      <c r="C764" t="s">
        <v>1076</v>
      </c>
      <c r="D764" s="1">
        <v>0.1047472742086658</v>
      </c>
      <c r="E764" s="1">
        <v>17258998.46749878</v>
      </c>
      <c r="F764" t="s">
        <v>1094</v>
      </c>
      <c r="G764" s="1">
        <v>1</v>
      </c>
      <c r="H764" t="s">
        <v>1111</v>
      </c>
    </row>
    <row r="765">
      <c r="A765" t="s">
        <v>1001</v>
      </c>
      <c r="B765" s="1">
        <v>0</v>
      </c>
      <c r="C765" t="s">
        <v>1077</v>
      </c>
      <c r="D765" s="1">
        <v>251.2952932059978</v>
      </c>
      <c r="E765" s="1">
        <v>17258998.46749878</v>
      </c>
      <c r="F765" t="s">
        <v>1094</v>
      </c>
      <c r="G765" s="1">
        <v>1</v>
      </c>
      <c r="H765" t="s">
        <v>1111</v>
      </c>
    </row>
    <row r="766">
      <c r="A766" t="s">
        <v>1002</v>
      </c>
      <c r="B766" s="1">
        <v>0</v>
      </c>
      <c r="C766" t="s">
        <v>1074</v>
      </c>
      <c r="D766" s="1">
        <v>9358875.142463684</v>
      </c>
      <c r="E766" s="1">
        <v>17258998.46749878</v>
      </c>
      <c r="F766" t="s">
        <v>1095</v>
      </c>
      <c r="G766" s="1">
        <v>1</v>
      </c>
      <c r="H766" t="s">
        <v>1111</v>
      </c>
    </row>
    <row r="767">
      <c r="A767" t="s">
        <v>1003</v>
      </c>
      <c r="B767" s="1">
        <v>0</v>
      </c>
      <c r="C767" t="s">
        <v>1075</v>
      </c>
      <c r="D767" s="1">
        <v>29544686019.48025</v>
      </c>
      <c r="E767" s="1">
        <v>17258998.46749878</v>
      </c>
      <c r="F767" t="s">
        <v>1095</v>
      </c>
      <c r="G767" s="1">
        <v>1</v>
      </c>
      <c r="H767" t="s">
        <v>1111</v>
      </c>
    </row>
    <row r="768">
      <c r="A768" t="s">
        <v>1004</v>
      </c>
      <c r="B768" s="1">
        <v>0</v>
      </c>
      <c r="C768" t="s">
        <v>1076</v>
      </c>
      <c r="D768" s="1">
        <v>0.5422606161121004</v>
      </c>
      <c r="E768" s="1">
        <v>17258998.46749878</v>
      </c>
      <c r="F768" t="s">
        <v>1095</v>
      </c>
      <c r="G768" s="1">
        <v>1</v>
      </c>
      <c r="H768" t="s">
        <v>1111</v>
      </c>
    </row>
    <row r="769">
      <c r="A769" t="s">
        <v>1005</v>
      </c>
      <c r="B769" s="1">
        <v>0</v>
      </c>
      <c r="C769" t="s">
        <v>1077</v>
      </c>
      <c r="D769" s="1">
        <v>1711.842438315133</v>
      </c>
      <c r="E769" s="1">
        <v>17258998.46749878</v>
      </c>
      <c r="F769" t="s">
        <v>1095</v>
      </c>
      <c r="G769" s="1">
        <v>1</v>
      </c>
      <c r="H769" t="s">
        <v>1111</v>
      </c>
    </row>
    <row r="770">
      <c r="A770" t="s">
        <v>1010</v>
      </c>
      <c r="B770" s="1">
        <v>0</v>
      </c>
      <c r="C770" t="s">
        <v>1078</v>
      </c>
      <c r="D770" s="1">
        <v>0.3785107</v>
      </c>
      <c r="E770" s="1">
        <v>17258998.46749878</v>
      </c>
      <c r="F770" t="s">
        <v>1100</v>
      </c>
      <c r="G770" s="1">
        <v>1</v>
      </c>
      <c r="H770" t="s">
        <v>1111</v>
      </c>
    </row>
    <row r="771">
      <c r="A771" t="s">
        <v>1011</v>
      </c>
      <c r="B771" s="1">
        <v>0</v>
      </c>
      <c r="C771" t="s">
        <v>1079</v>
      </c>
      <c r="D771" s="1">
        <v>0.2590112</v>
      </c>
      <c r="E771" s="1">
        <v>17258998.46749878</v>
      </c>
      <c r="F771" t="s">
        <v>1100</v>
      </c>
      <c r="G771" s="1">
        <v>1</v>
      </c>
      <c r="H771" t="s">
        <v>1111</v>
      </c>
    </row>
    <row r="772">
      <c r="A772" t="s">
        <v>1188</v>
      </c>
      <c r="B772" s="1">
        <v>0</v>
      </c>
      <c r="C772" t="s">
        <v>1078</v>
      </c>
      <c r="D772" s="1">
        <v>0.3834125</v>
      </c>
      <c r="E772" s="1">
        <v>17258998.46749878</v>
      </c>
      <c r="F772" t="s">
        <v>1194</v>
      </c>
      <c r="G772" s="1">
        <v>1</v>
      </c>
      <c r="H772" t="s">
        <v>1111</v>
      </c>
    </row>
    <row r="773">
      <c r="A773" t="s">
        <v>1189</v>
      </c>
      <c r="B773" s="1">
        <v>0</v>
      </c>
      <c r="C773" t="s">
        <v>1079</v>
      </c>
      <c r="D773" s="1">
        <v>0.2663422</v>
      </c>
      <c r="E773" s="1">
        <v>17258998.46749878</v>
      </c>
      <c r="F773" t="s">
        <v>1194</v>
      </c>
      <c r="G773" s="1">
        <v>1</v>
      </c>
      <c r="H773" t="s">
        <v>1111</v>
      </c>
    </row>
    <row r="774">
      <c r="A774" t="s">
        <v>1190</v>
      </c>
      <c r="B774" s="1">
        <v>0</v>
      </c>
      <c r="C774" t="s">
        <v>1080</v>
      </c>
      <c r="D774" s="1">
        <v>0.3745793742686009</v>
      </c>
      <c r="E774" s="1">
        <v>17258998.46749878</v>
      </c>
      <c r="F774" t="s">
        <v>1194</v>
      </c>
      <c r="G774" s="1">
        <v>1</v>
      </c>
      <c r="H774" t="s">
        <v>1112</v>
      </c>
    </row>
    <row r="775">
      <c r="A775" t="s">
        <v>1191</v>
      </c>
      <c r="B775" s="1">
        <v>0</v>
      </c>
      <c r="C775" t="s">
        <v>1081</v>
      </c>
      <c r="D775" s="1">
        <v>0.1105360742831728</v>
      </c>
      <c r="E775" s="1">
        <v>17258998.46749878</v>
      </c>
      <c r="F775" t="s">
        <v>1194</v>
      </c>
      <c r="G775" s="1">
        <v>1</v>
      </c>
      <c r="H775" t="s">
        <v>1112</v>
      </c>
    </row>
    <row r="776">
      <c r="A776" t="s">
        <v>1192</v>
      </c>
      <c r="B776" s="1">
        <v>0</v>
      </c>
      <c r="C776" t="s">
        <v>1082</v>
      </c>
      <c r="D776" s="1">
        <v>0.04575606502754628</v>
      </c>
      <c r="E776" s="1">
        <v>17258998.46749878</v>
      </c>
      <c r="F776" t="s">
        <v>1194</v>
      </c>
      <c r="G776" s="1">
        <v>1</v>
      </c>
      <c r="H776" t="s">
        <v>1112</v>
      </c>
    </row>
    <row r="777">
      <c r="A777" t="s">
        <v>1012</v>
      </c>
      <c r="B777" s="1">
        <v>0</v>
      </c>
      <c r="C777" t="s">
        <v>1078</v>
      </c>
      <c r="D777" s="1">
        <v>0.3811078</v>
      </c>
      <c r="E777" s="1">
        <v>17258998.46749878</v>
      </c>
      <c r="F777" t="s">
        <v>1097</v>
      </c>
      <c r="G777" s="1">
        <v>1</v>
      </c>
      <c r="H777" t="s">
        <v>1111</v>
      </c>
    </row>
    <row r="778">
      <c r="A778" t="s">
        <v>1013</v>
      </c>
      <c r="B778" s="1">
        <v>0</v>
      </c>
      <c r="C778" t="s">
        <v>1079</v>
      </c>
      <c r="D778" s="1">
        <v>0.2624297</v>
      </c>
      <c r="E778" s="1">
        <v>17258998.46749878</v>
      </c>
      <c r="F778" t="s">
        <v>1097</v>
      </c>
      <c r="G778" s="1">
        <v>1</v>
      </c>
      <c r="H778" t="s">
        <v>1111</v>
      </c>
    </row>
    <row r="779">
      <c r="A779" t="s">
        <v>1014</v>
      </c>
      <c r="B779" s="1">
        <v>0</v>
      </c>
      <c r="C779" t="s">
        <v>1080</v>
      </c>
      <c r="D779" s="1">
        <v>0.3711644464726578</v>
      </c>
      <c r="E779" s="1">
        <v>17258998.46749878</v>
      </c>
      <c r="F779" t="s">
        <v>1097</v>
      </c>
      <c r="G779" s="1">
        <v>1</v>
      </c>
      <c r="H779" t="s">
        <v>1112</v>
      </c>
    </row>
    <row r="780">
      <c r="A780" t="s">
        <v>1015</v>
      </c>
      <c r="B780" s="1">
        <v>0</v>
      </c>
      <c r="C780" t="s">
        <v>1081</v>
      </c>
      <c r="D780" s="1">
        <v>0.1095102086093253</v>
      </c>
      <c r="E780" s="1">
        <v>17258998.46749878</v>
      </c>
      <c r="F780" t="s">
        <v>1097</v>
      </c>
      <c r="G780" s="1">
        <v>1</v>
      </c>
      <c r="H780" t="s">
        <v>1112</v>
      </c>
    </row>
    <row r="781">
      <c r="A781" t="s">
        <v>1016</v>
      </c>
      <c r="B781" s="1">
        <v>0</v>
      </c>
      <c r="C781" t="s">
        <v>1082</v>
      </c>
      <c r="D781" s="1">
        <v>0.04513618859600928</v>
      </c>
      <c r="E781" s="1">
        <v>17258998.46749878</v>
      </c>
      <c r="F781" t="s">
        <v>1097</v>
      </c>
      <c r="G781" s="1">
        <v>1</v>
      </c>
      <c r="H781" t="s">
        <v>1112</v>
      </c>
    </row>
    <row r="782">
      <c r="A782" t="s">
        <v>1017</v>
      </c>
      <c r="B782" s="1">
        <v>0</v>
      </c>
      <c r="C782" t="s">
        <v>1078</v>
      </c>
      <c r="D782" s="1">
        <v>0.3778192</v>
      </c>
      <c r="E782" s="1">
        <v>17258998.46749878</v>
      </c>
      <c r="F782" t="s">
        <v>1098</v>
      </c>
      <c r="G782" s="1">
        <v>1</v>
      </c>
      <c r="H782" t="s">
        <v>1111</v>
      </c>
    </row>
    <row r="783">
      <c r="A783" t="s">
        <v>1018</v>
      </c>
      <c r="B783" s="1">
        <v>0</v>
      </c>
      <c r="C783" t="s">
        <v>1079</v>
      </c>
      <c r="D783" s="1">
        <v>0.2578121</v>
      </c>
      <c r="E783" s="1">
        <v>17258998.46749878</v>
      </c>
      <c r="F783" t="s">
        <v>1098</v>
      </c>
      <c r="G783" s="1">
        <v>1</v>
      </c>
      <c r="H783" t="s">
        <v>1111</v>
      </c>
    </row>
    <row r="784">
      <c r="A784" t="s">
        <v>1019</v>
      </c>
      <c r="B784" s="1">
        <v>0</v>
      </c>
      <c r="C784" t="s">
        <v>1080</v>
      </c>
      <c r="D784" s="1">
        <v>0.3864631250126405</v>
      </c>
      <c r="E784" s="1">
        <v>17258998.46749878</v>
      </c>
      <c r="F784" t="s">
        <v>1098</v>
      </c>
      <c r="G784" s="1">
        <v>1</v>
      </c>
      <c r="H784" t="s">
        <v>1112</v>
      </c>
    </row>
    <row r="785">
      <c r="A785" t="s">
        <v>1020</v>
      </c>
      <c r="B785" s="1">
        <v>0</v>
      </c>
      <c r="C785" t="s">
        <v>1081</v>
      </c>
      <c r="D785" s="1">
        <v>0.1140521071814289</v>
      </c>
      <c r="E785" s="1">
        <v>17258998.46749878</v>
      </c>
      <c r="F785" t="s">
        <v>1098</v>
      </c>
      <c r="G785" s="1">
        <v>1</v>
      </c>
      <c r="H785" t="s">
        <v>1112</v>
      </c>
    </row>
    <row r="786">
      <c r="A786" t="s">
        <v>1021</v>
      </c>
      <c r="B786" s="1">
        <v>0</v>
      </c>
      <c r="C786" t="s">
        <v>1082</v>
      </c>
      <c r="D786" s="1">
        <v>0.04716463740431422</v>
      </c>
      <c r="E786" s="1">
        <v>17258998.46749878</v>
      </c>
      <c r="F786" t="s">
        <v>1098</v>
      </c>
      <c r="G786" s="1">
        <v>1</v>
      </c>
      <c r="H786" t="s">
        <v>1112</v>
      </c>
    </row>
    <row r="787">
      <c r="A787" t="s">
        <v>1022</v>
      </c>
      <c r="B787" s="1">
        <v>0</v>
      </c>
      <c r="C787" t="s">
        <v>1078</v>
      </c>
      <c r="D787" s="1">
        <v>0.3817947</v>
      </c>
      <c r="E787" s="1">
        <v>17258998.46749878</v>
      </c>
      <c r="F787" t="s">
        <v>1099</v>
      </c>
      <c r="G787" s="1">
        <v>1</v>
      </c>
      <c r="H787" t="s">
        <v>1111</v>
      </c>
    </row>
    <row r="788">
      <c r="A788" t="s">
        <v>1023</v>
      </c>
      <c r="B788" s="1">
        <v>0</v>
      </c>
      <c r="C788" t="s">
        <v>1079</v>
      </c>
      <c r="D788" s="1">
        <v>0.2636294</v>
      </c>
      <c r="E788" s="1">
        <v>17258998.46749878</v>
      </c>
      <c r="F788" t="s">
        <v>1099</v>
      </c>
      <c r="G788" s="1">
        <v>1</v>
      </c>
      <c r="H788" t="s">
        <v>1111</v>
      </c>
    </row>
    <row r="789">
      <c r="A789" t="s">
        <v>1024</v>
      </c>
      <c r="B789" s="1">
        <v>0</v>
      </c>
      <c r="C789" t="s">
        <v>1080</v>
      </c>
      <c r="D789" s="1">
        <v>0.3702664439156122</v>
      </c>
      <c r="E789" s="1">
        <v>17258998.46749878</v>
      </c>
      <c r="F789" t="s">
        <v>1099</v>
      </c>
      <c r="G789" s="1">
        <v>1</v>
      </c>
      <c r="H789" t="s">
        <v>1112</v>
      </c>
    </row>
    <row r="790">
      <c r="A790" t="s">
        <v>1025</v>
      </c>
      <c r="B790" s="1">
        <v>0</v>
      </c>
      <c r="C790" t="s">
        <v>1081</v>
      </c>
      <c r="D790" s="1">
        <v>0.1091471333432967</v>
      </c>
      <c r="E790" s="1">
        <v>17258998.46749878</v>
      </c>
      <c r="F790" t="s">
        <v>1099</v>
      </c>
      <c r="G790" s="1">
        <v>1</v>
      </c>
      <c r="H790" t="s">
        <v>1112</v>
      </c>
    </row>
    <row r="791">
      <c r="A791" t="s">
        <v>1026</v>
      </c>
      <c r="B791" s="1">
        <v>0</v>
      </c>
      <c r="C791" t="s">
        <v>1082</v>
      </c>
      <c r="D791" s="1">
        <v>0.04496708874032105</v>
      </c>
      <c r="E791" s="1">
        <v>17258998.46749878</v>
      </c>
      <c r="F791" t="s">
        <v>1099</v>
      </c>
      <c r="G791" s="1">
        <v>1</v>
      </c>
      <c r="H791" t="s">
        <v>1112</v>
      </c>
    </row>
    <row r="792">
      <c r="A792" t="s">
        <v>1027</v>
      </c>
      <c r="B792" s="1">
        <v>0</v>
      </c>
      <c r="C792" t="s">
        <v>1080</v>
      </c>
      <c r="D792" s="1">
        <v>0.3849449895855693</v>
      </c>
      <c r="E792" s="1">
        <v>17258998.46749878</v>
      </c>
      <c r="F792" t="s">
        <v>1100</v>
      </c>
      <c r="G792" s="1">
        <v>1</v>
      </c>
      <c r="H792" t="s">
        <v>1112</v>
      </c>
    </row>
    <row r="793">
      <c r="A793" t="s">
        <v>1028</v>
      </c>
      <c r="B793" s="1">
        <v>0</v>
      </c>
      <c r="C793" t="s">
        <v>1081</v>
      </c>
      <c r="D793" s="1">
        <v>0.1136472713939958</v>
      </c>
      <c r="E793" s="1">
        <v>17258998.46749878</v>
      </c>
      <c r="F793" t="s">
        <v>1100</v>
      </c>
      <c r="G793" s="1">
        <v>1</v>
      </c>
      <c r="H793" t="s">
        <v>1112</v>
      </c>
    </row>
    <row r="794">
      <c r="A794" t="s">
        <v>1029</v>
      </c>
      <c r="B794" s="1">
        <v>0</v>
      </c>
      <c r="C794" t="s">
        <v>1082</v>
      </c>
      <c r="D794" s="1">
        <v>0.04697152250411911</v>
      </c>
      <c r="E794" s="1">
        <v>17258998.46749878</v>
      </c>
      <c r="F794" t="s">
        <v>1100</v>
      </c>
      <c r="G794" s="1">
        <v>1</v>
      </c>
      <c r="H794" t="s">
        <v>1112</v>
      </c>
    </row>
    <row r="795">
      <c r="A795" t="s">
        <v>1030</v>
      </c>
      <c r="B795" s="1">
        <v>0</v>
      </c>
      <c r="C795" t="s">
        <v>1078</v>
      </c>
      <c r="D795" s="1">
        <v>0.3783422</v>
      </c>
      <c r="E795" s="1">
        <v>17258998.46749878</v>
      </c>
      <c r="F795" t="s">
        <v>1101</v>
      </c>
      <c r="G795" s="1">
        <v>1</v>
      </c>
      <c r="H795" t="s">
        <v>1111</v>
      </c>
    </row>
    <row r="796">
      <c r="A796" t="s">
        <v>1031</v>
      </c>
      <c r="B796" s="1">
        <v>0</v>
      </c>
      <c r="C796" t="s">
        <v>1079</v>
      </c>
      <c r="D796" s="1">
        <v>0.2586425</v>
      </c>
      <c r="E796" s="1">
        <v>17258998.46749878</v>
      </c>
      <c r="F796" t="s">
        <v>1101</v>
      </c>
      <c r="G796" s="1">
        <v>1</v>
      </c>
      <c r="H796" t="s">
        <v>1111</v>
      </c>
    </row>
    <row r="797">
      <c r="A797" t="s">
        <v>1032</v>
      </c>
      <c r="B797" s="1">
        <v>0</v>
      </c>
      <c r="C797" t="s">
        <v>1080</v>
      </c>
      <c r="D797" s="1">
        <v>0.3851781971334184</v>
      </c>
      <c r="E797" s="1">
        <v>17258998.46749878</v>
      </c>
      <c r="F797" t="s">
        <v>1101</v>
      </c>
      <c r="G797" s="1">
        <v>1</v>
      </c>
      <c r="H797" t="s">
        <v>1112</v>
      </c>
    </row>
    <row r="798">
      <c r="A798" t="s">
        <v>1033</v>
      </c>
      <c r="B798" s="1">
        <v>0</v>
      </c>
      <c r="C798" t="s">
        <v>1081</v>
      </c>
      <c r="D798" s="1">
        <v>0.1136668582795537</v>
      </c>
      <c r="E798" s="1">
        <v>17258998.46749878</v>
      </c>
      <c r="F798" t="s">
        <v>1101</v>
      </c>
      <c r="G798" s="1">
        <v>1</v>
      </c>
      <c r="H798" t="s">
        <v>1112</v>
      </c>
    </row>
    <row r="799">
      <c r="A799" t="s">
        <v>1034</v>
      </c>
      <c r="B799" s="1">
        <v>0</v>
      </c>
      <c r="C799" t="s">
        <v>1082</v>
      </c>
      <c r="D799" s="1">
        <v>0.04698039663294609</v>
      </c>
      <c r="E799" s="1">
        <v>17258998.46749878</v>
      </c>
      <c r="F799" t="s">
        <v>1101</v>
      </c>
      <c r="G799" s="1">
        <v>1</v>
      </c>
      <c r="H799" t="s">
        <v>1112</v>
      </c>
    </row>
    <row r="800">
      <c r="A800" t="s">
        <v>1035</v>
      </c>
      <c r="B800" s="1">
        <v>0</v>
      </c>
      <c r="C800" t="s">
        <v>1078</v>
      </c>
      <c r="D800" s="1">
        <v>0.3779883</v>
      </c>
      <c r="E800" s="1">
        <v>17258998.46749878</v>
      </c>
      <c r="F800" t="s">
        <v>1102</v>
      </c>
      <c r="G800" s="1">
        <v>1</v>
      </c>
      <c r="H800" t="s">
        <v>1111</v>
      </c>
    </row>
    <row r="801">
      <c r="A801" t="s">
        <v>1036</v>
      </c>
      <c r="B801" s="1">
        <v>0</v>
      </c>
      <c r="C801" t="s">
        <v>1079</v>
      </c>
      <c r="D801" s="1">
        <v>0.2581816</v>
      </c>
      <c r="E801" s="1">
        <v>17258998.46749878</v>
      </c>
      <c r="F801" t="s">
        <v>1102</v>
      </c>
      <c r="G801" s="1">
        <v>1</v>
      </c>
      <c r="H801" t="s">
        <v>1111</v>
      </c>
    </row>
    <row r="802">
      <c r="A802" t="s">
        <v>1037</v>
      </c>
      <c r="B802" s="1">
        <v>0</v>
      </c>
      <c r="C802" t="s">
        <v>1080</v>
      </c>
      <c r="D802" s="1">
        <v>0.3862299174647914</v>
      </c>
      <c r="E802" s="1">
        <v>17258998.46749878</v>
      </c>
      <c r="F802" t="s">
        <v>1102</v>
      </c>
      <c r="G802" s="1">
        <v>1</v>
      </c>
      <c r="H802" t="s">
        <v>1112</v>
      </c>
    </row>
    <row r="803">
      <c r="A803" t="s">
        <v>1038</v>
      </c>
      <c r="B803" s="1">
        <v>0</v>
      </c>
      <c r="C803" t="s">
        <v>1081</v>
      </c>
      <c r="D803" s="1">
        <v>0.114032520295871</v>
      </c>
      <c r="E803" s="1">
        <v>17258998.46749878</v>
      </c>
      <c r="F803" t="s">
        <v>1102</v>
      </c>
      <c r="G803" s="1">
        <v>1</v>
      </c>
      <c r="H803" t="s">
        <v>1112</v>
      </c>
    </row>
    <row r="804">
      <c r="A804" t="s">
        <v>1039</v>
      </c>
      <c r="B804" s="1">
        <v>0</v>
      </c>
      <c r="C804" t="s">
        <v>1082</v>
      </c>
      <c r="D804" s="1">
        <v>0.04715571809937025</v>
      </c>
      <c r="E804" s="1">
        <v>17258998.46749878</v>
      </c>
      <c r="F804" t="s">
        <v>1102</v>
      </c>
      <c r="G804" s="1">
        <v>1</v>
      </c>
      <c r="H804" t="s">
        <v>1112</v>
      </c>
    </row>
    <row r="805">
      <c r="A805" t="s">
        <v>1040</v>
      </c>
      <c r="B805" s="1">
        <v>0</v>
      </c>
      <c r="C805" t="s">
        <v>1078</v>
      </c>
      <c r="D805" s="1">
        <v>0.3799306</v>
      </c>
      <c r="E805" s="1">
        <v>17258998.46749878</v>
      </c>
      <c r="F805" t="s">
        <v>1103</v>
      </c>
      <c r="G805" s="1">
        <v>1</v>
      </c>
      <c r="H805" t="s">
        <v>1111</v>
      </c>
    </row>
    <row r="806">
      <c r="A806" t="s">
        <v>1041</v>
      </c>
      <c r="B806" s="1">
        <v>0</v>
      </c>
      <c r="C806" t="s">
        <v>1079</v>
      </c>
      <c r="D806" s="1">
        <v>0.2610186</v>
      </c>
      <c r="E806" s="1">
        <v>17258998.46749878</v>
      </c>
      <c r="F806" t="s">
        <v>1103</v>
      </c>
      <c r="G806" s="1">
        <v>1</v>
      </c>
      <c r="H806" t="s">
        <v>1111</v>
      </c>
    </row>
    <row r="807">
      <c r="A807" t="s">
        <v>1042</v>
      </c>
      <c r="B807" s="1">
        <v>0</v>
      </c>
      <c r="C807" t="s">
        <v>1080</v>
      </c>
      <c r="D807" s="1">
        <v>0.3827601173123973</v>
      </c>
      <c r="E807" s="1">
        <v>17258998.46749878</v>
      </c>
      <c r="F807" t="s">
        <v>1103</v>
      </c>
      <c r="G807" s="1">
        <v>1</v>
      </c>
      <c r="H807" t="s">
        <v>1112</v>
      </c>
    </row>
    <row r="808">
      <c r="A808" t="s">
        <v>1043</v>
      </c>
      <c r="B808" s="1">
        <v>0</v>
      </c>
      <c r="C808" t="s">
        <v>1081</v>
      </c>
      <c r="D808" s="1">
        <v>0.1127077270857523</v>
      </c>
      <c r="E808" s="1">
        <v>17258998.46749878</v>
      </c>
      <c r="F808" t="s">
        <v>1103</v>
      </c>
      <c r="G808" s="1">
        <v>1</v>
      </c>
      <c r="H808" t="s">
        <v>1112</v>
      </c>
    </row>
    <row r="809">
      <c r="A809" t="s">
        <v>1044</v>
      </c>
      <c r="B809" s="1">
        <v>0</v>
      </c>
      <c r="C809" t="s">
        <v>1082</v>
      </c>
      <c r="D809" s="1">
        <v>0.04656595507789954</v>
      </c>
      <c r="E809" s="1">
        <v>17258998.46749878</v>
      </c>
      <c r="F809" t="s">
        <v>1103</v>
      </c>
      <c r="G809" s="1">
        <v>1</v>
      </c>
      <c r="H809" t="s">
        <v>1112</v>
      </c>
    </row>
    <row r="810">
      <c r="A810" t="s">
        <v>1045</v>
      </c>
      <c r="B810" s="1">
        <v>0</v>
      </c>
      <c r="C810" t="s">
        <v>1078</v>
      </c>
      <c r="D810" s="1">
        <v>0.3786856</v>
      </c>
      <c r="E810" s="1">
        <v>17258998.46749878</v>
      </c>
      <c r="F810" t="s">
        <v>1104</v>
      </c>
      <c r="G810" s="1">
        <v>1</v>
      </c>
      <c r="H810" t="s">
        <v>1111</v>
      </c>
    </row>
    <row r="811">
      <c r="A811" t="s">
        <v>1046</v>
      </c>
      <c r="B811" s="1">
        <v>0</v>
      </c>
      <c r="C811" t="s">
        <v>1079</v>
      </c>
      <c r="D811" s="1">
        <v>0.2592297</v>
      </c>
      <c r="E811" s="1">
        <v>17258998.46749878</v>
      </c>
      <c r="F811" t="s">
        <v>1104</v>
      </c>
      <c r="G811" s="1">
        <v>1</v>
      </c>
      <c r="H811" t="s">
        <v>1111</v>
      </c>
    </row>
    <row r="812">
      <c r="A812" t="s">
        <v>1047</v>
      </c>
      <c r="B812" s="1">
        <v>0</v>
      </c>
      <c r="C812" t="s">
        <v>1080</v>
      </c>
      <c r="D812" s="1">
        <v>0.3805007664685522</v>
      </c>
      <c r="E812" s="1">
        <v>17258998.46749878</v>
      </c>
      <c r="F812" t="s">
        <v>1104</v>
      </c>
      <c r="G812" s="1">
        <v>1</v>
      </c>
      <c r="H812" t="s">
        <v>1112</v>
      </c>
    </row>
    <row r="813">
      <c r="A813" t="s">
        <v>1048</v>
      </c>
      <c r="B813" s="1">
        <v>0</v>
      </c>
      <c r="C813" t="s">
        <v>1081</v>
      </c>
      <c r="D813" s="1">
        <v>0.1118751835049593</v>
      </c>
      <c r="E813" s="1">
        <v>17258998.46749878</v>
      </c>
      <c r="F813" t="s">
        <v>1104</v>
      </c>
      <c r="G813" s="1">
        <v>1</v>
      </c>
      <c r="H813" t="s">
        <v>1112</v>
      </c>
    </row>
    <row r="814">
      <c r="A814" t="s">
        <v>1049</v>
      </c>
      <c r="B814" s="1">
        <v>0</v>
      </c>
      <c r="C814" t="s">
        <v>1082</v>
      </c>
      <c r="D814" s="1">
        <v>0.04612933659318427</v>
      </c>
      <c r="E814" s="1">
        <v>17258998.46749878</v>
      </c>
      <c r="F814" t="s">
        <v>1104</v>
      </c>
      <c r="G814" s="1">
        <v>1</v>
      </c>
      <c r="H814" t="s">
        <v>1112</v>
      </c>
    </row>
    <row r="815">
      <c r="A815" t="s">
        <v>1050</v>
      </c>
      <c r="B815" s="1">
        <v>0</v>
      </c>
      <c r="C815" t="s">
        <v>1078</v>
      </c>
      <c r="D815" s="1">
        <v>0.3800953</v>
      </c>
      <c r="E815" s="1">
        <v>17258998.46749878</v>
      </c>
      <c r="F815" t="s">
        <v>1105</v>
      </c>
      <c r="G815" s="1">
        <v>1</v>
      </c>
      <c r="H815" t="s">
        <v>1111</v>
      </c>
    </row>
    <row r="816">
      <c r="A816" t="s">
        <v>1051</v>
      </c>
      <c r="B816" s="1">
        <v>0</v>
      </c>
      <c r="C816" t="s">
        <v>1079</v>
      </c>
      <c r="D816" s="1">
        <v>0.2612231</v>
      </c>
      <c r="E816" s="1">
        <v>17258998.46749878</v>
      </c>
      <c r="F816" t="s">
        <v>1105</v>
      </c>
      <c r="G816" s="1">
        <v>1</v>
      </c>
      <c r="H816" t="s">
        <v>1111</v>
      </c>
    </row>
    <row r="817">
      <c r="A817" t="s">
        <v>1052</v>
      </c>
      <c r="B817" s="1">
        <v>0</v>
      </c>
      <c r="C817" t="s">
        <v>1080</v>
      </c>
      <c r="D817" s="1">
        <v>0.3774711354011595</v>
      </c>
      <c r="E817" s="1">
        <v>17258998.46749878</v>
      </c>
      <c r="F817" t="s">
        <v>1105</v>
      </c>
      <c r="G817" s="1">
        <v>1</v>
      </c>
      <c r="H817" t="s">
        <v>1112</v>
      </c>
    </row>
    <row r="818">
      <c r="A818" t="s">
        <v>1053</v>
      </c>
      <c r="B818" s="1">
        <v>0</v>
      </c>
      <c r="C818" t="s">
        <v>1081</v>
      </c>
      <c r="D818" s="1">
        <v>0.1109553343167521</v>
      </c>
      <c r="E818" s="1">
        <v>17258998.46749878</v>
      </c>
      <c r="F818" t="s">
        <v>1105</v>
      </c>
      <c r="G818" s="1">
        <v>1</v>
      </c>
      <c r="H818" t="s">
        <v>1112</v>
      </c>
    </row>
    <row r="819">
      <c r="A819" t="s">
        <v>1054</v>
      </c>
      <c r="B819" s="1">
        <v>0</v>
      </c>
      <c r="C819" t="s">
        <v>1082</v>
      </c>
      <c r="D819" s="1">
        <v>0.04573421248885469</v>
      </c>
      <c r="E819" s="1">
        <v>17258998.46749878</v>
      </c>
      <c r="F819" t="s">
        <v>1105</v>
      </c>
      <c r="G819" s="1">
        <v>1</v>
      </c>
      <c r="H819" t="s">
        <v>1112</v>
      </c>
    </row>
    <row r="820">
      <c r="A820" t="s">
        <v>1055</v>
      </c>
      <c r="B820" s="1">
        <v>0</v>
      </c>
      <c r="C820" t="s">
        <v>1078</v>
      </c>
      <c r="D820" s="1">
        <v>0.3801963</v>
      </c>
      <c r="E820" s="1">
        <v>17258998.46749878</v>
      </c>
      <c r="F820" t="s">
        <v>1106</v>
      </c>
      <c r="G820" s="1">
        <v>1</v>
      </c>
      <c r="H820" t="s">
        <v>1111</v>
      </c>
    </row>
    <row r="821">
      <c r="A821" t="s">
        <v>1056</v>
      </c>
      <c r="B821" s="1">
        <v>0</v>
      </c>
      <c r="C821" t="s">
        <v>1079</v>
      </c>
      <c r="D821" s="1">
        <v>0.2613972</v>
      </c>
      <c r="E821" s="1">
        <v>17258998.46749878</v>
      </c>
      <c r="F821" t="s">
        <v>1106</v>
      </c>
      <c r="G821" s="1">
        <v>1</v>
      </c>
      <c r="H821" t="s">
        <v>1111</v>
      </c>
    </row>
    <row r="822">
      <c r="A822" t="s">
        <v>1057</v>
      </c>
      <c r="B822" s="1">
        <v>0</v>
      </c>
      <c r="C822" t="s">
        <v>1080</v>
      </c>
      <c r="D822" s="1">
        <v>0.3811698836276071</v>
      </c>
      <c r="E822" s="1">
        <v>17258998.46749878</v>
      </c>
      <c r="F822" t="s">
        <v>1106</v>
      </c>
      <c r="G822" s="1">
        <v>1</v>
      </c>
      <c r="H822" t="s">
        <v>1112</v>
      </c>
    </row>
    <row r="823">
      <c r="A823" t="s">
        <v>1058</v>
      </c>
      <c r="B823" s="1">
        <v>0</v>
      </c>
      <c r="C823" t="s">
        <v>1081</v>
      </c>
      <c r="D823" s="1">
        <v>0.1123240752645337</v>
      </c>
      <c r="E823" s="1">
        <v>17258998.46749878</v>
      </c>
      <c r="F823" t="s">
        <v>1106</v>
      </c>
      <c r="G823" s="1">
        <v>1</v>
      </c>
      <c r="H823" t="s">
        <v>1112</v>
      </c>
    </row>
    <row r="824">
      <c r="A824" t="s">
        <v>1059</v>
      </c>
      <c r="B824" s="1">
        <v>0</v>
      </c>
      <c r="C824" t="s">
        <v>1082</v>
      </c>
      <c r="D824" s="1">
        <v>0.04644580539995102</v>
      </c>
      <c r="E824" s="1">
        <v>17258998.46749878</v>
      </c>
      <c r="F824" t="s">
        <v>1106</v>
      </c>
      <c r="G824" s="1">
        <v>1</v>
      </c>
      <c r="H824" t="s">
        <v>1112</v>
      </c>
    </row>
    <row r="825">
      <c r="A825" t="s">
        <v>1060</v>
      </c>
      <c r="B825" s="1">
        <v>0</v>
      </c>
      <c r="C825" t="s">
        <v>1078</v>
      </c>
      <c r="D825" s="1">
        <v>0.3785709</v>
      </c>
      <c r="E825" s="1">
        <v>17258998.46749878</v>
      </c>
      <c r="F825" t="s">
        <v>1107</v>
      </c>
      <c r="G825" s="1">
        <v>1</v>
      </c>
      <c r="H825" t="s">
        <v>1111</v>
      </c>
    </row>
    <row r="826">
      <c r="A826" t="s">
        <v>1061</v>
      </c>
      <c r="B826" s="1">
        <v>0</v>
      </c>
      <c r="C826" t="s">
        <v>1079</v>
      </c>
      <c r="D826" s="1">
        <v>0.2590894</v>
      </c>
      <c r="E826" s="1">
        <v>17258998.46749878</v>
      </c>
      <c r="F826" t="s">
        <v>1107</v>
      </c>
      <c r="G826" s="1">
        <v>1</v>
      </c>
      <c r="H826" t="s">
        <v>1111</v>
      </c>
    </row>
    <row r="827">
      <c r="A827" t="s">
        <v>1062</v>
      </c>
      <c r="B827" s="1">
        <v>0</v>
      </c>
      <c r="C827" t="s">
        <v>1080</v>
      </c>
      <c r="D827" s="1">
        <v>0.3824811201458474</v>
      </c>
      <c r="E827" s="1">
        <v>17258998.46749878</v>
      </c>
      <c r="F827" t="s">
        <v>1107</v>
      </c>
      <c r="G827" s="1">
        <v>1</v>
      </c>
      <c r="H827" t="s">
        <v>1112</v>
      </c>
    </row>
    <row r="828">
      <c r="A828" t="s">
        <v>1063</v>
      </c>
      <c r="B828" s="1">
        <v>0</v>
      </c>
      <c r="C828" t="s">
        <v>1081</v>
      </c>
      <c r="D828" s="1">
        <v>0.1130680706437068</v>
      </c>
      <c r="E828" s="1">
        <v>17258998.46749878</v>
      </c>
      <c r="F828" t="s">
        <v>1107</v>
      </c>
      <c r="G828" s="1">
        <v>1</v>
      </c>
      <c r="H828" t="s">
        <v>1112</v>
      </c>
    </row>
    <row r="829">
      <c r="A829" t="s">
        <v>1064</v>
      </c>
      <c r="B829" s="1">
        <v>0</v>
      </c>
      <c r="C829" t="s">
        <v>1082</v>
      </c>
      <c r="D829" s="1">
        <v>0.04669281718639064</v>
      </c>
      <c r="E829" s="1">
        <v>17258998.46749878</v>
      </c>
      <c r="F829" t="s">
        <v>1107</v>
      </c>
      <c r="G829" s="1">
        <v>1</v>
      </c>
      <c r="H829" t="s">
        <v>1112</v>
      </c>
    </row>
    <row r="830">
      <c r="A830" t="s">
        <v>1065</v>
      </c>
      <c r="B830" s="1">
        <v>0</v>
      </c>
      <c r="C830" t="s">
        <v>1078</v>
      </c>
      <c r="D830" s="1">
        <v>0.3802518</v>
      </c>
      <c r="E830" s="1">
        <v>17258998.46749878</v>
      </c>
      <c r="F830" t="s">
        <v>1108</v>
      </c>
      <c r="G830" s="1">
        <v>1</v>
      </c>
      <c r="H830" t="s">
        <v>1111</v>
      </c>
    </row>
    <row r="831">
      <c r="A831" t="s">
        <v>1066</v>
      </c>
      <c r="B831" s="1">
        <v>0</v>
      </c>
      <c r="C831" t="s">
        <v>1079</v>
      </c>
      <c r="D831" s="1">
        <v>0.2614691</v>
      </c>
      <c r="E831" s="1">
        <v>17258998.46749878</v>
      </c>
      <c r="F831" t="s">
        <v>1108</v>
      </c>
      <c r="G831" s="1">
        <v>1</v>
      </c>
      <c r="H831" t="s">
        <v>1111</v>
      </c>
    </row>
    <row r="832">
      <c r="A832" t="s">
        <v>1067</v>
      </c>
      <c r="B832" s="1">
        <v>0</v>
      </c>
      <c r="C832" t="s">
        <v>1080</v>
      </c>
      <c r="D832" s="1">
        <v>0.3786793923294596</v>
      </c>
      <c r="E832" s="1">
        <v>17258998.46749878</v>
      </c>
      <c r="F832" t="s">
        <v>1108</v>
      </c>
      <c r="G832" s="1">
        <v>1</v>
      </c>
      <c r="H832" t="s">
        <v>1112</v>
      </c>
    </row>
    <row r="833">
      <c r="A833" t="s">
        <v>1068</v>
      </c>
      <c r="B833" s="1">
        <v>0</v>
      </c>
      <c r="C833" t="s">
        <v>1081</v>
      </c>
      <c r="D833" s="1">
        <v>0.1117533118462847</v>
      </c>
      <c r="E833" s="1">
        <v>17258998.46749878</v>
      </c>
      <c r="F833" t="s">
        <v>1108</v>
      </c>
      <c r="G833" s="1">
        <v>1</v>
      </c>
      <c r="H833" t="s">
        <v>1112</v>
      </c>
    </row>
    <row r="834">
      <c r="A834" t="s">
        <v>1069</v>
      </c>
      <c r="B834" s="1">
        <v>0</v>
      </c>
      <c r="C834" t="s">
        <v>1082</v>
      </c>
      <c r="D834" s="1">
        <v>0.04617157289128086</v>
      </c>
      <c r="E834" s="1">
        <v>17258998.46749878</v>
      </c>
      <c r="F834" t="s">
        <v>1108</v>
      </c>
      <c r="G834" s="1">
        <v>1</v>
      </c>
      <c r="H834" t="s">
        <v>1112</v>
      </c>
    </row>
  </sheetData>
  <autoFilter ref="A1:H834">
    <filterColumn colId="5">
      <filters>
        <filter val="subsidy_mp_pc"/>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Electricity -BaU Reform</vt:lpstr>
      <vt:lpstr>Carburants - BaU Reform</vt:lpstr>
      <vt:lpstr>Fuels_pmts_info</vt:lpstr>
      <vt:lpstr>elec_pmts_info</vt:lpstr>
      <vt:lpstr>labels</vt:lpstr>
      <vt:lpstr>single_policy</vt:lpstr>
      <vt:lpstr>policies</vt:lpstr>
      <vt:lpstr>Branches_Dist</vt:lpstr>
      <vt:lpstr>Elec_Coverage</vt:lpstr>
      <vt:lpstr>Elec_RI</vt:lpstr>
      <vt:lpstr>Elec_RI_Con</vt:lpstr>
      <vt:lpstr>Elec_AI</vt:lpstr>
      <vt:lpstr>Fuels_Coverage</vt:lpstr>
      <vt:lpstr>Fuels_RI</vt:lpstr>
      <vt:lpstr>Fuels_RI_Con</vt:lpstr>
      <vt:lpstr>Fuels_AI</vt:lpstr>
      <vt:lpstr>Total_RI</vt:lpstr>
      <vt:lpstr>Total_AI</vt:lpstr>
      <vt:lpstr>Marginal Contributions</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Valderrama Gonzalez</cp:lastModifiedBy>
  <dcterms:created xsi:type="dcterms:W3CDTF">2023-01-18T21:08:29Z</dcterms:created>
  <dcterms:modified xsi:type="dcterms:W3CDTF">2023-02-10T19:57:31Z</dcterms:modified>
</cp:coreProperties>
</file>