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<sst xmlns="http://schemas.openxmlformats.org/spreadsheetml/2006/main" count="33789" uniqueCount="12732">
  <si>
    <t>ANNEE ACADEMIQUE</t>
  </si>
  <si>
    <t>MATRICULE</t>
  </si>
  <si>
    <t>NOM</t>
  </si>
  <si>
    <t>PRENOMS</t>
  </si>
  <si>
    <t>DATE DE NAISSANCE</t>
  </si>
  <si>
    <t>FILIERE</t>
  </si>
  <si>
    <t>NIVEAU</t>
  </si>
  <si>
    <t>CYCLE</t>
  </si>
  <si>
    <t>CONTACT 1</t>
  </si>
  <si>
    <t>CONTACT 2</t>
  </si>
  <si>
    <t>CARTE</t>
  </si>
  <si>
    <t>URL</t>
  </si>
  <si>
    <t>2023 - 2024</t>
  </si>
  <si>
    <t>ABAM1402050001</t>
  </si>
  <si>
    <t>ABAH</t>
  </si>
  <si>
    <t>M'PIGUE CLAIRE YVONNE EMMANUELLA</t>
  </si>
  <si>
    <t>SCIENCES DE L'INFORMATION ET DE LA COMMUNICATION</t>
  </si>
  <si>
    <t>LICENCE 2</t>
  </si>
  <si>
    <t>LICENCE</t>
  </si>
  <si>
    <t>NON</t>
  </si>
  <si>
    <t>https://myiipea.com/media/etudiant/photo/WhatsApp_Image_2023-09-26_at_11.24.45.jpeg</t>
  </si>
  <si>
    <t>ABAD2010050001</t>
  </si>
  <si>
    <t>ABANI</t>
  </si>
  <si>
    <t>DADIE AUDREY JEAN-YANNICK</t>
  </si>
  <si>
    <t>ANGLAIS</t>
  </si>
  <si>
    <t>LICENCE 1</t>
  </si>
  <si>
    <t>https://myiipea.com/media/etudiant/photo/WhatsApp_Image_2023-10-11_at_6.29.20_PM.jpeg</t>
  </si>
  <si>
    <t>ABDN0208000001</t>
  </si>
  <si>
    <t>ABDALLAH</t>
  </si>
  <si>
    <t>NADHUFANE</t>
  </si>
  <si>
    <t>INFORMATIQUE ET DEVELOPPEMENT D'APPLICATION</t>
  </si>
  <si>
    <t>BTS 2</t>
  </si>
  <si>
    <t>BTS</t>
  </si>
  <si>
    <t>https://myiipea.com/media/etudiant/photo/WhatsApp_Image_2023-12-01_at_4_resized_vZvBgAZ_resized.png</t>
  </si>
  <si>
    <t>ABDN1512000001</t>
  </si>
  <si>
    <t>ABDEL</t>
  </si>
  <si>
    <t>NABI SOUADE SAMIR</t>
  </si>
  <si>
    <t>GESTION DES RESSOURCES HUMAINES</t>
  </si>
  <si>
    <t>MASTER 1</t>
  </si>
  <si>
    <t>MASTER</t>
  </si>
  <si>
    <t>https://myiipea.com/media/etudiant/photo/WhatsApp_Image_2023-10-18_at_11.08.38.jpeg</t>
  </si>
  <si>
    <t>ABDS0204040001</t>
  </si>
  <si>
    <t>ABDEL SATER</t>
  </si>
  <si>
    <t>MARIE-DAVIDA AMAL</t>
  </si>
  <si>
    <t>https://myiipea.com/media/etudiant/photo/WhatsApp_Image_2023-10-23_at_11.12.47.jpeg</t>
  </si>
  <si>
    <t>ABDM0709020001</t>
  </si>
  <si>
    <t>ABDO</t>
  </si>
  <si>
    <t>MIJANATOU</t>
  </si>
  <si>
    <t>FINANCE COMPTABILITE ET GESTION D'ENTREPRISE</t>
  </si>
  <si>
    <t>https://myiipea.com/media/etudiant/photo/WhatsApp_Image_2023-09-29_at_14.39.47.jpeg</t>
  </si>
  <si>
    <t>ABIY2410040001</t>
  </si>
  <si>
    <t>ABIOH</t>
  </si>
  <si>
    <t>YANN ARNOLD XAVIER</t>
  </si>
  <si>
    <t>SCIENCES ECONOMIQUE ET DE GESTION</t>
  </si>
  <si>
    <t>https://myiipea.com/media/etudiant/photo/WhatsApp_Image_2023-10-13_at_14.57.04.jpeg</t>
  </si>
  <si>
    <t>ABID2706050001</t>
  </si>
  <si>
    <t>ABIYOU</t>
  </si>
  <si>
    <t>DEUH MARIE PRISCILLE VICTOIRE</t>
  </si>
  <si>
    <t>https://myiipea.com/media/etudiant/photo/WhatsApp_Image_2023-09-28_at_14.25.27.jpeg</t>
  </si>
  <si>
    <t>ABLL2110040001</t>
  </si>
  <si>
    <t>ABLE</t>
  </si>
  <si>
    <t>ABLE LAFISSOUE MARIE-ANNE EVODIE</t>
  </si>
  <si>
    <t>SCIENCES JURIDIQUES</t>
  </si>
  <si>
    <t>https://myiipea.com/media/etudiant/photo/IIPEA_2sKv3Ao.png</t>
  </si>
  <si>
    <t>ABLA0305050001</t>
  </si>
  <si>
    <t>AKOUASSO AGNES YACIMIN</t>
  </si>
  <si>
    <t>https://myiipea.com/media/etudiant/photo/WhatsApp_Image_2023-09-22_at_11.59.32.jpeg</t>
  </si>
  <si>
    <t>ABOK0301020001</t>
  </si>
  <si>
    <t>ABOH</t>
  </si>
  <si>
    <t>KAKOU JUNIOR</t>
  </si>
  <si>
    <t>MINE GEOLOGIE PETROLE</t>
  </si>
  <si>
    <t>https://myiipea.com/media/etudiant/photo/WhatsApp_Image_2023-11-07_at_09.28.19.jpeg</t>
  </si>
  <si>
    <t>ABOA0307030001</t>
  </si>
  <si>
    <t>ABONOU</t>
  </si>
  <si>
    <t>APO SARAH</t>
  </si>
  <si>
    <t>TOURISME HÔTELLERIE</t>
  </si>
  <si>
    <t>BTS 1</t>
  </si>
  <si>
    <t>https://myiipea.com/media/etudiant/photo/WhatsApp_Image_2023-10-06_at_13.10.52.jpeg</t>
  </si>
  <si>
    <t>ABOA1712000001</t>
  </si>
  <si>
    <t>ABOTCHA</t>
  </si>
  <si>
    <t>AKEBIE ANGE CHRISTELLE</t>
  </si>
  <si>
    <t>FINANCE BANQUE ASSURANCE</t>
  </si>
  <si>
    <t>LICENCE 3</t>
  </si>
  <si>
    <t>https://myiipea.com/media/etudiant/photo/WhatsApp_Image_2023-09-28_at_18.37.48.jpeg</t>
  </si>
  <si>
    <t>ABOS1510060002</t>
  </si>
  <si>
    <t>ABOTTI</t>
  </si>
  <si>
    <t>SCHEILA ESTER</t>
  </si>
  <si>
    <t>ASSISTANAT DE DIRECTION</t>
  </si>
  <si>
    <t>https://myiipea.com/media/etudiant/photo/WhatsApp_Image_2023-11-17_at_3.08.59_PM.jpeg</t>
  </si>
  <si>
    <t>ABOK1709040001</t>
  </si>
  <si>
    <t>ABOU</t>
  </si>
  <si>
    <t>KEVIN JORDAN ASSOUAN JUNIOR</t>
  </si>
  <si>
    <t>TRANSPORT LOGISTIQUE</t>
  </si>
  <si>
    <t>https://myiipea.com/media/etudiant/photo/WhatsApp_Image_2023-09-28_at_17.39.58.jpeg</t>
  </si>
  <si>
    <t>ABOA2009040001</t>
  </si>
  <si>
    <t>ABOUA</t>
  </si>
  <si>
    <t>AKISSI RUTH ROXANE</t>
  </si>
  <si>
    <t>SCIENCES ECONOMIQUE ET DE GESTION OPTION ECONOMIE</t>
  </si>
  <si>
    <t>https://myiipea.com/media/etudiant/photo/WhatsApp_Image_2023-11-06_at_17.59.10.jpeg</t>
  </si>
  <si>
    <t>ABOA2912030001</t>
  </si>
  <si>
    <t>APO CLEMENTINE EMMANUELLA</t>
  </si>
  <si>
    <t>RESSOURCES HUMAINES ET COMMUNICATIONS</t>
  </si>
  <si>
    <t>https://myiipea.com/media/etudiant/photo/WhatsApp_Image_2023-10-19_at_17.12.14.jpeg</t>
  </si>
  <si>
    <t>ABOM1406020001</t>
  </si>
  <si>
    <t>ABOUBAKAR</t>
  </si>
  <si>
    <t>MARIAM GARBA ADJOKE</t>
  </si>
  <si>
    <t>https://myiipea.com/media/etudiant/photo/WhatsApp_Image_2023-09-20_at_11.57.33.jpeg</t>
  </si>
  <si>
    <t>ABOA0404040001</t>
  </si>
  <si>
    <t>ABOUDOU</t>
  </si>
  <si>
    <t>ABOU IKMATH</t>
  </si>
  <si>
    <t>SCIENCES JURIDIQUES OPTION DROIT PRIVE</t>
  </si>
  <si>
    <t>https://myiipea.com/media/etudiant/photo/WhatsApp_Image_2023-10-23_at_16.30.41_1.jpeg</t>
  </si>
  <si>
    <t>ABOA2812040001</t>
  </si>
  <si>
    <t>ABOULAYE</t>
  </si>
  <si>
    <t>AKOUA EMMA</t>
  </si>
  <si>
    <t>https://myiipea.com/media/etudiant/photo/WhatsApp_Image_2023-10-14_at_08.40.13.jpeg</t>
  </si>
  <si>
    <t>ABOA2312990001</t>
  </si>
  <si>
    <t>ABOUT</t>
  </si>
  <si>
    <t>ASSAMOI WILFRIED</t>
  </si>
  <si>
    <t>https://myiipea.com/media/etudiant/photo/WhatsApp_Image_2023-10-03_at_11.14.56_AM_24ovwow.jpeg</t>
  </si>
  <si>
    <t>ABOA0507050001</t>
  </si>
  <si>
    <t>ABOYA</t>
  </si>
  <si>
    <t>ADJE PRINCE KARL</t>
  </si>
  <si>
    <t>https://myiipea.com/media/etudiant/photo/WhatsApp_Image_2023-10-10_at_13.37.10.jpeg</t>
  </si>
  <si>
    <t>ABOO2808050001</t>
  </si>
  <si>
    <t>OI ABOYA GEORGES BENSON</t>
  </si>
  <si>
    <t>https://myiipea.com/media/etudiant/photo/WhatsApp_Image_2023-10-06_at_10.47.33.jpeg</t>
  </si>
  <si>
    <t>ABRA2302060001</t>
  </si>
  <si>
    <t>ABRE</t>
  </si>
  <si>
    <t>ALIKA MARIE-DORIANE</t>
  </si>
  <si>
    <t>https://myiipea.com/media/etudiant/photo/WhatsApp_Image_2023-09-26_at_11.03.23.jpeg</t>
  </si>
  <si>
    <t>ABRY1111040001</t>
  </si>
  <si>
    <t>ABRO</t>
  </si>
  <si>
    <t>YOUA ALICE MARILYNE OCEANE</t>
  </si>
  <si>
    <t>https://myiipea.com/media/etudiant/photo/WhatsApp_Image_2023-10-03_at_15.17.59.jpeg</t>
  </si>
  <si>
    <t>ABUR0409030001</t>
  </si>
  <si>
    <t>ABUBAKARY</t>
  </si>
  <si>
    <t>RIDONE</t>
  </si>
  <si>
    <t>GESTION COMMERCIALE</t>
  </si>
  <si>
    <t>https://myiipea.com/media/etudiant/photo/WhatsApp_Image_2023-10-16_at_15.30.12.jpeg</t>
  </si>
  <si>
    <t>ACHC0209860001</t>
  </si>
  <si>
    <t>ACHIE</t>
  </si>
  <si>
    <t>CHIA CAROLE</t>
  </si>
  <si>
    <t>https://myiipea.com/media/etudiant/photo/WhatsApp_Image_2023-11-10_at_09.59.50.jpeg</t>
  </si>
  <si>
    <t>ACHR2511050001</t>
  </si>
  <si>
    <t>ACHIEPO</t>
  </si>
  <si>
    <t>CHOT RACHEL EMMA ELISABETH RAMIA</t>
  </si>
  <si>
    <t>SOCIOLOGIE ET ETHNOLOGIE</t>
  </si>
  <si>
    <t>https://myiipea.com/media/etudiant/photo/WhatsApp_Image_2023-10-24_at_09.44.22.jpeg</t>
  </si>
  <si>
    <t>ACKE1010040001</t>
  </si>
  <si>
    <t>ACKA</t>
  </si>
  <si>
    <t>EDJA PEGGY CHRIST-ELISE</t>
  </si>
  <si>
    <t>https://myiipea.com/media/etudiant/photo/WhatsApp_Image_2023-10-05_at_11.38.37_AM.jpeg</t>
  </si>
  <si>
    <t>ACKM0805060001</t>
  </si>
  <si>
    <t>MITEME YANN AYMAR</t>
  </si>
  <si>
    <t>GENIE CIVIL OPTION BATIMENT</t>
  </si>
  <si>
    <t>https://myiipea.com/media/etudiant/photo/WhatsApp_Image_2023-10-05_at_12.04.46.jpeg</t>
  </si>
  <si>
    <t>ACKP0607030001</t>
  </si>
  <si>
    <t>PAUL ORIANE EMMANUELLA AKOUBA</t>
  </si>
  <si>
    <t>https://myiipea.com/media/etudiant/photo/WhatsApp_Image_2023-11-24_at_11.05.08.jpeg</t>
  </si>
  <si>
    <t>ACOJ0803050001</t>
  </si>
  <si>
    <t>ACOLATSE</t>
  </si>
  <si>
    <t>JEANNE-ARIELLE</t>
  </si>
  <si>
    <t>https://myiipea.com/media/etudiant/photo/WhatsApp_Image_2023-09-22_at_14.47.44.jpeg</t>
  </si>
  <si>
    <t>ADAB2306990001</t>
  </si>
  <si>
    <t>ADA</t>
  </si>
  <si>
    <t>BESSIKOI ELISABETH AUDREY</t>
  </si>
  <si>
    <t>LETTRES MODERNES</t>
  </si>
  <si>
    <t>https://myiipea.com/media/etudiant/photo/WhatsApp_Image_2023-11-20_at_5.13.34_PM.jpeg</t>
  </si>
  <si>
    <t>ADAE1909030001</t>
  </si>
  <si>
    <t>ADAGBA</t>
  </si>
  <si>
    <t>EDNA FLORE OLIVIA</t>
  </si>
  <si>
    <t>https://myiipea.com/media/etudiant/photo/WhatsApp_Image_2023-10-04_at_15.21.44.jpeg</t>
  </si>
  <si>
    <t>ADAA2608040001</t>
  </si>
  <si>
    <t>ADAMOU</t>
  </si>
  <si>
    <t>AMINATOU</t>
  </si>
  <si>
    <t>https://myiipea.com/media/etudiant/photo/WhatsApp_Image_2023-09-29_at_08.45.55.jpeg</t>
  </si>
  <si>
    <t>ADAF1712050004</t>
  </si>
  <si>
    <t>FATOUMATA</t>
  </si>
  <si>
    <t>https://myiipea.com/media/etudiant/photo/WhatsApp_Image_2023-09-18_at_16.47.25.jpeg</t>
  </si>
  <si>
    <t>ADAI2010000002</t>
  </si>
  <si>
    <t>ISMAEL</t>
  </si>
  <si>
    <t>MARKETING MANAGEMENT</t>
  </si>
  <si>
    <t>https://myiipea.com/media/etudiant/photo/WhatsApp_Image_2023-10-16_at_11.31.05_o0jAiRQ.jpeg</t>
  </si>
  <si>
    <t>ADAA2707050001</t>
  </si>
  <si>
    <t>ADANDOGOU</t>
  </si>
  <si>
    <t>AHOSSI MARIE SUZANNE</t>
  </si>
  <si>
    <t>https://myiipea.com/media/etudiant/photo/WhatsApp_Image_2023-11-27_at_1.23.41_PM.jpeg</t>
  </si>
  <si>
    <t>ADAY0102020001</t>
  </si>
  <si>
    <t>YAO ANGE</t>
  </si>
  <si>
    <t>https://myiipea.com/media/etudiant/photo/WhatsApp_Image_2023-11-22_at_11.40.45.jpeg</t>
  </si>
  <si>
    <t>ADAA0505040001</t>
  </si>
  <si>
    <t>ADANGBA</t>
  </si>
  <si>
    <t>APKANE HELENE RAYMONDE</t>
  </si>
  <si>
    <t>https://myiipea.com/media/etudiant/photo/WhatsApp_Image_2023-09-26_at_10.38.37.jpeg</t>
  </si>
  <si>
    <t>ADEB2406000002</t>
  </si>
  <si>
    <t>ADE</t>
  </si>
  <si>
    <t>BROU FLEUR SEVERINE</t>
  </si>
  <si>
    <t>https://myiipea.com/media/etudiant/photo/WhatsApp_Image_2023-10-05_at_18.23.16.jpeg</t>
  </si>
  <si>
    <t>ADEF1606040001</t>
  </si>
  <si>
    <t>ADEBAYO</t>
  </si>
  <si>
    <t>FATIA ADETOMIWA</t>
  </si>
  <si>
    <t>https://myiipea.com/media/etudiant/photo/WhatsApp_Image_2023-10-13_at_14.47.39.jpeg</t>
  </si>
  <si>
    <t>ADEJ1102060001</t>
  </si>
  <si>
    <t>ADEDEJI</t>
  </si>
  <si>
    <t>JOSE</t>
  </si>
  <si>
    <t>https://myiipea.com/media/etudiant/photo/WhatsApp_Image_2023-10-17_at_12.33.12_PM.jpeg</t>
  </si>
  <si>
    <t>ADEF2711010001</t>
  </si>
  <si>
    <t>ADEEYO</t>
  </si>
  <si>
    <t>FAAD</t>
  </si>
  <si>
    <t>https://myiipea.com/media/etudiant/photo/WhatsApp_Image_2023-10-10_at_12.31.47.jpeg</t>
  </si>
  <si>
    <t>ADEG0303020001</t>
  </si>
  <si>
    <t>ADEGUE</t>
  </si>
  <si>
    <t>GRACE RAPHAELLE</t>
  </si>
  <si>
    <t>https://myiipea.com/media/etudiant/photo/WhatsApp_Image_2023-11-13_at_15.41.57.jpeg</t>
  </si>
  <si>
    <t>ADED1707020001</t>
  </si>
  <si>
    <t>ADEHA</t>
  </si>
  <si>
    <t>DJEBA EMMANUELLA</t>
  </si>
  <si>
    <t>https://myiipea.com/media/etudiant/photo/WhatsApp_Image_2023-11-03_at_17.51.12.jpeg</t>
  </si>
  <si>
    <t>ADEA2807060001</t>
  </si>
  <si>
    <t>ADEJARE</t>
  </si>
  <si>
    <t>ABIBATU ADEJUMOKE</t>
  </si>
  <si>
    <t>https://myiipea.com/media/etudiant/photo/WhatsApp_Image_2023-10-04_at_17_resized.png</t>
  </si>
  <si>
    <t>ADET1006040001</t>
  </si>
  <si>
    <t>ADELAKUN</t>
  </si>
  <si>
    <t>TAIWO SIMON ADELANI</t>
  </si>
  <si>
    <t>https://myiipea.com/media/etudiant/photo/WhatsApp_Image_2023-10-06_at_10.25.31.jpeg</t>
  </si>
  <si>
    <t>ADEG2408020001</t>
  </si>
  <si>
    <t>ADENI</t>
  </si>
  <si>
    <t>GUY MARC ANGELOT</t>
  </si>
  <si>
    <t>https://myiipea.com/media/etudiant/photo/WhatsApp_Image_2023-10-17_at_12.32.54_PM.jpeg</t>
  </si>
  <si>
    <t>ADES2811000001</t>
  </si>
  <si>
    <t>ADEPOJU</t>
  </si>
  <si>
    <t>SELIM OYERINDE ATANDA</t>
  </si>
  <si>
    <t>https://myiipea.com/media/etudiant/photo/WhatsApp_Image_2023-10-05_at_14.44.05.jpeg</t>
  </si>
  <si>
    <t>ADEF2410020001</t>
  </si>
  <si>
    <t>ADESOKAN</t>
  </si>
  <si>
    <t>FAUSIYATU PEJU</t>
  </si>
  <si>
    <t>https://myiipea.com/media/etudiant/photo/WhatsApp_Image_2023-10-10_at_11.33.20.jpeg</t>
  </si>
  <si>
    <t>ADEW1206990001</t>
  </si>
  <si>
    <t>ADEY</t>
  </si>
  <si>
    <t>WILLIAM MODESTE EMMANUEL</t>
  </si>
  <si>
    <t>https://myiipea.com/media/etudiant/photo/WhatsApp_Image_2023-09-19_at_12.29.48.jpeg</t>
  </si>
  <si>
    <t>ADIK0306030001</t>
  </si>
  <si>
    <t>ADIEHOURABOU</t>
  </si>
  <si>
    <t>KATIANA MARIETA  SANDRINE</t>
  </si>
  <si>
    <t>https://myiipea.com/media/etudiant/photo/WhatsApp_Image_2023-09-29_at_15_resized.png</t>
  </si>
  <si>
    <t>ADIL0904010002</t>
  </si>
  <si>
    <t>ADIGRA</t>
  </si>
  <si>
    <t>LOGBOCHI ANNE DEBORA</t>
  </si>
  <si>
    <t>https://myiipea.com/media/etudiant/photo/WhatsApp_Image_2023-10-09_at_11.04.28.jpeg</t>
  </si>
  <si>
    <t>ADID1604010001</t>
  </si>
  <si>
    <t>ADINCI</t>
  </si>
  <si>
    <t>DURBEN SAMUEL HACKER</t>
  </si>
  <si>
    <t>https://myiipea.com/media/etudiant/photo/WhatsApp_Image_2023-11-13_at_10.05.05.jpeg</t>
  </si>
  <si>
    <t>ADIA1307990001</t>
  </si>
  <si>
    <t>ADINGRA</t>
  </si>
  <si>
    <t>AMANGOUA MIKAEL</t>
  </si>
  <si>
    <t>https://myiipea.com/media/etudiant/photo/WhatsApp_Image_2023-10-12_at_14_resized.png</t>
  </si>
  <si>
    <t>ADIK0701020001</t>
  </si>
  <si>
    <t>KOUADIO ROCH CEDRIC</t>
  </si>
  <si>
    <t>https://myiipea.com/media/etudiant/photo/WhatsApp_Image_2023-10-30_at_12.54.48.jpeg</t>
  </si>
  <si>
    <t>ADIY1302970001</t>
  </si>
  <si>
    <t>YAO EZECHIEL</t>
  </si>
  <si>
    <t>https://myiipea.com/media/etudiant/photo/WhatsApp_Image_2023-10-09_at_13.14.56.jpeg</t>
  </si>
  <si>
    <t>ADIY2803020001</t>
  </si>
  <si>
    <t>YAO KALO DAVID</t>
  </si>
  <si>
    <t>https://myiipea.com/media/etudiant/photo/WhatsApp_Image_2023-09-22_%C3%A0_16.06.37.jpg</t>
  </si>
  <si>
    <t>ADJC2505030001</t>
  </si>
  <si>
    <t>ADJA</t>
  </si>
  <si>
    <t>CORNEILLE YANN AUGUST</t>
  </si>
  <si>
    <t>https://myiipea.com/media/etudiant/photo/WhatsApp_Image_2023-10-27_at_13.06.08.jpeg</t>
  </si>
  <si>
    <t>ADJL1904030001</t>
  </si>
  <si>
    <t>LODJA STEVINE EMMA</t>
  </si>
  <si>
    <t>https://myiipea.com/media/etudiant/photo/WhatsApp_Image_2023-10-30_at_09.19.33.jpeg</t>
  </si>
  <si>
    <t>ADJM2512030001</t>
  </si>
  <si>
    <t>MOCHIBO KAYE MARIE-MACHA</t>
  </si>
  <si>
    <t>https://myiipea.com/media/etudiant/photo/WhatsApp_Image_2023-10-16_at_1.39.18_PM.jpeg</t>
  </si>
  <si>
    <t>ADJN3005030001</t>
  </si>
  <si>
    <t>NIAMKE NADIA GUYLENE</t>
  </si>
  <si>
    <t>https://myiipea.com/media/etudiant/photo/WhatsApp_Image_2023-10-03_at_11.14.56_AM_MPqfEq9.jpeg</t>
  </si>
  <si>
    <t>ADJB0302960001</t>
  </si>
  <si>
    <t>ADJADOHOUN</t>
  </si>
  <si>
    <t>BLAISE</t>
  </si>
  <si>
    <t>https://myiipea.com/media/etudiant/photo/WhatsApp_Image_2023-11-09_at_10.50.45.jpeg</t>
  </si>
  <si>
    <t>ADJO1209050001</t>
  </si>
  <si>
    <t>ADJAHOURABOU</t>
  </si>
  <si>
    <t>OUEPERIBIKIA ROLANDE</t>
  </si>
  <si>
    <t>GENIE CIVIL OPTION TRAVAUX PUBLICS</t>
  </si>
  <si>
    <t>https://myiipea.com/media/etudiant/photo/WhatsApp_Image_2023-10-09_at_12.33.31.jpeg</t>
  </si>
  <si>
    <t>ADJR0611030001</t>
  </si>
  <si>
    <t>ADJAKA</t>
  </si>
  <si>
    <t>REGIS DEO DE GRACIAS</t>
  </si>
  <si>
    <t>https://myiipea.com/media/etudiant/photo/WhatsApp_Image_2023-10-04_at_16.46.14.jpeg</t>
  </si>
  <si>
    <t>ADJD2408030001</t>
  </si>
  <si>
    <t>ADJASSO</t>
  </si>
  <si>
    <t>DABAH YVANN GOMIS JUNIOR</t>
  </si>
  <si>
    <t>https://myiipea.com/media/etudiant/photo/WhatsApp_Image_2023-11-17_at_11.53.11.jpeg</t>
  </si>
  <si>
    <t>ADJA1601050002</t>
  </si>
  <si>
    <t>ADJE</t>
  </si>
  <si>
    <t>AKA JOSIAS HURVANN SYLVESTRE</t>
  </si>
  <si>
    <t>https://myiipea.com/media/etudiant/photo/WhatsApp_Image_2023-09-15_at_15.18.26.jpeg</t>
  </si>
  <si>
    <t>ADJS1908040001</t>
  </si>
  <si>
    <t>ADJEHI</t>
  </si>
  <si>
    <t>SAHERE MICHEL EMMANUEL</t>
  </si>
  <si>
    <t>https://myiipea.com/media/etudiant/photo/WhatsApp_Image_2023-10-04_at_15.57.27.jpeg</t>
  </si>
  <si>
    <t>ADJK1602040001</t>
  </si>
  <si>
    <t>ADJEI</t>
  </si>
  <si>
    <t>KOSSIA DONGO</t>
  </si>
  <si>
    <t>https://myiipea.com/media/etudiant/photo/WhatsApp_Image_2023-09-22_at_12.48.46.jpeg</t>
  </si>
  <si>
    <t>ADJT0211060001</t>
  </si>
  <si>
    <t>ADJEMIAN</t>
  </si>
  <si>
    <t>THERESE BENIE SYNTYCHE</t>
  </si>
  <si>
    <t>https://myiipea.com/media/etudiant/photo/WhatsApp_Image_2023-10-02_at_3.27.15_PM.jpeg</t>
  </si>
  <si>
    <t>ADJY2508040001</t>
  </si>
  <si>
    <t>YAPI MICHAEL MELCHISEDEK</t>
  </si>
  <si>
    <t>https://myiipea.com/media/etudiant/photo/WhatsApp_Image_2023-10-02_at_14.33.12.jpeg</t>
  </si>
  <si>
    <t>ADJA0301050001</t>
  </si>
  <si>
    <t>ADJI</t>
  </si>
  <si>
    <t>ANGELE VICTOIRE TOTI</t>
  </si>
  <si>
    <t>https://myiipea.com/media/etudiant/photo/WhatsApp_Image_2023-10-13_at_6.07.39_PM.jpeg</t>
  </si>
  <si>
    <t>ADJR1612030001</t>
  </si>
  <si>
    <t>ROSINE TOTI</t>
  </si>
  <si>
    <t>https://myiipea.com/media/etudiant/photo/WhatsApp_Image_2023-10-13_at_17.07.19.jpeg</t>
  </si>
  <si>
    <t>ADJB1407020001</t>
  </si>
  <si>
    <t>ADJIBADE</t>
  </si>
  <si>
    <t>BONAVENTURE ADENIYI</t>
  </si>
  <si>
    <t>https://myiipea.com/media/etudiant/photo/WhatsApp_Image_2023-10-17_at_14.27.25.jpeg</t>
  </si>
  <si>
    <t>ADJM2408040001</t>
  </si>
  <si>
    <t>ADJIRI</t>
  </si>
  <si>
    <t>MIEZAN JEAN MICHEL</t>
  </si>
  <si>
    <t>https://myiipea.com/media/etudiant/photo/WhatsApp_Image_2023-10-03_at_13.39.50.jpeg</t>
  </si>
  <si>
    <t>ADJR1005020001</t>
  </si>
  <si>
    <t>ADJIWANOU</t>
  </si>
  <si>
    <t>REGINA MARIE LAURE</t>
  </si>
  <si>
    <t>https://myiipea.com/media/etudiant/photo/WhatsApp_Image_2023-11-07_at_11_resized.png</t>
  </si>
  <si>
    <t>ADJA1306990001</t>
  </si>
  <si>
    <t>ADJOBI</t>
  </si>
  <si>
    <t>ABOA JUSTIN ARISTIDE</t>
  </si>
  <si>
    <t>https://myiipea.com/media/etudiant/photo/WhatsApp_Image_2023-10-13_at_13.27.23.jpeg</t>
  </si>
  <si>
    <t>ADJN0806000001</t>
  </si>
  <si>
    <t>NOGBOU HENOC MATHIEU</t>
  </si>
  <si>
    <t>INFORMATIQUE GENIE LOGICIEL</t>
  </si>
  <si>
    <t>https://myiipea.com/media/etudiant/photo/WhatsApp_Image_2023-10-06_at_13.14.04.jpeg</t>
  </si>
  <si>
    <t>ADJK1106000001</t>
  </si>
  <si>
    <t>ADJOUMANI</t>
  </si>
  <si>
    <t>KOSSIA DIANE</t>
  </si>
  <si>
    <t>https://myiipea.com/media/etudiant/photo/WhatsApp_Image_2023-10-10_at_11.05.52.jpeg</t>
  </si>
  <si>
    <t>ADOJ0602010001</t>
  </si>
  <si>
    <t>ADOMPO</t>
  </si>
  <si>
    <t>JEAN FREDERIC REGIS</t>
  </si>
  <si>
    <t>RESEAUX INFORMATIQUE ET TELECOMMUNICATIONS</t>
  </si>
  <si>
    <t>https://myiipea.com/media/etudiant/photo/WhatsApp_Image_2023-10-04_at_1.29.02_PM.jpeg</t>
  </si>
  <si>
    <t>ADOM1811040001</t>
  </si>
  <si>
    <t>MONNIN JEAN-EMMANUEL MONDESIR</t>
  </si>
  <si>
    <t>https://myiipea.com/media/etudiant/photo/WhatsApp_Image_2023-10-02_at_14.36.41.jpeg</t>
  </si>
  <si>
    <t>ADOW2012010001</t>
  </si>
  <si>
    <t>ADON</t>
  </si>
  <si>
    <t>WILFRIED ACHI</t>
  </si>
  <si>
    <t>https://myiipea.com/media/etudiant/photo/WhatsApp_Image_2023-10-17_at_13.33.58.jpeg</t>
  </si>
  <si>
    <t>ADOA0906040001</t>
  </si>
  <si>
    <t>ADOPO</t>
  </si>
  <si>
    <t>ANGE AUDREY EMMANUELLA</t>
  </si>
  <si>
    <t>https://myiipea.com/media/etudiant/photo/WhatsApp_Image_2023-10-06_at_11_resized_IC2UajY.png</t>
  </si>
  <si>
    <t>ADOA0108040004</t>
  </si>
  <si>
    <t>ANOMAN OTHNIEL  NEMESIS YAPI</t>
  </si>
  <si>
    <t>https://myiipea.com/media/etudiant/photo/WhatsApp_Image_2023-09-15_at_08.52.01.jpeg</t>
  </si>
  <si>
    <t>ADOG0810030001</t>
  </si>
  <si>
    <t>ADOTEVI</t>
  </si>
  <si>
    <t>GAKOSSO KPAKPO JHONY PAUL IVAN</t>
  </si>
  <si>
    <t>https://myiipea.com/media/etudiant/photo/photo_IFcGTK8.jpg</t>
  </si>
  <si>
    <t>ADOA0606040001</t>
  </si>
  <si>
    <t>ADOU</t>
  </si>
  <si>
    <t>ADOU BLA EUGENE</t>
  </si>
  <si>
    <t>https://myiipea.com/media/etudiant/photo/WhatsApp_Image_2023-10-09_at_1.01.53_PM.jpeg</t>
  </si>
  <si>
    <t>ADOA0603050001</t>
  </si>
  <si>
    <t>ANAIS NANCY ERICA</t>
  </si>
  <si>
    <t>https://myiipea.com/media/etudiant/photo/WhatsApp_Image_2023-10-16_at_11.11.00.jpeg</t>
  </si>
  <si>
    <t>ADOK2604960001</t>
  </si>
  <si>
    <t>KABRAN EBI CHRISTIAN</t>
  </si>
  <si>
    <t>https://myiipea.com/media/etudiant/photo/WhatsApp_Image_2023-10-26_at_1.37.43_PM.jpeg</t>
  </si>
  <si>
    <t>ADOK2912010001</t>
  </si>
  <si>
    <t>KONIN JEAN LUC</t>
  </si>
  <si>
    <t>https://myiipea.com/media/etudiant/photo/WhatsApp_Image_2023-10-20_at_13.29.45_1.jpeg</t>
  </si>
  <si>
    <t>ADOK1909990001</t>
  </si>
  <si>
    <t>KOSSIA ATTAWA EMILIE</t>
  </si>
  <si>
    <t>https://myiipea.com/media/etudiant/photo/WhatsApp_Image_2023-11-03_at_10.26.32.jpeg</t>
  </si>
  <si>
    <t>ADOM2404050001</t>
  </si>
  <si>
    <t>MARIE VEROCIAL OPPORTUNE</t>
  </si>
  <si>
    <t>https://myiipea.com/media/etudiant/photo/WhatsApp_Image_2023-10-05_at_10.36.13.jpeg</t>
  </si>
  <si>
    <t>ADON1101010001</t>
  </si>
  <si>
    <t>NIANGORAN LUCAS CLOVIS</t>
  </si>
  <si>
    <t>https://myiipea.com/media/etudiant/photo/WhatsApp_Image_2023-10-30_at_15.51.34.jpeg</t>
  </si>
  <si>
    <t>ADOO2406990001</t>
  </si>
  <si>
    <t>OSSEY EVARISTE</t>
  </si>
  <si>
    <t>https://myiipea.com/media/etudiant/photo/WhatsApp_Image_2023-10-27_at_09.23.59.jpeg</t>
  </si>
  <si>
    <t>ADOR2004040001</t>
  </si>
  <si>
    <t>RUTH SYNTYCHE</t>
  </si>
  <si>
    <t>https://myiipea.com/media/etudiant/photo/WhatsApp_Image_2023-10-05_at_10.54.08.jpeg</t>
  </si>
  <si>
    <t>ADOY2012050001</t>
  </si>
  <si>
    <t>YOU AURAH SYNTICHE</t>
  </si>
  <si>
    <t>https://myiipea.com/media/etudiant/photo/239422487_405915444207421_8131329350063382999_n_pdyCbnL_resized.png</t>
  </si>
  <si>
    <t>ADOA0702030001</t>
  </si>
  <si>
    <t>ADOUABOU</t>
  </si>
  <si>
    <t>AWEYONAN ZOULAIKA</t>
  </si>
  <si>
    <t>https://myiipea.com/media/etudiant/photo/WhatsApp_Image_2023-10-10_at_16.09.04.jpeg</t>
  </si>
  <si>
    <t>ADOA1005020001</t>
  </si>
  <si>
    <t>ADOUKO</t>
  </si>
  <si>
    <t>AMELAN BETHEL ELVIRA</t>
  </si>
  <si>
    <t>https://myiipea.com/media/etudiant/photo/WhatsApp_Image_2023-10-12_at_12.44.34.jpeg</t>
  </si>
  <si>
    <t>ADOD2303060001</t>
  </si>
  <si>
    <t>DIEUDONNE SAMUEL EBENEZER</t>
  </si>
  <si>
    <t>https://myiipea.com/media/etudiant/photo/WhatsApp_Image_2023-10-06_at_15.30.10.jpeg</t>
  </si>
  <si>
    <t>ADOA1601060001</t>
  </si>
  <si>
    <t>ADOUPO</t>
  </si>
  <si>
    <t>APIE RUTH ISABELLE</t>
  </si>
  <si>
    <t>SYSTEME ELECTRONIQUE ET INFORMATIQUE</t>
  </si>
  <si>
    <t>https://myiipea.com/media/etudiant/photo/WhatsApp_Image_2023-10-10_at_15.09.59.jpeg</t>
  </si>
  <si>
    <t>ADRR2112020001</t>
  </si>
  <si>
    <t>ADROH</t>
  </si>
  <si>
    <t>RUTH EMMANUELLE</t>
  </si>
  <si>
    <t>https://myiipea.com/media/etudiant/photo/WhatsApp_Image_2023-11-17_at_2.15.02_PM.jpeg</t>
  </si>
  <si>
    <t>ADRE1007000001</t>
  </si>
  <si>
    <t>ADRON</t>
  </si>
  <si>
    <t>EBIZOU AKA JEAN BAPTISTE</t>
  </si>
  <si>
    <t>https://myiipea.com/media/etudiant/photo/WhatsApp_Image_2023-11-24_at_15.38.27_1.jpeg</t>
  </si>
  <si>
    <t>AFFK2812040002</t>
  </si>
  <si>
    <t>AFFALI</t>
  </si>
  <si>
    <t>KANGAH SIRA CHRIST-OCEANE</t>
  </si>
  <si>
    <t>https://myiipea.com/media/etudiant/photo/WhatsApp_Image_2023-12-01_at_4_resized_R05TI69.png</t>
  </si>
  <si>
    <t>AFFL1505030001</t>
  </si>
  <si>
    <t>AFFO</t>
  </si>
  <si>
    <t>LORM LINDA SAINTICH</t>
  </si>
  <si>
    <t>https://myiipea.com/media/etudiant/photo/WhatsApp_Image_2023-11-20_at_11_resized.png</t>
  </si>
  <si>
    <t>AFFB2603040001</t>
  </si>
  <si>
    <t>AFFRAN</t>
  </si>
  <si>
    <t>BIANDJUIBIE ORNELLA MARIE-OCEANE</t>
  </si>
  <si>
    <t>https://myiipea.com/media/etudiant/photo/WhatsApp_Image_2023-10-02_at_12.15.58.jpeg</t>
  </si>
  <si>
    <t>AGAD1509030001</t>
  </si>
  <si>
    <t>AGAH</t>
  </si>
  <si>
    <t>DANHOBIE YVONNE EUNICE TRYPHENE</t>
  </si>
  <si>
    <t>https://myiipea.com/media/etudiant/photo/WhatsApp_Image_2023-10-09_at_19.39.07.jpeg</t>
  </si>
  <si>
    <t>AGAO1504040001</t>
  </si>
  <si>
    <t>ORLANE PRICILIA</t>
  </si>
  <si>
    <t>https://myiipea.com/media/etudiant/photo/WhatsApp_Image_2023-10-09_at_12.01.33.jpeg</t>
  </si>
  <si>
    <t>AGAY0703040001</t>
  </si>
  <si>
    <t>YANN EFRAIM FRANCK-HERVE</t>
  </si>
  <si>
    <t>https://myiipea.com/media/etudiant/photo/t%C3%A9l%C3%A9chargement_79eFFbw.png</t>
  </si>
  <si>
    <t>AGBE0704050001</t>
  </si>
  <si>
    <t>AGBA</t>
  </si>
  <si>
    <t>EMMANUELLE SANDRA</t>
  </si>
  <si>
    <t>https://myiipea.com/media/etudiant/photo/WhatsApp_Image_2023-10-04_at_2_resized.png</t>
  </si>
  <si>
    <t>AGBA2309030001</t>
  </si>
  <si>
    <t>AGBADOU</t>
  </si>
  <si>
    <t>ANGE SAMUEL NEHEMIE</t>
  </si>
  <si>
    <t>https://myiipea.com/media/etudiant/photo/WhatsApp_Image_2023-09-29_at_18.16.10.jpeg</t>
  </si>
  <si>
    <t>AGBN2207030001</t>
  </si>
  <si>
    <t>AGBAN</t>
  </si>
  <si>
    <t>NAOMIE ESTHER</t>
  </si>
  <si>
    <t>https://myiipea.com/media/etudiant/photo/WhatsApp_Image_2023-10-12_at_6.14.56_PM.jpeg</t>
  </si>
  <si>
    <t>AGBS0302060001</t>
  </si>
  <si>
    <t>SAGOUBIE MARIE ANGELA LEONIE</t>
  </si>
  <si>
    <t>https://myiipea.com/media/etudiant/photo/WhatsApp_Image_2023-10-10_at_09.29.53.jpeg</t>
  </si>
  <si>
    <t>AGBN2402060001</t>
  </si>
  <si>
    <t>AGBO</t>
  </si>
  <si>
    <t>NADA HAUDREY ROXANE</t>
  </si>
  <si>
    <t>https://myiipea.com/media/etudiant/photo/WhatsApp_Image_2023-09-25_%C3%A0_11.37.29.jpg</t>
  </si>
  <si>
    <t>AGBA2402040001</t>
  </si>
  <si>
    <t>AGBOKE</t>
  </si>
  <si>
    <t>AMON FLORE ABIGAIL</t>
  </si>
  <si>
    <t>https://myiipea.com/media/etudiant/photo/WhatsApp_Image_2023-10-11_at_17.04.16.jpeg</t>
  </si>
  <si>
    <t>AGNA0210050001</t>
  </si>
  <si>
    <t>AGNALAMON</t>
  </si>
  <si>
    <t>AGBOZAN HENOCK JOSEPH-MARIE</t>
  </si>
  <si>
    <t>https://myiipea.com/media/etudiant/photo/t%C3%A9l%C3%A9chargement_BVk09vh.png</t>
  </si>
  <si>
    <t>AGNL2108230001</t>
  </si>
  <si>
    <t>AGNERO</t>
  </si>
  <si>
    <t>LESLIE JESSICA</t>
  </si>
  <si>
    <t>https://myiipea.com/media/etudiant/photo/WhatsApp_Image_2023-10-03_at_12.14.48.jpeg</t>
  </si>
  <si>
    <t>AGNK1012000001</t>
  </si>
  <si>
    <t>AGNIMOU</t>
  </si>
  <si>
    <t>KOUAKOU ISRAEL</t>
  </si>
  <si>
    <t>https://myiipea.com/media/etudiant/photo/WhatsApp_Image_2023-10-18_at_10.44.48_AM.jpeg</t>
  </si>
  <si>
    <t>AGNA1403050004</t>
  </si>
  <si>
    <t>AGNISSEY</t>
  </si>
  <si>
    <t>ADJO GRACE ORNELLA</t>
  </si>
  <si>
    <t>https://myiipea.com/media/etudiant/photo/WhatsApp_Image_2023-09-28_%C3%A0_09.53.25.jpg</t>
  </si>
  <si>
    <t>AGNA2512030001</t>
  </si>
  <si>
    <t>AGNIZOUHOIN</t>
  </si>
  <si>
    <t>ABLA ONACHARLENE</t>
  </si>
  <si>
    <t>https://myiipea.com/media/etudiant/photo/WhatsApp_Image_2023-10-10_at_3.00.03_PM.jpeg</t>
  </si>
  <si>
    <t>AGNE0706020001</t>
  </si>
  <si>
    <t>AGNON</t>
  </si>
  <si>
    <t>ESTELLE AYA MARIE ROSE</t>
  </si>
  <si>
    <t>https://myiipea.com/media/etudiant/photo/WhatsApp_Image_2023-10-11_at_15.02.12.jpeg</t>
  </si>
  <si>
    <t>AGOA1812990001</t>
  </si>
  <si>
    <t>AGOH</t>
  </si>
  <si>
    <t>ACHO FRANCOIS ANGE EMMANUEL</t>
  </si>
  <si>
    <t>https://myiipea.com/media/etudiant/photo/WhatsApp_Image_2023-10-10_at_15_resized.png</t>
  </si>
  <si>
    <t>AGOL2406030001</t>
  </si>
  <si>
    <t>LOME JOHAN IVAN KOUADIO</t>
  </si>
  <si>
    <t>https://myiipea.com/media/etudiant/photo/WhatsApp_Image_2023-09-28_at_13.24.51.jpeg</t>
  </si>
  <si>
    <t>AGON1110010001</t>
  </si>
  <si>
    <t>AGOMUO</t>
  </si>
  <si>
    <t>NNENNA LINDA ROSEMARY</t>
  </si>
  <si>
    <t>https://myiipea.com/media/etudiant/photo/WhatsApp_Image_2023-10-26_at_09.50.25.jpeg</t>
  </si>
  <si>
    <t>AGOA2402060001</t>
  </si>
  <si>
    <t>AGOTHE</t>
  </si>
  <si>
    <t>AFFOUE MARIE LAURE ERIKA</t>
  </si>
  <si>
    <t>https://myiipea.com/media/etudiant/photo/WhatsApp_Image_2023-10-04_at_11.08.03.jpeg</t>
  </si>
  <si>
    <t>AGOA2711010001</t>
  </si>
  <si>
    <t>AGOU</t>
  </si>
  <si>
    <t>ADJOUA RITA FAUSTINE</t>
  </si>
  <si>
    <t>https://myiipea.com/media/etudiant/photo/WhatsApp_Image_2023-10-04_at_12.48.52.jpeg</t>
  </si>
  <si>
    <t>AGOK1606030001</t>
  </si>
  <si>
    <t>KOUASSI ARCHANGE CARLOS</t>
  </si>
  <si>
    <t>https://myiipea.com/media/etudiant/photo/WhatsApp_Image_2023-10-04_at_11_resized.png</t>
  </si>
  <si>
    <t>AGOM1311020001</t>
  </si>
  <si>
    <t>AGOUSSI</t>
  </si>
  <si>
    <t>MARC AUGUSTIN</t>
  </si>
  <si>
    <t>https://myiipea.com/media/etudiant/photo/20ade533-24d2-4caa-b159-012af687e2fb_resized.png</t>
  </si>
  <si>
    <t>AGUB1908990002</t>
  </si>
  <si>
    <t>AGUI</t>
  </si>
  <si>
    <t>BADI ROLAND-KAMY</t>
  </si>
  <si>
    <t>https://myiipea.com/media/etudiant/photo/WhatsApp_Image_2023-10-18_at_16.34.07_pHlBlZ3.jpeg</t>
  </si>
  <si>
    <t>AGUY2905020001</t>
  </si>
  <si>
    <t>AGUIE</t>
  </si>
  <si>
    <t>YEBOUA AROLD WILSON</t>
  </si>
  <si>
    <t>https://myiipea.com/media/etudiant/photo/WhatsApp_Image_2023-10-02_at_15.24.15.jpeg</t>
  </si>
  <si>
    <t>AHSD0101990001</t>
  </si>
  <si>
    <t>AH SEGLOUIN</t>
  </si>
  <si>
    <t>DONALD</t>
  </si>
  <si>
    <t>https://myiipea.com/media/etudiant/photo/WhatsApp_Image_2023-10-12_at_1.31.15_PM.jpeg</t>
  </si>
  <si>
    <t>AHAA0505040001</t>
  </si>
  <si>
    <t>AHADJI</t>
  </si>
  <si>
    <t>AKOUVI ANGE MELISSA</t>
  </si>
  <si>
    <t>https://myiipea.com/media/etudiant/photo/WhatsApp_Image_2023-09-18_at_11.37.59.jpeg</t>
  </si>
  <si>
    <t>AHEN2001030001</t>
  </si>
  <si>
    <t>AHEMOU</t>
  </si>
  <si>
    <t>N'DRAMAN STEVEN KELY</t>
  </si>
  <si>
    <t>https://myiipea.com/media/etudiant/photo/WhatsApp_Image_2023-10-23_at_16.21.24.jpeg</t>
  </si>
  <si>
    <t>AHIA0312040001</t>
  </si>
  <si>
    <t>AHIBE</t>
  </si>
  <si>
    <t>ASSAGOU MAX MARIE CLAIRE</t>
  </si>
  <si>
    <t>https://myiipea.com/media/etudiant/photo/WhatsApp_Image_2023-10-16_at_16.47.19.jpeg</t>
  </si>
  <si>
    <t>AHMW1803010001</t>
  </si>
  <si>
    <t>AHMED</t>
  </si>
  <si>
    <t>WARDA OLIVIA</t>
  </si>
  <si>
    <t>https://myiipea.com/media/etudiant/photo/WhatsApp_Image_2023-10-27_at_09.58.03.jpeg</t>
  </si>
  <si>
    <t>AHOA2103030001</t>
  </si>
  <si>
    <t>AHOLIA</t>
  </si>
  <si>
    <t>APIE PASCALE LAURELLE</t>
  </si>
  <si>
    <t>https://myiipea.com/media/etudiant/photo/WhatsApp_Image_2023-10-02_at_14.31.14.jpeg</t>
  </si>
  <si>
    <t>AHOA0206060001</t>
  </si>
  <si>
    <t>ASSI BORIS WILFRIED</t>
  </si>
  <si>
    <t>https://myiipea.com/media/etudiant/photo/WhatsApp_Image_2023-10-05_at_12.41.41.jpeg</t>
  </si>
  <si>
    <t>AHOC0305040001</t>
  </si>
  <si>
    <t>CHRISTELLE APIE</t>
  </si>
  <si>
    <t>https://myiipea.com/media/etudiant/photo/WhatsApp_Image_2023-10-04_at_14.27.09.jpeg</t>
  </si>
  <si>
    <t>AHOA0801030001</t>
  </si>
  <si>
    <t>AHOU</t>
  </si>
  <si>
    <t>AMENAN GRACE ESTHER</t>
  </si>
  <si>
    <t>https://myiipea.com/media/etudiant/photo/WhatsApp_Image_2023-10-03_at_12.00.55.jpeg</t>
  </si>
  <si>
    <t>AHOC2103020001</t>
  </si>
  <si>
    <t>AHOUANGBEVI</t>
  </si>
  <si>
    <t>CLEMENCE</t>
  </si>
  <si>
    <t>https://myiipea.com/media/etudiant/photo/WhatsApp_Image_2023-09-29_at_13.08.56.jpeg</t>
  </si>
  <si>
    <t>AHOA1103030001</t>
  </si>
  <si>
    <t>AHOULOU</t>
  </si>
  <si>
    <t>ADJOBA MARIE KANELLE ROXANE</t>
  </si>
  <si>
    <t>ADMINISTRATION DES AFFAIRES</t>
  </si>
  <si>
    <t>https://myiipea.com/media/etudiant/photo/WhatsApp_Image_2023-10-27_at_09.13.45.jpeg</t>
  </si>
  <si>
    <t>AHOA0908020001</t>
  </si>
  <si>
    <t>ASSEMIEN MAURICE DUBIEN</t>
  </si>
  <si>
    <t>https://myiipea.com/media/etudiant/photo/WhatsApp_Image_2023-10-04_at_14.06.39.jpeg</t>
  </si>
  <si>
    <t>AHOA1202000001</t>
  </si>
  <si>
    <t>AHOUO</t>
  </si>
  <si>
    <t>ARMELLE LAETICIA FLORE</t>
  </si>
  <si>
    <t>MANAGEMENT DES PROJETS</t>
  </si>
  <si>
    <t>https://myiipea.com/media/etudiant/photo/WhatsApp_Image_2023-10-26_at_5.09.02_PM.jpeg</t>
  </si>
  <si>
    <t>AHOA0708040001</t>
  </si>
  <si>
    <t>AHOUSSI</t>
  </si>
  <si>
    <t>ADJO ESTHER  MONDESIR</t>
  </si>
  <si>
    <t>https://myiipea.com/media/etudiant/photo/WhatsApp_Image_2023-10-10_at_09.52.57.jpeg</t>
  </si>
  <si>
    <t>AHOA2204020001</t>
  </si>
  <si>
    <t>AHOBA MARIE-ELISABETH FAITH</t>
  </si>
  <si>
    <t>SCIENCES ECONOMIQUE ET DE GESTION OPTION GESTION</t>
  </si>
  <si>
    <t>https://myiipea.com/media/etudiant/photo/WhatsApp_Image_2023-09-28_at_08.16.14.jpeg</t>
  </si>
  <si>
    <t>AHOK1606010001</t>
  </si>
  <si>
    <t>KOMBLAN MARIUS</t>
  </si>
  <si>
    <t>https://myiipea.com/media/etudiant/photo/WhatsApp_Image_2023-10-19_at_16.10.25.jpeg</t>
  </si>
  <si>
    <t>AHOA1812030001</t>
  </si>
  <si>
    <t>AHOUSSOU</t>
  </si>
  <si>
    <t>ACKAH LOGBLO GRACE EMMANUELLA</t>
  </si>
  <si>
    <t>https://myiipea.com/media/etudiant/photo/WhatsApp_Image_2023-11-16_at_14.03.24.jpeg</t>
  </si>
  <si>
    <t>AHOY1511000001</t>
  </si>
  <si>
    <t>AHOUTOU</t>
  </si>
  <si>
    <t>YAO JEAN MARC WILFRIED</t>
  </si>
  <si>
    <t>https://myiipea.com/media/etudiant/photo/WhatsApp_Image_2023-10-31_at_15.03.16.jpeg</t>
  </si>
  <si>
    <t>AHUN1301040001</t>
  </si>
  <si>
    <t>AHUA</t>
  </si>
  <si>
    <t>N'DAH MIESSAN REMY MERLIN</t>
  </si>
  <si>
    <t>https://myiipea.com/media/etudiant/photo/WhatsApp_Image_2023-10-04_at_10.23.15.jpeg</t>
  </si>
  <si>
    <t>AHUC0811050001</t>
  </si>
  <si>
    <t>AHUI</t>
  </si>
  <si>
    <t>CHIEPO URIELLE DORIANE</t>
  </si>
  <si>
    <t>https://myiipea.com/media/etudiant/photo/WhatsApp_Image_2023-09-28_at_11.35.46.jpeg</t>
  </si>
  <si>
    <t>AHUJ2301040001</t>
  </si>
  <si>
    <t>JEAN YVES MONDESIR</t>
  </si>
  <si>
    <t>https://myiipea.com/media/etudiant/photo/YVES.jpg</t>
  </si>
  <si>
    <t>AHUK2511030001</t>
  </si>
  <si>
    <t>KOTCHAN JEAN MONDESIR GEDEON</t>
  </si>
  <si>
    <t>https://myiipea.com/media/etudiant/photo/WhatsApp_Image_2023-10-11_at_13.03.46.jpeg</t>
  </si>
  <si>
    <t>AIBG3009040001</t>
  </si>
  <si>
    <t>AIBO</t>
  </si>
  <si>
    <t>GOGOUAHI RUTH MARVINE AMOURADE</t>
  </si>
  <si>
    <t>https://myiipea.com/media/etudiant/photo/WhatsApp_Image_2023-10-23_at_10_resized.png</t>
  </si>
  <si>
    <t>AJAO1708020001</t>
  </si>
  <si>
    <t>AJAH</t>
  </si>
  <si>
    <t>ONYINECHI RUTH</t>
  </si>
  <si>
    <t>https://myiipea.com/media/etudiant/photo/WhatsApp_Image_2023-09-15_at_15.00.15.jpeg</t>
  </si>
  <si>
    <t>AJAA2111040001</t>
  </si>
  <si>
    <t>AJAO</t>
  </si>
  <si>
    <t>ABIBA ROSE KARINE</t>
  </si>
  <si>
    <t>https://myiipea.com/media/etudiant/photo/IMG_6924_resized.png</t>
  </si>
  <si>
    <t>AJIK2703030001</t>
  </si>
  <si>
    <t>AJIBOYE</t>
  </si>
  <si>
    <t>KUDIRAT</t>
  </si>
  <si>
    <t>https://myiipea.com/media/etudiant/photo/WhatsApp_Image_2023-09-18_at_16.58.37.jpeg</t>
  </si>
  <si>
    <t>AKAA0401040001</t>
  </si>
  <si>
    <t>AKA</t>
  </si>
  <si>
    <t>AFFALA LAURETTE</t>
  </si>
  <si>
    <t>https://myiipea.com/media/etudiant/photo/WhatsApp_Image_2023-11-21_at_1.14.49_PM.jpeg</t>
  </si>
  <si>
    <t>AKAA1301050001</t>
  </si>
  <si>
    <t>AFFIAN HERMANN RICHMOND</t>
  </si>
  <si>
    <t>https://myiipea.com/media/etudiant/photo/WhatsApp_Image_2023-10-23_at_4.42.21_PM.jpeg</t>
  </si>
  <si>
    <t>AKAA2305050001</t>
  </si>
  <si>
    <t>AKISSI RUTH MONDESIRE</t>
  </si>
  <si>
    <t>https://myiipea.com/media/etudiant/photo/WhatsApp_Image_2023-10-02_at_7.06.48_PM.jpeg</t>
  </si>
  <si>
    <t>AKAA1302010001</t>
  </si>
  <si>
    <t>ATCHIMAN ANNE BLANDINE</t>
  </si>
  <si>
    <t>https://myiipea.com/media/etudiant/photo/WhatsApp_Image_2023-10-03_at_17.07.45.jpeg</t>
  </si>
  <si>
    <t>AKAB2411010001</t>
  </si>
  <si>
    <t>BEDA ANGE</t>
  </si>
  <si>
    <t>https://myiipea.com/media/etudiant/photo/WhatsApp_Image_2023-10-23_at_12.14.45.jpeg</t>
  </si>
  <si>
    <t>AKAB1007050001</t>
  </si>
  <si>
    <t>BOSSON JACQUELINE AURELIENNE</t>
  </si>
  <si>
    <t>https://myiipea.com/media/etudiant/photo/WhatsApp_Image_2023-10-02_at_10.40.31.jpeg</t>
  </si>
  <si>
    <t>AKAB0105040001</t>
  </si>
  <si>
    <t>BROU N'NASSE GRACE EMMANUELLA SUZANNE</t>
  </si>
  <si>
    <t>https://myiipea.com/media/etudiant/photo/WhatsApp_Image_2023-10-04_at_08.29.01.jpeg</t>
  </si>
  <si>
    <t>AKAG1703050001</t>
  </si>
  <si>
    <t>GNANMIAN NELSON EMMANUEL</t>
  </si>
  <si>
    <t>https://myiipea.com/media/etudiant/photo/WhatsApp_Image_2023-11-06_at_4.33.37_PM.jpeg</t>
  </si>
  <si>
    <t>AKAJ0101030001</t>
  </si>
  <si>
    <t>JOSEPHINE</t>
  </si>
  <si>
    <t>https://myiipea.com/media/etudiant/photo/WhatsApp_Image_2023-09-29_at_13_resized_BDNgcpv.png</t>
  </si>
  <si>
    <t>AKAK0701050001</t>
  </si>
  <si>
    <t>KOFFI WILLIAM SERAPHIN</t>
  </si>
  <si>
    <t>https://myiipea.com/media/etudiant/photo/WhatsApp_Image_2023-10-05_at_09.34.52.jpeg</t>
  </si>
  <si>
    <t>AKAM2908020001</t>
  </si>
  <si>
    <t>MAEL CHRIST ELIE</t>
  </si>
  <si>
    <t>https://myiipea.com/media/etudiant/photo/WhatsApp_Image_2023-10-03_at_08.20.54.jpeg</t>
  </si>
  <si>
    <t>AKAM1704990002</t>
  </si>
  <si>
    <t>MARIE PRISCA LAURETTE</t>
  </si>
  <si>
    <t>https://myiipea.com/media/etudiant/photo/Logo_EMATECH_13EkmaW.png</t>
  </si>
  <si>
    <t>AKAN1907020001</t>
  </si>
  <si>
    <t>N'DA VERONIQUE</t>
  </si>
  <si>
    <t>https://myiipea.com/media/etudiant/photo/WhatsApp_Image_2023-10-09_at_15.38.30.jpeg</t>
  </si>
  <si>
    <t>AKAN1610010001</t>
  </si>
  <si>
    <t>N'GUESSAN ANAIS OLGA VINCIANE</t>
  </si>
  <si>
    <t>https://myiipea.com/media/etudiant/photo/WhatsApp_Image_2023-11-20_at_4.28.50_PM.jpeg</t>
  </si>
  <si>
    <t>AKAN1409040001</t>
  </si>
  <si>
    <t>NANOU MIKAEL</t>
  </si>
  <si>
    <t>https://myiipea.com/media/etudiant/photo/WhatsApp_Image_2023-10-31_at_4.00.12_PM.jpeg</t>
  </si>
  <si>
    <t>AKAN2910020001</t>
  </si>
  <si>
    <t>NARCISSE</t>
  </si>
  <si>
    <t>https://myiipea.com/media/etudiant/photo/WhatsApp_Image_2023-10-03_at_1.29.43_PM.jpeg</t>
  </si>
  <si>
    <t>AKAN1012020001</t>
  </si>
  <si>
    <t>NATCHIA INNOCENT</t>
  </si>
  <si>
    <t>https://myiipea.com/media/etudiant/photo/WhatsApp_Image_2023-10-04_at_19.52.10.jpeg</t>
  </si>
  <si>
    <t>AKAY2609030001</t>
  </si>
  <si>
    <t>YABA GRACE DORIANE</t>
  </si>
  <si>
    <t>https://myiipea.com/media/etudiant/photo/WhatsApp_Image_2023-11-20_at_3.34.49_PM.jpeg</t>
  </si>
  <si>
    <t>AKAY2903020001</t>
  </si>
  <si>
    <t>YAH OSNELLE AURELIA</t>
  </si>
  <si>
    <t>https://myiipea.com/media/etudiant/photo/727f3f1b-8c63-4225-90cb-c5153cd8f668-removebg-preview.png</t>
  </si>
  <si>
    <t>AKAN0204010001</t>
  </si>
  <si>
    <t>AKABLA</t>
  </si>
  <si>
    <t>NAOMIE NATOUOBE EMERAUDE</t>
  </si>
  <si>
    <t>https://myiipea.com/media/etudiant/photo/WhatsApp_Image_2023-10-10_at_14.26.53.jpeg</t>
  </si>
  <si>
    <t>AKAB2805050001</t>
  </si>
  <si>
    <t>AKADJE</t>
  </si>
  <si>
    <t>BOGUIFOH YOHERNE</t>
  </si>
  <si>
    <t>https://myiipea.com/media/etudiant/photo/WhatsApp_Image_2023-10-04_at_16.37.46.jpeg</t>
  </si>
  <si>
    <t>AKAP2411030001</t>
  </si>
  <si>
    <t>AKAFFOU</t>
  </si>
  <si>
    <t>PRUNELLE EDITH ORLANE</t>
  </si>
  <si>
    <t>https://myiipea.com/media/etudiant/photo/WhatsApp_Image_2023-10-10_at_5.08.36_PM.jpeg</t>
  </si>
  <si>
    <t>AKAY3003010001</t>
  </si>
  <si>
    <t>YABA STEPHANIE</t>
  </si>
  <si>
    <t>https://myiipea.com/media/etudiant/photo/WhatsApp_Image_2023-10-17_at_12.02.13.jpeg</t>
  </si>
  <si>
    <t>AKAK2910000001</t>
  </si>
  <si>
    <t>AKAKI</t>
  </si>
  <si>
    <t>KOFFI SAMUEL</t>
  </si>
  <si>
    <t>https://myiipea.com/media/etudiant/photo/WhatsApp_Image_2023-11-13_at_1.23.28_PM.jpeg</t>
  </si>
  <si>
    <t>AKAA3011900001</t>
  </si>
  <si>
    <t>AKANDAN</t>
  </si>
  <si>
    <t>ANDREE CARMELLE</t>
  </si>
  <si>
    <t>https://myiipea.com/media/etudiant/photo/WhatsApp_Image_2023-10-03_at_11.14.56_AM_DhMmAsX.jpeg</t>
  </si>
  <si>
    <t>AKAJ1704020002</t>
  </si>
  <si>
    <t>AKANDE</t>
  </si>
  <si>
    <t>JEAN JOEL</t>
  </si>
  <si>
    <t>https://myiipea.com/media/etudiant/photo/239422487_405915444207421_8131329350063382999_n_XVMRfhI.jpg</t>
  </si>
  <si>
    <t>AKAN1904050001</t>
  </si>
  <si>
    <t>AKAZA</t>
  </si>
  <si>
    <t>N'GUESSAN MARC ROLAND LOIC</t>
  </si>
  <si>
    <t>https://myiipea.com/media/etudiant/photo/WhatsApp_Image_2023-10-05_at_10.45.24.jpeg</t>
  </si>
  <si>
    <t>AKEA0309020001</t>
  </si>
  <si>
    <t>AKE</t>
  </si>
  <si>
    <t>AKE ALPHONSE JUNIOR</t>
  </si>
  <si>
    <t>https://myiipea.com/media/etudiant/photo/WhatsApp_Image_2023-11-16_at_1.56.33_PM.jpeg</t>
  </si>
  <si>
    <t>AKEA0709020001</t>
  </si>
  <si>
    <t>AKE HENRI GAEL</t>
  </si>
  <si>
    <t>https://myiipea.com/media/etudiant/photo/WhatsApp_Image_2023-09-29_at_16.27.42.jpeg</t>
  </si>
  <si>
    <t>AKEA2001050001</t>
  </si>
  <si>
    <t>AKE JEAN CLAUDE-ISAAC</t>
  </si>
  <si>
    <t>https://myiipea.com/media/etudiant/photo/WhatsApp_Image_2023-09-29_at_18.16.37.jpeg</t>
  </si>
  <si>
    <t>AKEA1009030002</t>
  </si>
  <si>
    <t>AKOUBA MATHURINE</t>
  </si>
  <si>
    <t>https://myiipea.com/media/etudiant/photo/WhatsApp_Image_2023-11-16_at_2.02.17_PM.jpeg</t>
  </si>
  <si>
    <t>AKEB1009990001</t>
  </si>
  <si>
    <t>BEUGRE FRANCK JUNIOR</t>
  </si>
  <si>
    <t>https://myiipea.com/media/etudiant/photo/WhatsApp_Image_2023-10-16_at_16.40.55.jpeg</t>
  </si>
  <si>
    <t>AKEB1707030001</t>
  </si>
  <si>
    <t>BEUGRE SIMEON DORGELES</t>
  </si>
  <si>
    <t>https://myiipea.com/media/etudiant/photo/WhatsApp_Image_2023-10-16_at_17.05.27.jpeg</t>
  </si>
  <si>
    <t>AKEB0910040001</t>
  </si>
  <si>
    <t>BOMOA ANDREA</t>
  </si>
  <si>
    <t>https://myiipea.com/media/etudiant/photo/WhatsApp_Image_2023-10-23_at_11.55.45_AM.jpeg</t>
  </si>
  <si>
    <t>AKEE1908040001</t>
  </si>
  <si>
    <t>EUDES-RYAN</t>
  </si>
  <si>
    <t>https://myiipea.com/media/etudiant/photo/WhatsApp_Image_2023-10-03_at_10.38.54.jpeg</t>
  </si>
  <si>
    <t>AKEM0702000001</t>
  </si>
  <si>
    <t>MARIE VELUS ACRE BENEDICTE QUEERE</t>
  </si>
  <si>
    <t>https://myiipea.com/media/etudiant/photo/WhatsApp_Image_2023-09-22_at_11.52.45.jpeg</t>
  </si>
  <si>
    <t>AKER2802030001</t>
  </si>
  <si>
    <t>RITA SYBILLE QUECRE</t>
  </si>
  <si>
    <t>https://myiipea.com/media/etudiant/photo/WhatsApp_Image_2023-09-22_at_11.52.17.jpeg</t>
  </si>
  <si>
    <t>AKES2611010001</t>
  </si>
  <si>
    <t>STEPHANE EMMANUEL REGIS</t>
  </si>
  <si>
    <t>https://myiipea.com/media/etudiant/photo/WhatsApp_Image_2023-10-06_at_09.37.31.jpeg</t>
  </si>
  <si>
    <t>AKEA0109050001</t>
  </si>
  <si>
    <t>AKETCHI</t>
  </si>
  <si>
    <t>AMAN JEAN NATHANAEL</t>
  </si>
  <si>
    <t>https://myiipea.com/media/etudiant/photo/WhatsApp_Image_2023-10-05_at_11.52.00.jpeg</t>
  </si>
  <si>
    <t>AKIA2512050001</t>
  </si>
  <si>
    <t>AKINLABI</t>
  </si>
  <si>
    <t>ABEBI ORLADOUNI AFFOUE NOELLE AICHATOU</t>
  </si>
  <si>
    <t>https://myiipea.com/media/etudiant/photo/WhatsApp_Image_2023-10-27_at_16.35.56.jpeg</t>
  </si>
  <si>
    <t>AKOE0101020001</t>
  </si>
  <si>
    <t>AKO</t>
  </si>
  <si>
    <t>ESSE AMOIN SONIA PRISCA</t>
  </si>
  <si>
    <t>https://myiipea.com/media/etudiant/photo/WhatsApp_Image_2023-11-17_at_11.39.53.jpeg</t>
  </si>
  <si>
    <t>AKOO1803050001</t>
  </si>
  <si>
    <t>ORO ALICE RUTH JOELLE</t>
  </si>
  <si>
    <t>https://myiipea.com/media/etudiant/photo/WhatsApp_Image_2023-10-27_at_15.14.15.jpeg</t>
  </si>
  <si>
    <t>AKOA2703040001</t>
  </si>
  <si>
    <t>AKOATY</t>
  </si>
  <si>
    <t>ANGE PHILOMENT</t>
  </si>
  <si>
    <t>https://myiipea.com/media/etudiant/photo/WhatsApp_Image_2023-09-20_%C3%A0_16.18.22.jpg</t>
  </si>
  <si>
    <t>AKON1805010001</t>
  </si>
  <si>
    <t>AKOCHI</t>
  </si>
  <si>
    <t>N'GOH MARIETTE LAUREEN</t>
  </si>
  <si>
    <t>https://myiipea.com/media/etudiant/photo/WhatsApp_Image_2023-10-19_at_10.23.58.jpeg</t>
  </si>
  <si>
    <t>AKOO2009050001</t>
  </si>
  <si>
    <t>AKOGNON</t>
  </si>
  <si>
    <t>ORPHEE GRACE VANESSA</t>
  </si>
  <si>
    <t>https://myiipea.com/media/etudiant/photo/WhatsApp_Image_2023-10-12_at_10.12.06.jpeg</t>
  </si>
  <si>
    <t>AKON2712040002</t>
  </si>
  <si>
    <t>AKOKO</t>
  </si>
  <si>
    <t>NIAMKE JEAN WILFRIED</t>
  </si>
  <si>
    <t>https://myiipea.com/media/etudiant/photo/WhatsApp_Image_2023-10-04_at_16.52.57.jpeg</t>
  </si>
  <si>
    <t>AKOJ3101010001</t>
  </si>
  <si>
    <t>AKOU</t>
  </si>
  <si>
    <t>JESSICA PATRICIA ALLOU</t>
  </si>
  <si>
    <t>https://myiipea.com/media/etudiant/photo/WhatsApp_Image_2023-10-13_at_10.04.36.jpeg</t>
  </si>
  <si>
    <t>AKOA0212030001</t>
  </si>
  <si>
    <t>AKOUANI</t>
  </si>
  <si>
    <t>ALLOH-BIE MARIE-LAURENE</t>
  </si>
  <si>
    <t>https://myiipea.com/media/etudiant/photo/WhatsApp_Image_2023-10-04_at_12.58.39.jpeg</t>
  </si>
  <si>
    <t>AKOM0412020001</t>
  </si>
  <si>
    <t>AKOUASSA</t>
  </si>
  <si>
    <t>MAYOUSS ANNA MIRA</t>
  </si>
  <si>
    <t>https://myiipea.com/media/etudiant/photo/WhatsApp_Image_2023-10-11_at_10.12.50.jpeg</t>
  </si>
  <si>
    <t>AKOA0306050001</t>
  </si>
  <si>
    <t>AKOUATIA</t>
  </si>
  <si>
    <t>AGBE ROSALIE EVA</t>
  </si>
  <si>
    <t>https://myiipea.com/media/etudiant/photo/WhatsApp_Image_2023-09-20_at_11.05.47.jpeg</t>
  </si>
  <si>
    <t>AKOD2805980001</t>
  </si>
  <si>
    <t>AKOUEGNON</t>
  </si>
  <si>
    <t>DEWANOU GERMAIN</t>
  </si>
  <si>
    <t>https://myiipea.com/media/etudiant/photo/239422487_405915444207421_8131329350063382999_n_qXyXxmA.jpg</t>
  </si>
  <si>
    <t>AKOM0605030001</t>
  </si>
  <si>
    <t>AKOUMIAN</t>
  </si>
  <si>
    <t>MIENMAN ESTHER</t>
  </si>
  <si>
    <t>https://myiipea.com/media/etudiant/photo/WhatsApp_Image_2023-10-11_at_2.22.45_PM.jpeg</t>
  </si>
  <si>
    <t>AKPM2011050001</t>
  </si>
  <si>
    <t>AKPA</t>
  </si>
  <si>
    <t>MERLENE PRECILIA GRACE</t>
  </si>
  <si>
    <t>https://myiipea.com/media/etudiant/photo/WhatsApp_Image_2023-10-23_at_15.22.59_1.jpeg</t>
  </si>
  <si>
    <t>AKPY1405010001</t>
  </si>
  <si>
    <t>YOU ANNE ELISABETHE</t>
  </si>
  <si>
    <t>https://myiipea.com/media/etudiant/photo/WhatsApp_Image_2023-10-30_at_10.58.24.jpeg</t>
  </si>
  <si>
    <t>AKPK0806000001</t>
  </si>
  <si>
    <t>AKPE</t>
  </si>
  <si>
    <t>KADJION CHRIST VICTOIRE</t>
  </si>
  <si>
    <t>https://myiipea.com/media/etudiant/photo/WhatsApp_Image_2023-10-16_at_09.41.44.jpeg</t>
  </si>
  <si>
    <t>AKPE0111040001</t>
  </si>
  <si>
    <t>AKPI</t>
  </si>
  <si>
    <t>ELISEE ESTHER</t>
  </si>
  <si>
    <t>https://myiipea.com/media/etudiant/photo/OIP.jfif</t>
  </si>
  <si>
    <t>AKPA0607040001</t>
  </si>
  <si>
    <t>AKPONI</t>
  </si>
  <si>
    <t>AMBE YANN EMMANNUEL</t>
  </si>
  <si>
    <t>https://myiipea.com/media/etudiant/photo/WhatsApp_Image_2023-11-08_at_11.18.52_AM_1.jpeg</t>
  </si>
  <si>
    <t>AKRN0111020001</t>
  </si>
  <si>
    <t>AKRA</t>
  </si>
  <si>
    <t>NANTAISSOU MARDOCHEE</t>
  </si>
  <si>
    <t>https://myiipea.com/media/etudiant/photo/WhatsApp_Image_2023-11-22_at_3.59.33_PM.jpeg</t>
  </si>
  <si>
    <t>AKRA1111040001</t>
  </si>
  <si>
    <t>AKRE</t>
  </si>
  <si>
    <t>AKREBIE GRACE SARAH CARMEL</t>
  </si>
  <si>
    <t>https://myiipea.com/media/etudiant/photo/IIPEA_TdgvYui.jpg</t>
  </si>
  <si>
    <t>AKRA1803030001</t>
  </si>
  <si>
    <t>AUDREY VALERIA FABIOLA</t>
  </si>
  <si>
    <t>https://myiipea.com/media/etudiant/photo/WhatsApp_Image_2023-10-03_at_14.23.12.jpeg</t>
  </si>
  <si>
    <t>AKRG1610040001</t>
  </si>
  <si>
    <t>GNANTA RUTH</t>
  </si>
  <si>
    <t>https://myiipea.com/media/etudiant/photo/IIPEA_prjjwyA.jpg</t>
  </si>
  <si>
    <t>AKRN1303030001</t>
  </si>
  <si>
    <t>NORA LESLIE ANDREA</t>
  </si>
  <si>
    <t>https://myiipea.com/media/etudiant/photo/WhatsApp_Image_2023-10-12_at_12.46.58.jpeg</t>
  </si>
  <si>
    <t>ALAO0104990001</t>
  </si>
  <si>
    <t>ALABA</t>
  </si>
  <si>
    <t>OYOUROU SEDJI CLOVIS</t>
  </si>
  <si>
    <t>https://myiipea.com/media/etudiant/photo/WhatsApp_Image_2023-10-30_at_09.19.06.jpeg</t>
  </si>
  <si>
    <t>ALLA0812050001</t>
  </si>
  <si>
    <t>ALANGBA</t>
  </si>
  <si>
    <t>ASSEY PRUNELLE DEMARIE URIA</t>
  </si>
  <si>
    <t>https://myiipea.com/media/etudiant/photo/WhatsApp_Image_2023-09-29_at_17.49.36.jpeg</t>
  </si>
  <si>
    <t>ALES0402020001</t>
  </si>
  <si>
    <t>ALEGRA</t>
  </si>
  <si>
    <t>SANGUIE JEMIMA NELLY GERALDINE</t>
  </si>
  <si>
    <t>https://myiipea.com/media/etudiant/photo/WhatsApp_Image_2023-11-17_at_10.07.01.jpeg</t>
  </si>
  <si>
    <t>ALES1803020001</t>
  </si>
  <si>
    <t>ALEROU</t>
  </si>
  <si>
    <t>SUBEDA ARIMPE LAMIDIE</t>
  </si>
  <si>
    <t>https://myiipea.com/media/etudiant/photo/WhatsApp_Image_2023-10-30_at_16.54.52.jpeg</t>
  </si>
  <si>
    <t>ALIK0812000001</t>
  </si>
  <si>
    <t>ALI</t>
  </si>
  <si>
    <t>KPARAH HABIB IDRISS</t>
  </si>
  <si>
    <t>https://myiipea.com/media/etudiant/photo/WhatsApp_Image_2023-09-29_at_18.34.29.jpeg</t>
  </si>
  <si>
    <t>ALIA0712030001</t>
  </si>
  <si>
    <t>ALIKET</t>
  </si>
  <si>
    <t>ANGE EMMANUEL MARTHIAL</t>
  </si>
  <si>
    <t>https://myiipea.com/media/etudiant/photo/WhatsApp_Image_2023-11-02_at_4.18.20_PM.jpeg</t>
  </si>
  <si>
    <t>ALIA2906050001</t>
  </si>
  <si>
    <t>ALIMAN</t>
  </si>
  <si>
    <t>ANGE MARC KENANE</t>
  </si>
  <si>
    <t>https://myiipea.com/media/etudiant/photo/WhatsApp_Image_2023-09-28_at_13.58.55.jpeg</t>
  </si>
  <si>
    <t>ALIA1010040001</t>
  </si>
  <si>
    <t>APOYI GEDEON</t>
  </si>
  <si>
    <t>https://myiipea.com/media/etudiant/photo/WhatsApp_Image_2023-10-11_at_12.24.23.jpeg</t>
  </si>
  <si>
    <t>ALIN2906050001</t>
  </si>
  <si>
    <t>N'DIAMOA MANUEL CHRIS JOHAN</t>
  </si>
  <si>
    <t>https://myiipea.com/media/etudiant/photo/WhatsApp_Image_2023-09-28_at_13.58.30.jpeg</t>
  </si>
  <si>
    <t>ALIA1406020001</t>
  </si>
  <si>
    <t>ALIO</t>
  </si>
  <si>
    <t>ADJARA</t>
  </si>
  <si>
    <t>https://myiipea.com/media/etudiant/photo/WhatsApp_Image_2023-10-04_at_17.03.29.jpeg</t>
  </si>
  <si>
    <t>ALLH2004050001</t>
  </si>
  <si>
    <t>ALLA</t>
  </si>
  <si>
    <t>HASSYNE BERENICE KANON</t>
  </si>
  <si>
    <t>https://myiipea.com/media/etudiant/photo/WhatsApp_Image_2023-10-23_at_13.17.49.jpeg</t>
  </si>
  <si>
    <t>ALLK2503030001</t>
  </si>
  <si>
    <t>KOUASSI KOUALI ESTHER ROXANE</t>
  </si>
  <si>
    <t>https://myiipea.com/media/etudiant/photo/690aba04-eb91-420b-b5e3-d8770d81a3de_resized_pxDn0yU.png</t>
  </si>
  <si>
    <t>ALLK1207040001</t>
  </si>
  <si>
    <t>KOUASSI MICHAEL</t>
  </si>
  <si>
    <t>https://myiipea.com/media/etudiant/photo/WhatsApp_Image_2023-11-07_at_2.12.14_PM.jpeg</t>
  </si>
  <si>
    <t>ALLV1503030001</t>
  </si>
  <si>
    <t>VICTOIRE GRACE EMMANUELLE</t>
  </si>
  <si>
    <t>https://myiipea.com/media/etudiant/photo/IIPEA_qa3ciBg.png</t>
  </si>
  <si>
    <t>ALLD0208030001</t>
  </si>
  <si>
    <t>ALLAH</t>
  </si>
  <si>
    <t>DESIREE DEBORAH VICTOIRE</t>
  </si>
  <si>
    <t>https://myiipea.com/media/etudiant/photo/ALLAH.jpg</t>
  </si>
  <si>
    <t>ALLA2809060001</t>
  </si>
  <si>
    <t>ALLALI</t>
  </si>
  <si>
    <t>AHOU NINA KELLY</t>
  </si>
  <si>
    <t>https://myiipea.com/media/etudiant/photo/WhatsApp_Image_2023-10-13_at_17.09.26.jpeg</t>
  </si>
  <si>
    <t>ALLA1002030001</t>
  </si>
  <si>
    <t>ALLANGBA</t>
  </si>
  <si>
    <t>AKISSI MARIE GRACE JECOLIA</t>
  </si>
  <si>
    <t>https://myiipea.com/media/etudiant/photo/IIPEA_JOhyKML.jpg</t>
  </si>
  <si>
    <t>ALLN2406040001</t>
  </si>
  <si>
    <t>N'GUESSAN WILFRIED</t>
  </si>
  <si>
    <t>https://myiipea.com/media/etudiant/photo/WhatsApp_Image_2023-09-29_at_14.05.53.jpeg</t>
  </si>
  <si>
    <t>ALLJ1703050001</t>
  </si>
  <si>
    <t>ALLE</t>
  </si>
  <si>
    <t>JEAN CHRISTIEN WILFRIED</t>
  </si>
  <si>
    <t>https://myiipea.com/media/etudiant/photo/WhatsApp_Image_2023-09-15_at_10.36.22.jpeg</t>
  </si>
  <si>
    <t>ALLY2004040001</t>
  </si>
  <si>
    <t>YOUA YVONNE GRACE DARLINE</t>
  </si>
  <si>
    <t>https://myiipea.com/media/etudiant/photo/WhatsApp_Image_2023-09-18_at_09.44.08.jpeg</t>
  </si>
  <si>
    <t>ALLA0711020001</t>
  </si>
  <si>
    <t>ALLEBY</t>
  </si>
  <si>
    <t>AMAH SAKENATOU</t>
  </si>
  <si>
    <t>https://myiipea.com/media/etudiant/photo/WhatsApp_Image_2023-10-10_at_14.22.57.jpeg</t>
  </si>
  <si>
    <t>ALLA0210060001</t>
  </si>
  <si>
    <t>ALLEPO</t>
  </si>
  <si>
    <t>ADON AXEL PATRICK</t>
  </si>
  <si>
    <t>https://myiipea.com/media/etudiant/photo/WhatsApp_Image_2023-11-14_at_14.19.13.jpeg</t>
  </si>
  <si>
    <t>ALLM0406010001</t>
  </si>
  <si>
    <t>ALLI</t>
  </si>
  <si>
    <t>MOUTMAINAT BERNADETTE ABIDEMI</t>
  </si>
  <si>
    <t>https://myiipea.com/media/etudiant/photo/WhatsApp_Image_2023-10-10_at_10.30.12.jpeg</t>
  </si>
  <si>
    <t>ALLL1511020002</t>
  </si>
  <si>
    <t>ALLICO</t>
  </si>
  <si>
    <t>LEDI ROMAIN</t>
  </si>
  <si>
    <t>https://myiipea.com/media/etudiant/photo/WhatsApp_Image_2023-11-28_at_10.49.38_AM.jpeg</t>
  </si>
  <si>
    <t>ALLA1602960001</t>
  </si>
  <si>
    <t>ALLO</t>
  </si>
  <si>
    <t>ARTHUR GUY VINCENT</t>
  </si>
  <si>
    <t>https://myiipea.com/media/etudiant/photo/WhatsApp_Image_2023-11-02_at_5.24.12_PM.jpeg</t>
  </si>
  <si>
    <t>ALLS0701010001</t>
  </si>
  <si>
    <t>SOPIE MARIE-SARAH GUILAINE</t>
  </si>
  <si>
    <t>https://myiipea.com/media/etudiant/photo/WhatsApp_Image_2023-09-18_at_12.25.13.jpeg</t>
  </si>
  <si>
    <t>ALLY1207030001</t>
  </si>
  <si>
    <t>ALLOBOUE</t>
  </si>
  <si>
    <t>YOBOU RUTH ESTHER</t>
  </si>
  <si>
    <t>https://myiipea.com/media/etudiant/photo/WhatsApp_Image_2023-10-17_at_13.34.00.jpeg</t>
  </si>
  <si>
    <t>ALLK2205030001</t>
  </si>
  <si>
    <t>ALLOH</t>
  </si>
  <si>
    <t>KENNY WILLIAM NESTOR</t>
  </si>
  <si>
    <t>https://myiipea.com/media/etudiant/photo/IIPEA_KGgKGa3.jpg</t>
  </si>
  <si>
    <t>ALLA1906040001</t>
  </si>
  <si>
    <t>ALLOU</t>
  </si>
  <si>
    <t>AGO MARLENE ESTHER</t>
  </si>
  <si>
    <t>https://myiipea.com/media/etudiant/photo/WhatsApp_Image_2023-10-16_at_17.00.52.jpeg</t>
  </si>
  <si>
    <t>ALLF2910020001</t>
  </si>
  <si>
    <t>FAMIEN ALEXIS JOHNSON</t>
  </si>
  <si>
    <t>https://myiipea.com/media/etudiant/photo/WhatsApp_Image_2023-10-13_at_5.27.01_PM.jpeg</t>
  </si>
  <si>
    <t>ALLR0506040001</t>
  </si>
  <si>
    <t>ROMANCE LAURELLE FLEURY</t>
  </si>
  <si>
    <t>https://myiipea.com/media/etudiant/photo/WhatsApp_Image_2023-10-30_at_17.11.57.jpeg</t>
  </si>
  <si>
    <t>ALOA0611020001</t>
  </si>
  <si>
    <t>ALOWONOU</t>
  </si>
  <si>
    <t>AKOUAVI SOLANGE</t>
  </si>
  <si>
    <t>https://myiipea.com/media/etudiant/photo/WhatsApp_Image_2023-10-23_at_13.51.35.jpeg</t>
  </si>
  <si>
    <t>ALPA1012040001</t>
  </si>
  <si>
    <t>ALPHA</t>
  </si>
  <si>
    <t>AMADOU DIALLO</t>
  </si>
  <si>
    <t>https://myiipea.com/media/etudiant/photo/WhatsApp_Image_2023-10-09_at_14.56.42.jpeg</t>
  </si>
  <si>
    <t>AMAK1609990001</t>
  </si>
  <si>
    <t>AMADOU</t>
  </si>
  <si>
    <t>KONANDI KOUAKOU GUY HERMANN BIEL</t>
  </si>
  <si>
    <t>https://myiipea.com/media/etudiant/photo/WhatsApp_Image_2023-09-22_at_10.51.57.jpeg</t>
  </si>
  <si>
    <t>AMAM1301050001</t>
  </si>
  <si>
    <t>AMAGLO</t>
  </si>
  <si>
    <t>MAWUKO CELESTIN EDOH</t>
  </si>
  <si>
    <t>https://myiipea.com/media/etudiant/photo/WhatsApp_Image_2023-10-10_at_12.02.44.jpeg</t>
  </si>
  <si>
    <t>AMAA1211030001</t>
  </si>
  <si>
    <t>AMAKOU</t>
  </si>
  <si>
    <t>ADJOBA CHANCE MARIE-FREDERIQUE</t>
  </si>
  <si>
    <t>https://myiipea.com/media/etudiant/photo/WhatsApp_Image_2023-10-30_at_10.57.40.jpeg</t>
  </si>
  <si>
    <t>AMAT2405000001</t>
  </si>
  <si>
    <t>AMALAMAN</t>
  </si>
  <si>
    <t>TANO CHRISTOPHE STANISLAS</t>
  </si>
  <si>
    <t>https://myiipea.com/media/etudiant/photo/WhatsApp_Image_2023-11-17_at_15.43.37.jpeg</t>
  </si>
  <si>
    <t>AMAB2705040001</t>
  </si>
  <si>
    <t>AMAN</t>
  </si>
  <si>
    <t>BROU MARIE JOSIANE</t>
  </si>
  <si>
    <t>https://myiipea.com/media/etudiant/photo/WhatsApp_Image_2023-11-03_at_1.19.11_PM.jpeg</t>
  </si>
  <si>
    <t>AMAC0511980001</t>
  </si>
  <si>
    <t>CHRIS STEPHANE JAURES</t>
  </si>
  <si>
    <t>https://myiipea.com/media/etudiant/photo/WhatsApp_Image_2023-10-17_at_10.20.16.jpeg</t>
  </si>
  <si>
    <t>AMAM0510060001</t>
  </si>
  <si>
    <t>MONSOH YANN OREX</t>
  </si>
  <si>
    <t>https://myiipea.com/media/etudiant/photo/WhatsApp_Image_2023-10-05_at_15_resized_QKmVSO6.png</t>
  </si>
  <si>
    <t>AMAN0509040001</t>
  </si>
  <si>
    <t>N'GUESSAN BOSSOH ANGE-MICHEL</t>
  </si>
  <si>
    <t>https://myiipea.com/media/etudiant/photo/WhatsApp_Image_2023-10-05_at_13.31.12.jpeg</t>
  </si>
  <si>
    <t>AMAM1801050001</t>
  </si>
  <si>
    <t>AMAND</t>
  </si>
  <si>
    <t>MARC N'FEVLE SAMUEL OTHINIEL</t>
  </si>
  <si>
    <t>https://myiipea.com/media/etudiant/photo/WhatsApp_Image_2023-10-04_at_12.38.54_PM.jpeg</t>
  </si>
  <si>
    <t>AMAS2110010001</t>
  </si>
  <si>
    <t>AMANE</t>
  </si>
  <si>
    <t>SYLVIA MARLINE</t>
  </si>
  <si>
    <t>https://myiipea.com/media/etudiant/photo/WhatsApp_Image_2023-10-11_at_13.04.26.jpeg</t>
  </si>
  <si>
    <t>AMAA2904020001</t>
  </si>
  <si>
    <t>AMANGOUA</t>
  </si>
  <si>
    <t>KOUAME ISAAC FIDELE</t>
  </si>
  <si>
    <t>https://myiipea.com/media/etudiant/photo/IMG_1235_resized.png</t>
  </si>
  <si>
    <t>AMAA0512000001</t>
  </si>
  <si>
    <t>AMANI</t>
  </si>
  <si>
    <t>AHOU RUTH-EMMANNUELA</t>
  </si>
  <si>
    <t>https://myiipea.com/media/etudiant/photo/WhatsApp_Image_2023-10-10_at_13.01.10.jpeg</t>
  </si>
  <si>
    <t>AMAA0905050001</t>
  </si>
  <si>
    <t>AKISSI GRACE EMMANUELLA</t>
  </si>
  <si>
    <t>https://myiipea.com/media/etudiant/photo/WhatsApp_Image_2023-09-28_at_10.17.32.jpeg</t>
  </si>
  <si>
    <t>AMAA1007020001</t>
  </si>
  <si>
    <t>AMENAN ULRICH MARIE DE KOFFI</t>
  </si>
  <si>
    <t>https://myiipea.com/media/etudiant/photo/WhatsApp_Image_2023-11-27_at_13.18.42.jpeg</t>
  </si>
  <si>
    <t>AMAA0307050001</t>
  </si>
  <si>
    <t>AMOIN TRYPHENE ALICIA</t>
  </si>
  <si>
    <t>https://myiipea.com/media/etudiant/photo/WhatsApp_Image_2023-10-06_at_16.43.31.jpeg</t>
  </si>
  <si>
    <t>AMAA1704010001</t>
  </si>
  <si>
    <t>AUDREY RICHMONDE</t>
  </si>
  <si>
    <t>https://myiipea.com/media/etudiant/photo/WhatsApp_Image_2023-10-23_at_09.55.28.jpeg</t>
  </si>
  <si>
    <t>AMAC2012050001</t>
  </si>
  <si>
    <t>COLOMB</t>
  </si>
  <si>
    <t>https://myiipea.com/media/etudiant/photo/WhatsApp_Image_2023-11-06_at_5.50.15_PM.jpeg</t>
  </si>
  <si>
    <t>AMAK2206020001</t>
  </si>
  <si>
    <t>KOCK MANUELLA CHRISTELLE</t>
  </si>
  <si>
    <t>https://myiipea.com/media/etudiant/photo/WhatsApp_Image_2023-10-16_at_10.09.30.jpeg</t>
  </si>
  <si>
    <t>AMAK1606040001</t>
  </si>
  <si>
    <t>KOUADIO ARTHUR</t>
  </si>
  <si>
    <t>https://myiipea.com/media/etudiant/photo/WhatsApp_Image_2023-09-25_at_11.27.48.jpeg</t>
  </si>
  <si>
    <t>AMAK1012020001</t>
  </si>
  <si>
    <t>KOUADIO MOREL PRINCE EMMANUEL</t>
  </si>
  <si>
    <t>https://myiipea.com/media/etudiant/photo/WhatsApp_Image_2023-10-04_at_12.06.12.jpeg</t>
  </si>
  <si>
    <t>AMAK0707050001</t>
  </si>
  <si>
    <t>KOUAKOU JEAN WILFRIED MORREL</t>
  </si>
  <si>
    <t>https://myiipea.com/media/etudiant/photo/WhatsApp_Image_2023-10-02_at_11.21.16.jpeg</t>
  </si>
  <si>
    <t>AMAP1608040001</t>
  </si>
  <si>
    <t>PANWAN MOSSIA BLANCHE VANESSA</t>
  </si>
  <si>
    <t>https://myiipea.com/media/etudiant/photo/WhatsApp_Image_2023-10-10_at_17.17.55.jpeg</t>
  </si>
  <si>
    <t>AMAA1008040001</t>
  </si>
  <si>
    <t>AMANY</t>
  </si>
  <si>
    <t>ADJOUA ANGE MARIE GRACE</t>
  </si>
  <si>
    <t>https://myiipea.com/media/etudiant/photo/WhatsApp_Image_2023-10-03_at_17_resized.png</t>
  </si>
  <si>
    <t>AMAF1303010002</t>
  </si>
  <si>
    <t>FRANCK AXEL CHRISTOPHE</t>
  </si>
  <si>
    <t>https://myiipea.com/media/etudiant/photo/WhatsApp_Image_2023-11-02_at_09.56.49_AChpEvB.jpeg</t>
  </si>
  <si>
    <t>AMAS1412050001</t>
  </si>
  <si>
    <t>AMANZOU</t>
  </si>
  <si>
    <t>SOMA JEMIMA EUNICE</t>
  </si>
  <si>
    <t>https://myiipea.com/media/etudiant/photo/WhatsApp_Image_2023-10-03_at_14.11.37.jpeg</t>
  </si>
  <si>
    <t>AMAA1912030001</t>
  </si>
  <si>
    <t>AMARA</t>
  </si>
  <si>
    <t>AMINATA</t>
  </si>
  <si>
    <t>https://myiipea.com/media/etudiant/photo/WhatsApp_Image_2023-10-06_at_15.55.35.jpeg</t>
  </si>
  <si>
    <t>AMAE1412030001</t>
  </si>
  <si>
    <t>AMARI</t>
  </si>
  <si>
    <t>EDJEM'S DAVID CHRISTIAN</t>
  </si>
  <si>
    <t>https://myiipea.com/media/etudiant/photo/WhatsApp_Image_2023-11-21_at_16.44.33.jpeg</t>
  </si>
  <si>
    <t>AMEB2001010001</t>
  </si>
  <si>
    <t>AMELEMAN</t>
  </si>
  <si>
    <t>BENIE GRACE EMMANUELLA</t>
  </si>
  <si>
    <t>https://myiipea.com/media/etudiant/photo/WhatsApp_Image_2023-10-04_at_13.39.17.jpeg</t>
  </si>
  <si>
    <t>AMEA2504030001</t>
  </si>
  <si>
    <t>AMELIN</t>
  </si>
  <si>
    <t>AHOUA MARC YANN DESIRE</t>
  </si>
  <si>
    <t>https://myiipea.com/media/etudiant/photo/WhatsApp_Image_2023-09-29_at_09.07.04.jpeg</t>
  </si>
  <si>
    <t>AMEE2104060001</t>
  </si>
  <si>
    <t>AMEYAO</t>
  </si>
  <si>
    <t>EHUIBLA AURIANE MARYLINE</t>
  </si>
  <si>
    <t>https://myiipea.com/media/etudiant/photo/IIPEA_2gmdB9l.jpg</t>
  </si>
  <si>
    <t>AMIY2110030001</t>
  </si>
  <si>
    <t>AMIAN</t>
  </si>
  <si>
    <t>YANN PRIVAT EMMANUEL</t>
  </si>
  <si>
    <t>https://myiipea.com/media/etudiant/photo/WhatsApp_Image_2023-10-26_at_12.33.42.jpeg</t>
  </si>
  <si>
    <t>AMIA2304050001</t>
  </si>
  <si>
    <t>AMIHERE</t>
  </si>
  <si>
    <t>ACOUBA MARCELINE</t>
  </si>
  <si>
    <t>https://myiipea.com/media/etudiant/photo/WhatsApp_Image_2023-10-05_at_12.30.54.jpeg</t>
  </si>
  <si>
    <t>AMIK1710020001</t>
  </si>
  <si>
    <t>AMIN</t>
  </si>
  <si>
    <t>KOUAO JUDICAEL</t>
  </si>
  <si>
    <t>https://myiipea.com/media/etudiant/photo/WhatsApp_Image_2023-10-04_at_14.57.15.jpeg</t>
  </si>
  <si>
    <t>AMOB2206040001</t>
  </si>
  <si>
    <t>AMOA</t>
  </si>
  <si>
    <t>BEKANHOULE YAN DESIRE</t>
  </si>
  <si>
    <t>https://myiipea.com/media/etudiant/photo/WhatsApp_Image_2023-10-12_at_12.39.29.jpeg</t>
  </si>
  <si>
    <t>AMOK2712020001</t>
  </si>
  <si>
    <t>KONIN DANIEL</t>
  </si>
  <si>
    <t>https://myiipea.com/media/etudiant/photo/WhatsApp_Image_2023-11-27_at_1.49.13_PM.jpeg</t>
  </si>
  <si>
    <t>AMOA1611020001</t>
  </si>
  <si>
    <t>AMODU</t>
  </si>
  <si>
    <t>ALIYAAH LAUREN LABAKE</t>
  </si>
  <si>
    <t>https://myiipea.com/media/etudiant/photo/WhatsApp_Image_2023-09-26_at_10.59.00.jpeg</t>
  </si>
  <si>
    <t>AMOM1006020001</t>
  </si>
  <si>
    <t>AMOI</t>
  </si>
  <si>
    <t>MANZAN SARAH</t>
  </si>
  <si>
    <t>https://myiipea.com/media/etudiant/photo/WhatsApp_Image_2023-10-11_at_14.12.44.jpeg</t>
  </si>
  <si>
    <t>AMOA0711020001</t>
  </si>
  <si>
    <t>AMOIKON</t>
  </si>
  <si>
    <t>AKOUA ANGE CARINE</t>
  </si>
  <si>
    <t>https://myiipea.com/media/etudiant/photo/WhatsApp_Image_2023-10-13_at_16.39.50.jpeg</t>
  </si>
  <si>
    <t>AMOA1701020001</t>
  </si>
  <si>
    <t>AMON</t>
  </si>
  <si>
    <t>ALABA GRACE ERNESTINE</t>
  </si>
  <si>
    <t>https://myiipea.com/media/etudiant/photo/WhatsApp_Image_2023-10-06_at_17.00.11.jpeg</t>
  </si>
  <si>
    <t>AMOB1901010001</t>
  </si>
  <si>
    <t>BROU ANDREA MARIE PAULE</t>
  </si>
  <si>
    <t>https://myiipea.com/media/etudiant/photo/WhatsApp_Image_2023-11-14_at_1.34.54_PM.jpeg</t>
  </si>
  <si>
    <t>AMOD0701030001</t>
  </si>
  <si>
    <t>DRIGBE NIMENIN MYRIAM</t>
  </si>
  <si>
    <t>https://myiipea.com/media/etudiant/photo/WhatsApp_Image_2023-10-31_at_16.34.31.jpeg</t>
  </si>
  <si>
    <t>AMOE2405040001</t>
  </si>
  <si>
    <t>EHOUMAN ANGE AXEL</t>
  </si>
  <si>
    <t>https://myiipea.com/media/etudiant/photo/WhatsApp_Image_2023-10-03_at_12.13.29.jpeg</t>
  </si>
  <si>
    <t>AMOG0809060001</t>
  </si>
  <si>
    <t>GRACE ESTHER SCHEKINAEL</t>
  </si>
  <si>
    <t>https://myiipea.com/media/etudiant/photo/WhatsApp_Image_2023-10-02_at_14.09.45.jpeg</t>
  </si>
  <si>
    <t>AMOK1110010001</t>
  </si>
  <si>
    <t>KOUADIO MARC JEFFERSON</t>
  </si>
  <si>
    <t>https://myiipea.com/media/etudiant/photo/WhatsApp_Image_2023-10-26_at_1.26.25_PM.jpeg</t>
  </si>
  <si>
    <t>AMOK3010970001</t>
  </si>
  <si>
    <t>KOUAME IVAN CHRIS-ELY</t>
  </si>
  <si>
    <t>https://myiipea.com/media/etudiant/photo/WhatsApp_Image_2023-10-30_at_15.04.10.jpeg</t>
  </si>
  <si>
    <t>AMON0812050001</t>
  </si>
  <si>
    <t>N'ZI NICOLAS JUNIOR</t>
  </si>
  <si>
    <t>https://myiipea.com/media/etudiant/photo/WhatsApp_Image_2023-09-28_at_12.46.59.jpeg</t>
  </si>
  <si>
    <t>AMON2310060001</t>
  </si>
  <si>
    <t>NOGBOU ABRAHAM CONSTANT</t>
  </si>
  <si>
    <t>https://myiipea.com/media/etudiant/photo/WhatsApp_Image_2023-09-28_at_12.19.50.jpeg</t>
  </si>
  <si>
    <t>AMOY0411030001</t>
  </si>
  <si>
    <t>AMONCHI</t>
  </si>
  <si>
    <t>YAPI FREJUCE</t>
  </si>
  <si>
    <t>https://myiipea.com/media/etudiant/photo/WhatsApp_Image_2023-11-13_at_11.12.40.jpeg</t>
  </si>
  <si>
    <t>AMOA1609040001</t>
  </si>
  <si>
    <t>AMONSAN</t>
  </si>
  <si>
    <t>ANGE CHRISTELLE DEBORA</t>
  </si>
  <si>
    <t>https://myiipea.com/media/etudiant/photo/WhatsApp_Image_2023-10-06_at_12.13.53.jpeg</t>
  </si>
  <si>
    <t>AMOA0107020001</t>
  </si>
  <si>
    <t>AMOUA</t>
  </si>
  <si>
    <t>AKESSE TIMOTHEE</t>
  </si>
  <si>
    <t>https://myiipea.com/media/etudiant/photo/WhatsApp_Image_2023-09-28_at_15.55.07.jpeg</t>
  </si>
  <si>
    <t>AMOL0504030001</t>
  </si>
  <si>
    <t>AMOUSSAN</t>
  </si>
  <si>
    <t>LOGBOSSI ASTRID ELVIRA</t>
  </si>
  <si>
    <t>https://myiipea.com/media/etudiant/photo/WhatsApp_Image_2023-09-20_%C3%A0_10.45.40.jpg</t>
  </si>
  <si>
    <t>AMOA2211030001</t>
  </si>
  <si>
    <t>AMOUZOU</t>
  </si>
  <si>
    <t>AMA GRACE</t>
  </si>
  <si>
    <t>https://myiipea.com/media/etudiant/photo/WhatsApp_Image_2023-09-25_at_08.50.15.jpeg</t>
  </si>
  <si>
    <t>AMUR1506040001</t>
  </si>
  <si>
    <t>AMUSA</t>
  </si>
  <si>
    <t>ROBIAT IYABO OYEPEJU</t>
  </si>
  <si>
    <t>https://myiipea.com/media/etudiant/photo/WhatsApp_Image_2023-09-20_at_10.53.30.jpeg</t>
  </si>
  <si>
    <t>ANAO3004050001</t>
  </si>
  <si>
    <t>ANAGONOU</t>
  </si>
  <si>
    <t>ORIA DIVINE SEDJRO</t>
  </si>
  <si>
    <t>https://myiipea.com/media/etudiant/photo/WhatsApp_Image_2023-10-06_at_13.49.18.jpeg</t>
  </si>
  <si>
    <t>ANAM2302030001</t>
  </si>
  <si>
    <t>ANASS</t>
  </si>
  <si>
    <t>MOHAMED ALI</t>
  </si>
  <si>
    <t>https://myiipea.com/media/etudiant/photo/WhatsApp_Image_2023-11-06_at_17.12.04.jpeg</t>
  </si>
  <si>
    <t>ANDT2211030001</t>
  </si>
  <si>
    <t>ANDO</t>
  </si>
  <si>
    <t>TANDI KANGA YASMINE SARAH</t>
  </si>
  <si>
    <t>https://myiipea.com/media/etudiant/photo/WhatsApp_Image_2023-10-03_at_4.34.29_PM.jpeg</t>
  </si>
  <si>
    <t>ANDO0401050001</t>
  </si>
  <si>
    <t>ANDOH</t>
  </si>
  <si>
    <t>OKAKO JOSES ALFRED</t>
  </si>
  <si>
    <t>https://myiipea.com/media/etudiant/photo/WhatsApp_Image_2023-09-28_at_12.41.30.jpeg</t>
  </si>
  <si>
    <t>ANDP2107020001</t>
  </si>
  <si>
    <t>PASCAL WILFRIED</t>
  </si>
  <si>
    <t>https://myiipea.com/media/etudiant/photo/WhatsApp_Image_2023-09-29_at_15.55.19.jpeg</t>
  </si>
  <si>
    <t>ANEM0201050001</t>
  </si>
  <si>
    <t>ANE</t>
  </si>
  <si>
    <t>MARIE DOLORES</t>
  </si>
  <si>
    <t>https://myiipea.com/media/etudiant/photo/WhatsApp_Image_2023-10-24_at_14.10.38.jpeg</t>
  </si>
  <si>
    <t>ANEE0104040001</t>
  </si>
  <si>
    <t>ANEBRE</t>
  </si>
  <si>
    <t>ELMAR HUGUES ZESSEA</t>
  </si>
  <si>
    <t>https://myiipea.com/media/etudiant/photo/WhatsApp_Image_2023-10-04_at_11.38.35.jpeg</t>
  </si>
  <si>
    <t>ANEA3012020001</t>
  </si>
  <si>
    <t>ANEGBRE</t>
  </si>
  <si>
    <t>ANEGBRE ZIKAHI EMMANUEL RUFUS</t>
  </si>
  <si>
    <t>https://myiipea.com/media/etudiant/photo/WhatsApp_Image_2023-10-12_at_13.09.14.jpeg</t>
  </si>
  <si>
    <t>ANGY2401970001</t>
  </si>
  <si>
    <t>ANGAMAN</t>
  </si>
  <si>
    <t>YAOUA NOELLE ARMANDE</t>
  </si>
  <si>
    <t>https://myiipea.com/media/etudiant/photo/WhatsApp_Image_2023-10-06_at_14.19.19.jpeg</t>
  </si>
  <si>
    <t>ANGD1711020001</t>
  </si>
  <si>
    <t>ANGBENI</t>
  </si>
  <si>
    <t>DJRO MARIE BENEDICTE</t>
  </si>
  <si>
    <t>https://myiipea.com/media/etudiant/photo/WhatsApp_Image_2023-10-17_at_14_resized.png</t>
  </si>
  <si>
    <t>ANGG2611030001</t>
  </si>
  <si>
    <t>ANGBRA</t>
  </si>
  <si>
    <t>GNAGNE CHRIST HARIATESS</t>
  </si>
  <si>
    <t>https://myiipea.com/media/etudiant/photo/WhatsApp_Image_2023-11-09_at_12.52.02.jpeg</t>
  </si>
  <si>
    <t>ANGK1011000001</t>
  </si>
  <si>
    <t>ANGORA</t>
  </si>
  <si>
    <t>KOUADIO SAMUEL</t>
  </si>
  <si>
    <t>https://myiipea.com/media/etudiant/photo/WhatsApp_Image_2023-11-16_at_3.41.44_PM.jpeg</t>
  </si>
  <si>
    <t>ANGE1903030001</t>
  </si>
  <si>
    <t>ANGUIE</t>
  </si>
  <si>
    <t>EMMANUEL YVES ROLAND</t>
  </si>
  <si>
    <t>https://myiipea.com/media/etudiant/photo/WhatsApp_Image_2023-09-29_at_09.17.02.jpeg</t>
  </si>
  <si>
    <t>ANIC0305050001</t>
  </si>
  <si>
    <t>ANIHI</t>
  </si>
  <si>
    <t>CINDY RUTH ERIKA MAEVA</t>
  </si>
  <si>
    <t>https://myiipea.com/media/etudiant/photo/WhatsApp_Image_2023-10-06_at_16.44.51.jpeg</t>
  </si>
  <si>
    <t>ANIT1301020001</t>
  </si>
  <si>
    <t>ANIMAZO</t>
  </si>
  <si>
    <t>TANOE JOSUE INNOCENT</t>
  </si>
  <si>
    <t>https://myiipea.com/media/etudiant/photo/WhatsApp_Image_2023-11-06_at_14.15.38.jpeg</t>
  </si>
  <si>
    <t>ANOA0307020002</t>
  </si>
  <si>
    <t>ANO</t>
  </si>
  <si>
    <t>ALLA VIANNEY</t>
  </si>
  <si>
    <t>https://myiipea.com/media/etudiant/photo/WhatsApp_Image_2023-11-07_at_14.13.47.jpeg</t>
  </si>
  <si>
    <t>ANOM1212020001</t>
  </si>
  <si>
    <t>MANIZAN  ARMAND</t>
  </si>
  <si>
    <t>SCIENCES JURIDIQUES OPTION DROIT PUBLIC</t>
  </si>
  <si>
    <t>https://myiipea.com/media/etudiant/photo/WhatsApp_Image_2023-10-18_at_13.49.40.jpeg</t>
  </si>
  <si>
    <t>ANOA0104040001</t>
  </si>
  <si>
    <t>ANOH</t>
  </si>
  <si>
    <t>ADOUKO ATOUA PATRICIA</t>
  </si>
  <si>
    <t>https://myiipea.com/media/etudiant/photo/WhatsApp_Image_2023-10-03_at_1_resized.png</t>
  </si>
  <si>
    <t>ANOK1605040001</t>
  </si>
  <si>
    <t>ANOKOUA</t>
  </si>
  <si>
    <t>KOFFI AFFOUA EVELYNE</t>
  </si>
  <si>
    <t>https://myiipea.com/media/etudiant/photo/WhatsApp_Image_2023-10-03_at_15.32.55.jpeg</t>
  </si>
  <si>
    <t>ANOA1103040001</t>
  </si>
  <si>
    <t>ANOMAN</t>
  </si>
  <si>
    <t>ALEA JOSUE</t>
  </si>
  <si>
    <t>https://myiipea.com/media/etudiant/photo/WhatsApp_Image_2023-10-17_at_4.59.19_PM.jpeg</t>
  </si>
  <si>
    <t>ANOA1710030001</t>
  </si>
  <si>
    <t>ASSI HENRI JOEL DIEUDONNE</t>
  </si>
  <si>
    <t>https://myiipea.com/media/etudiant/photo/WhatsApp_Image_2023-10-26_at_12.33.43.jpeg</t>
  </si>
  <si>
    <t>ANOC2006010001</t>
  </si>
  <si>
    <t>CLOVIS CREPIN</t>
  </si>
  <si>
    <t>https://myiipea.com/media/etudiant/photo/WhatsApp_Image_2023-10-16_at_20.21.59.jpeg</t>
  </si>
  <si>
    <t>ANOK2211040001</t>
  </si>
  <si>
    <t>KOUSSO CECILIA AURELIE</t>
  </si>
  <si>
    <t>https://myiipea.com/media/etudiant/photo/WhatsApp_Image_2023-09-22_at_11.15.04.jpeg</t>
  </si>
  <si>
    <t>ANOL0701050001</t>
  </si>
  <si>
    <t>LOUIS CHRIST ANAEL</t>
  </si>
  <si>
    <t>https://myiipea.com/media/etudiant/photo/WhatsApp_Image_2023-10-05_at_13.29.42.jpeg</t>
  </si>
  <si>
    <t>ANON2110040001</t>
  </si>
  <si>
    <t>ANON</t>
  </si>
  <si>
    <t>NANCY ANGE PRIVELINA</t>
  </si>
  <si>
    <t>https://myiipea.com/media/etudiant/photo/ANON.jpg</t>
  </si>
  <si>
    <t>ANOA2202030001</t>
  </si>
  <si>
    <t>ANOUMAN</t>
  </si>
  <si>
    <t>ALOBOUE MARIE-AUDE EMMANUELLA LAURETTE</t>
  </si>
  <si>
    <t>https://myiipea.com/media/etudiant/photo/WhatsApp_Image_2023-10-11_at_18.12.00.jpeg</t>
  </si>
  <si>
    <t>ANSE1204990001</t>
  </si>
  <si>
    <t>ANSAH</t>
  </si>
  <si>
    <t>EDOUKOU FRANCOIS BERNARD WILFRIED</t>
  </si>
  <si>
    <t>https://myiipea.com/media/etudiant/photo/ee805a7a-bd0f-4cfc-a70e-cbab604ca96a_ugbLkcF.jpeg</t>
  </si>
  <si>
    <t>ANTA2006030001</t>
  </si>
  <si>
    <t>ANTIFAOU</t>
  </si>
  <si>
    <t>ATTOUMANE</t>
  </si>
  <si>
    <t>https://myiipea.com/media/etudiant/photo/WhatsApp_Image_2023-11-22_at_12.53.23_PM.jpeg</t>
  </si>
  <si>
    <t>ANVA2404040001</t>
  </si>
  <si>
    <t>ANVO</t>
  </si>
  <si>
    <t>AMON N'DOUFFOU ALEXANDRE ARMEL</t>
  </si>
  <si>
    <t>https://myiipea.com/media/etudiant/photo/WhatsApp_Image_2023-10-13_at_15.36.41.jpeg</t>
  </si>
  <si>
    <t>APED0311000001</t>
  </si>
  <si>
    <t>APE</t>
  </si>
  <si>
    <t>DJADJIN JEAN PHILIPE SCHADRAC</t>
  </si>
  <si>
    <t>https://myiipea.com/media/etudiant/photo/WhatsApp_Image_2023-10-02_at_3.08.12_PM.jpeg</t>
  </si>
  <si>
    <t>APES1205040001</t>
  </si>
  <si>
    <t>APEDOH</t>
  </si>
  <si>
    <t>SONAN KOUKOUTSE ISRAEL</t>
  </si>
  <si>
    <t>https://myiipea.com/media/etudiant/photo/WhatsApp_Image_2023-10-04_at_10.44.25.jpeg</t>
  </si>
  <si>
    <t>APIC1706020001</t>
  </si>
  <si>
    <t>APIA</t>
  </si>
  <si>
    <t>CHRIST EMMANUEL KOUASSI</t>
  </si>
  <si>
    <t>https://myiipea.com/media/etudiant/photo/WhatsApp_Image_2023-10-25_at_12.57.12.jpeg</t>
  </si>
  <si>
    <t>APID2602020001</t>
  </si>
  <si>
    <t>DEBI ELIAS LANDRY</t>
  </si>
  <si>
    <t>https://myiipea.com/media/etudiant/photo/WhatsApp_Image_2023-10-12_at_14.46.22.jpeg</t>
  </si>
  <si>
    <t>APPY2006990001</t>
  </si>
  <si>
    <t>APPIA</t>
  </si>
  <si>
    <t>YAO FIDELE</t>
  </si>
  <si>
    <t>https://myiipea.com/media/etudiant/photo/WhatsApp_Image_2023-10-12_at_12.46.08.jpeg</t>
  </si>
  <si>
    <t>ASIA2310030001</t>
  </si>
  <si>
    <t>ASIFATU</t>
  </si>
  <si>
    <t>ABDOUL RASHID ALABI</t>
  </si>
  <si>
    <t>https://myiipea.com/media/etudiant/photo/WhatsApp_Image_2023-09-28_at_15.49.54.jpeg</t>
  </si>
  <si>
    <t>ASST0610980001</t>
  </si>
  <si>
    <t>ASSAGBAH</t>
  </si>
  <si>
    <t>TETEVI AXEL JUNIOR</t>
  </si>
  <si>
    <t>https://myiipea.com/media/etudiant/photo/WhatsApp_Image_2023-09-21_at_10.52.28.jpeg</t>
  </si>
  <si>
    <t>ASSE2812050001</t>
  </si>
  <si>
    <t>ASSALE</t>
  </si>
  <si>
    <t>EHOUMAN JUSTE PATERNE</t>
  </si>
  <si>
    <t>https://myiipea.com/media/etudiant/photo/WhatsApp_Image_2023-11-13_at_3.58.22_PM.jpeg</t>
  </si>
  <si>
    <t>ASSM1507030001</t>
  </si>
  <si>
    <t>ASSAMOI</t>
  </si>
  <si>
    <t>MOYE EZECHIEL OLIVE</t>
  </si>
  <si>
    <t>https://myiipea.com/media/etudiant/photo/WhatsApp_Image_2023-11-06_at_12.00.55.jpeg</t>
  </si>
  <si>
    <t>ASSY0601010001</t>
  </si>
  <si>
    <t>YAPO ELOHIME</t>
  </si>
  <si>
    <t>https://myiipea.com/media/etudiant/photo/WhatsApp_Image_2023-10-10_at_15.50.46.jpeg</t>
  </si>
  <si>
    <t>ASSA0707040001</t>
  </si>
  <si>
    <t>ASSAMOUA</t>
  </si>
  <si>
    <t>AIME EMMANUEL TRESOR</t>
  </si>
  <si>
    <t>https://myiipea.com/media/etudiant/photo/t%C3%A9l%C3%A9chargement_I2yMaf0.png</t>
  </si>
  <si>
    <t>ASSA1811990001</t>
  </si>
  <si>
    <t>ASSANDE</t>
  </si>
  <si>
    <t>AFFOUMANIN SERGE</t>
  </si>
  <si>
    <t>https://myiipea.com/media/etudiant/photo/WhatsApp_Image_2023-11-06_at_10.56.30.jpeg</t>
  </si>
  <si>
    <t>ASSK0409010001</t>
  </si>
  <si>
    <t>KOUAME ARMAND</t>
  </si>
  <si>
    <t>https://myiipea.com/media/etudiant/photo/WhatsApp_Image_2023-10-04_at_14.52.06.jpeg</t>
  </si>
  <si>
    <t>ASSA2501020001</t>
  </si>
  <si>
    <t>ASSANVO</t>
  </si>
  <si>
    <t>ADOU ANGE KARL6PATRICK</t>
  </si>
  <si>
    <t>https://myiipea.com/media/etudiant/photo/WhatsApp_Image_2023-09-14_at_11.10.21.jpeg</t>
  </si>
  <si>
    <t>ASSA3103030002</t>
  </si>
  <si>
    <t>ASSARE</t>
  </si>
  <si>
    <t>ADJA NAFFISSATOU</t>
  </si>
  <si>
    <t>https://myiipea.com/media/etudiant/photo/WhatsApp_Image_2023-09-28_at_15.07.28_zJTOnlg.jpeg</t>
  </si>
  <si>
    <t>ASSA0603000001</t>
  </si>
  <si>
    <t>ASSE</t>
  </si>
  <si>
    <t>ADJE JEAN JAURES ARISTIDE</t>
  </si>
  <si>
    <t>https://myiipea.com/media/etudiant/photo/WhatsApp_Image_2023-11-03_at_17.27.25.jpeg</t>
  </si>
  <si>
    <t>ASSS1011040001</t>
  </si>
  <si>
    <t>ASSEMIAN</t>
  </si>
  <si>
    <t>SOPIE YASMINE LARISSA</t>
  </si>
  <si>
    <t>https://myiipea.com/media/etudiant/photo/WhatsApp_Image_2023-10-04_at_12.10.56.jpeg</t>
  </si>
  <si>
    <t>ASSK1801050001</t>
  </si>
  <si>
    <t>ASSEMIEN</t>
  </si>
  <si>
    <t>KOKOYA CHARLENE ANNE EPIPHANIE</t>
  </si>
  <si>
    <t>https://myiipea.com/media/etudiant/photo/WhatsApp_Image_2023-09-25_at_10.43.38.jpeg</t>
  </si>
  <si>
    <t>ASSB2406040001</t>
  </si>
  <si>
    <t>ASSI</t>
  </si>
  <si>
    <t>BROU GRACE MELISSA ARIELLE</t>
  </si>
  <si>
    <t>https://myiipea.com/media/etudiant/photo/WhatsApp_Image_2023-10-12_at_09.32.35.jpeg</t>
  </si>
  <si>
    <t>ASSC0501030001</t>
  </si>
  <si>
    <t>CHIA ELODIE FLORE</t>
  </si>
  <si>
    <t>https://myiipea.com/media/etudiant/photo/WhatsApp_Image_2023-10-05_at_13.32.25.jpeg</t>
  </si>
  <si>
    <t>ASSS0610020001</t>
  </si>
  <si>
    <t>SEBRE SERGE JUNIOR</t>
  </si>
  <si>
    <t>https://myiipea.com/media/etudiant/photo/WhatsApp_Image_2023-10-12_at_13.50.39.jpeg</t>
  </si>
  <si>
    <t>ASSA0210030001</t>
  </si>
  <si>
    <t>ASSIAMAH</t>
  </si>
  <si>
    <t>ADOUMAH FONDI GRACE MARIE EPIPHANIE</t>
  </si>
  <si>
    <t>https://myiipea.com/media/etudiant/photo/WhatsApp_Image_2023-10-04_at_14.51.49.jpeg</t>
  </si>
  <si>
    <t>ASSA0311990001</t>
  </si>
  <si>
    <t>ASSIE</t>
  </si>
  <si>
    <t>ASSOA LUCIEN</t>
  </si>
  <si>
    <t>https://myiipea.com/media/etudiant/photo/WhatsApp_Image_2023-10-14_at_10.54.03.jpeg</t>
  </si>
  <si>
    <t>ASSS1612040002</t>
  </si>
  <si>
    <t>SAINT JAURES VIANNEY</t>
  </si>
  <si>
    <t>https://myiipea.com/media/etudiant/photo/WhatsApp_Image_2023-10-10_at_11.24.09.jpeg</t>
  </si>
  <si>
    <t>ASSE0105020001</t>
  </si>
  <si>
    <t>ASSIELOU</t>
  </si>
  <si>
    <t>ELLAULO MARVELLE LAURENCIA</t>
  </si>
  <si>
    <t>https://myiipea.com/media/etudiant/photo/WhatsApp_Image_2023-10-05_at_10.26.47.jpeg</t>
  </si>
  <si>
    <t>ASSA1402040001</t>
  </si>
  <si>
    <t>ASSIEYE</t>
  </si>
  <si>
    <t>AHIBA MAILYS INES YOBAINE</t>
  </si>
  <si>
    <t>https://myiipea.com/media/etudiant/photo/WhatsApp_Image_2023-10-17_at_11.37.51_AM.jpeg</t>
  </si>
  <si>
    <t>ASSK2301040001</t>
  </si>
  <si>
    <t>ASSIRY</t>
  </si>
  <si>
    <t>KANGA ANNICK PASCALE ALEXANDRA</t>
  </si>
  <si>
    <t>https://myiipea.com/media/etudiant/photo/WhatsApp_Image_2023-10-20_at_14_resized_rnKTyco.png</t>
  </si>
  <si>
    <t>ASSG2407010001</t>
  </si>
  <si>
    <t>ASSOA</t>
  </si>
  <si>
    <t>GNEPA ANGE EMMANUEL</t>
  </si>
  <si>
    <t>https://myiipea.com/media/etudiant/photo/WhatsApp_Image_2023-10-10_at_1.16.25_PM.jpeg</t>
  </si>
  <si>
    <t>ASSW0306020001</t>
  </si>
  <si>
    <t>ASSOBA</t>
  </si>
  <si>
    <t>WHITFLIELD GUY JONATHAN</t>
  </si>
  <si>
    <t>https://myiipea.com/media/etudiant/photo/WhatsApp_Image_2023-10-27_at_11.33.27.jpeg</t>
  </si>
  <si>
    <t>ASSB0101030001</t>
  </si>
  <si>
    <t>ASSOKPE</t>
  </si>
  <si>
    <t>BOFFO ODILON</t>
  </si>
  <si>
    <t>https://myiipea.com/media/etudiant/photo/WhatsApp_Image_2023-10-12_at_10_resized.png</t>
  </si>
  <si>
    <t>ASSA3003050001</t>
  </si>
  <si>
    <t>ASSOMOU</t>
  </si>
  <si>
    <t>AUDE MARIE LYNE</t>
  </si>
  <si>
    <t>https://myiipea.com/media/etudiant/photo/WhatsApp_Image_2023-10-23_at_11.53.32.jpeg</t>
  </si>
  <si>
    <t>AKOL2005030002</t>
  </si>
  <si>
    <t>ASSOUAN</t>
  </si>
  <si>
    <t>AKOUBA LEA CLAUDE FERIELLE</t>
  </si>
  <si>
    <t>https://myiipea.com/media/etudiant/photo/WhatsApp_Image_2023-11-10_at_3.22.26_PM.jpeg</t>
  </si>
  <si>
    <t>ASSJ1004030001</t>
  </si>
  <si>
    <t>ASSOUKPOU</t>
  </si>
  <si>
    <t>JEAN SOLANGE ANICK ANDREA</t>
  </si>
  <si>
    <t>https://myiipea.com/media/etudiant/photo/WhatsApp_Image_2023-10-14_at_11.57.05.jpeg</t>
  </si>
  <si>
    <t>ASSP2211030001</t>
  </si>
  <si>
    <t>PHILIPPE CHRIST ARIEL</t>
  </si>
  <si>
    <t>https://myiipea.com/media/etudiant/photo/WhatsApp_Image_2023-09-29_at_16.55.33.jpeg</t>
  </si>
  <si>
    <t>ASSA1306030001</t>
  </si>
  <si>
    <t>ASSOUMAN</t>
  </si>
  <si>
    <t>ASSI  MARYSE BERENICE</t>
  </si>
  <si>
    <t>https://myiipea.com/media/etudiant/photo/WhatsApp_Image_2023-09-18_at_16.38.48.jpeg</t>
  </si>
  <si>
    <t>ASSA1301030001</t>
  </si>
  <si>
    <t>ASSOUMOU</t>
  </si>
  <si>
    <t>ABOLI GERAD</t>
  </si>
  <si>
    <t>https://myiipea.com/media/etudiant/photo/WhatsApp_Image_2023-10-25_at_10.54.27.jpeg</t>
  </si>
  <si>
    <t>ASSB1901010001</t>
  </si>
  <si>
    <t>BRAHOUA ROMEO</t>
  </si>
  <si>
    <t>https://myiipea.com/media/etudiant/photo/WhatsApp_Image_2023-10-14_at_10.15.23.jpeg</t>
  </si>
  <si>
    <t>ASSG0907010001</t>
  </si>
  <si>
    <t>ASSY</t>
  </si>
  <si>
    <t>GNANCOUBIE ANGE MARIE-ADELE</t>
  </si>
  <si>
    <t>https://myiipea.com/media/etudiant/photo/WhatsApp_Image_2023-10-04_at_09.08.12.jpeg</t>
  </si>
  <si>
    <t>ATAA2411020001</t>
  </si>
  <si>
    <t>ATANDA</t>
  </si>
  <si>
    <t>ABDUL SAMAD BABATUNDE</t>
  </si>
  <si>
    <t>https://myiipea.com/media/etudiant/photo/WhatsApp_Image_2023-10-17_at_12.59.06.jpeg</t>
  </si>
  <si>
    <t>ATAF2811020002</t>
  </si>
  <si>
    <t>FARIDA ADESEWA STEPHANIE</t>
  </si>
  <si>
    <t>https://myiipea.com/media/etudiant/photo/WhatsApp_Image_2023-10-26_at_17.58.27_nCPIx9R.jpeg</t>
  </si>
  <si>
    <t>ATAR1311040001</t>
  </si>
  <si>
    <t>RAMADAN ABIODUN ODUNAYO</t>
  </si>
  <si>
    <t>https://myiipea.com/media/etudiant/photo/WhatsApp_Image_2023-10-24_at_13.51.58.jpeg</t>
  </si>
  <si>
    <t>ATCM0507050001</t>
  </si>
  <si>
    <t>ATCHE</t>
  </si>
  <si>
    <t>MANZAN MARIE JEANNE</t>
  </si>
  <si>
    <t>https://myiipea.com/media/etudiant/photo/WhatsApp_Image_2023-11-16_at_09.45.54.jpeg</t>
  </si>
  <si>
    <t>ATIJ1002060001</t>
  </si>
  <si>
    <t>ATINGLI</t>
  </si>
  <si>
    <t>JEAN OBADIACH SOSSOU WALLAGE</t>
  </si>
  <si>
    <t>https://myiipea.com/media/etudiant/photo/ATINGLI.jpg</t>
  </si>
  <si>
    <t>ATIK0211020001</t>
  </si>
  <si>
    <t>ATIOUA</t>
  </si>
  <si>
    <t>KOFFI CHRIST ELVIS</t>
  </si>
  <si>
    <t>https://myiipea.com/media/etudiant/photo/ALVIS.jpg</t>
  </si>
  <si>
    <t>ATOK1808030001</t>
  </si>
  <si>
    <t>ATONI</t>
  </si>
  <si>
    <t>KODJO PRINCE</t>
  </si>
  <si>
    <t>https://myiipea.com/media/etudiant/photo/WhatsApp_Image_2023-09-29_at_14.54.45.jpeg</t>
  </si>
  <si>
    <t>ATSL2712010001</t>
  </si>
  <si>
    <t>ATSAIN</t>
  </si>
  <si>
    <t>LOGBOCHI MURIEL ORNELLA</t>
  </si>
  <si>
    <t>https://myiipea.com/media/etudiant/photo/WhatsApp_Image_2023-09-28_at_16.05.56.jpeg</t>
  </si>
  <si>
    <t>ATSP1907020001</t>
  </si>
  <si>
    <t>PATERNE AKICHI CEDRIC</t>
  </si>
  <si>
    <t>https://myiipea.com/media/etudiant/photo/WhatsApp_Image_2023-10-06_at_12.44.20.jpeg</t>
  </si>
  <si>
    <t>ATSG1804030001</t>
  </si>
  <si>
    <t>ATSE</t>
  </si>
  <si>
    <t>GRACE ORIANE</t>
  </si>
  <si>
    <t>https://myiipea.com/media/etudiant/photo/WhatsApp_Image_2023-10-02_at_17.06.45.jpeg</t>
  </si>
  <si>
    <t>ATSK2806010001</t>
  </si>
  <si>
    <t>KOUETY EVELYNE SEPHORA</t>
  </si>
  <si>
    <t>https://myiipea.com/media/etudiant/photo/WhatsApp_Image_2023-10-13_at_17.48.31.jpeg</t>
  </si>
  <si>
    <t>ATSM1102030001</t>
  </si>
  <si>
    <t>MARC ELFRIED</t>
  </si>
  <si>
    <t>https://myiipea.com/media/etudiant/photo/WhatsApp_Image_2023-10-03_at_15.31.38.jpeg</t>
  </si>
  <si>
    <t>ATSO2108040001</t>
  </si>
  <si>
    <t>OUANYOU GRACE EMMANUELLA</t>
  </si>
  <si>
    <t>https://myiipea.com/media/etudiant/photo/WhatsApp_Image_2023-10-11_at_4.06.45_PM.jpeg</t>
  </si>
  <si>
    <t>ATSP3001030001</t>
  </si>
  <si>
    <t>ATSIN</t>
  </si>
  <si>
    <t>PIERRE-IVAN</t>
  </si>
  <si>
    <t>https://myiipea.com/media/etudiant/photo/WhatsApp_Image_2023-09-28_at_16.36.06.jpeg</t>
  </si>
  <si>
    <t>ATTK2302030001</t>
  </si>
  <si>
    <t>ATTA</t>
  </si>
  <si>
    <t>KOUAO EZECHIEL JUNIOR</t>
  </si>
  <si>
    <t>https://myiipea.com/media/etudiant/photo/WhatsApp_Image_2023-11-10_at_13.43.50.jpeg</t>
  </si>
  <si>
    <t>ATTM0204990001</t>
  </si>
  <si>
    <t>MIAN JUDICAELLE</t>
  </si>
  <si>
    <t>FINANCE COMPTABILITE ET GESTION DES ENTREPRISES</t>
  </si>
  <si>
    <t>https://myiipea.com/media/etudiant/photo/WhatsApp_Image_2023-10-03_at_17.41.37.jpeg</t>
  </si>
  <si>
    <t>ATTG1206030001</t>
  </si>
  <si>
    <t>ATTE</t>
  </si>
  <si>
    <t>GRACE SYNTICHE INDRID</t>
  </si>
  <si>
    <t>https://myiipea.com/media/etudiant/photo/WhatsApp_Image_2023-10-11_at_12.18.56.jpeg</t>
  </si>
  <si>
    <t>ATTK1303050001</t>
  </si>
  <si>
    <t>KOUSSO FALLONE EMMANUELLA</t>
  </si>
  <si>
    <t>https://myiipea.com/media/etudiant/photo/Logo_EMATECH_FDilrCp.png</t>
  </si>
  <si>
    <t>ATTZ1308040001</t>
  </si>
  <si>
    <t>ATTEBE</t>
  </si>
  <si>
    <t>ZAGO FERNAND</t>
  </si>
  <si>
    <t>https://myiipea.com/media/etudiant/photo/WhatsApp_Image_2023-10-13_at_16.40.30.jpeg</t>
  </si>
  <si>
    <t>ATTA1210040001</t>
  </si>
  <si>
    <t>ATTINOU</t>
  </si>
  <si>
    <t>AFFOUET HORELINE</t>
  </si>
  <si>
    <t>https://myiipea.com/media/etudiant/photo/WhatsApp_Image_2023-10-16_at_14.34.13.jpeg</t>
  </si>
  <si>
    <t>ATTA0808960001</t>
  </si>
  <si>
    <t>ATTIOUA</t>
  </si>
  <si>
    <t>AMOIN JOELLE</t>
  </si>
  <si>
    <t>https://myiipea.com/media/etudiant/photo/WhatsApp_Image_2023-10-26_at_11.55.07.jpeg</t>
  </si>
  <si>
    <t>ATTK2710010001</t>
  </si>
  <si>
    <t>ATTO</t>
  </si>
  <si>
    <t>KAFOUTCHONI ELIE</t>
  </si>
  <si>
    <t>https://myiipea.com/media/etudiant/photo/WhatsApp_Image_2023-11-08_at_11.47.06.jpeg</t>
  </si>
  <si>
    <t>ATTN0101000001</t>
  </si>
  <si>
    <t>ATTOBRA</t>
  </si>
  <si>
    <t>N'DRI LUC</t>
  </si>
  <si>
    <t>https://myiipea.com/media/etudiant/photo/WhatsApp_Image_2023-10-25_at_09.43.41.jpeg</t>
  </si>
  <si>
    <t>ATTA3012010001</t>
  </si>
  <si>
    <t>ATTOH</t>
  </si>
  <si>
    <t>ASSONGNON GERTRUDE ROXANE EMMANUELLLA</t>
  </si>
  <si>
    <t>https://myiipea.com/media/etudiant/photo/WhatsApp_Image_2023-10-09_at_13.24.14.jpeg</t>
  </si>
  <si>
    <t>ATTA2912010001</t>
  </si>
  <si>
    <t>ATTOUBE</t>
  </si>
  <si>
    <t>AFFOUMANI ROBERT</t>
  </si>
  <si>
    <t>https://myiipea.com/media/etudiant/photo/WhatsApp_Image_2023-10-27_at_10.15.59.jpeg</t>
  </si>
  <si>
    <t>ATTN0601010001</t>
  </si>
  <si>
    <t>ATTOUNGBRE</t>
  </si>
  <si>
    <t>N'GUESSAN M'ME BLAH FRANCINE</t>
  </si>
  <si>
    <t>https://myiipea.com/media/etudiant/photo/WhatsApp_Image_2023-12-01_at_3_resized.png</t>
  </si>
  <si>
    <t>AVIA0506040001</t>
  </si>
  <si>
    <t>AVI</t>
  </si>
  <si>
    <t>AVI FABRICE</t>
  </si>
  <si>
    <t>https://myiipea.com/media/etudiant/photo/WhatsApp_Image_2023-10-20_at_13.44.32.jpeg</t>
  </si>
  <si>
    <t>AVIK1705990001</t>
  </si>
  <si>
    <t>AVIH</t>
  </si>
  <si>
    <t>KADJOUN PASCALE AIMEE</t>
  </si>
  <si>
    <t>https://myiipea.com/media/etudiant/photo/WhatsApp_Image_2023-11-22_at_11.08.41_AM.jpeg</t>
  </si>
  <si>
    <t>AVID3105990001</t>
  </si>
  <si>
    <t>AVIT</t>
  </si>
  <si>
    <t>DJIDJI CHEICK</t>
  </si>
  <si>
    <t>https://myiipea.com/media/etudiant/photo/WhatsApp_Image_2023-10-18_at_12.46.18.jpeg</t>
  </si>
  <si>
    <t>AVIN2011010001</t>
  </si>
  <si>
    <t>N'GUESSAN HAMED</t>
  </si>
  <si>
    <t>https://myiipea.com/media/etudiant/photo/WhatsApp_Image_2023-11-29_at_5.18.50_PM.jpeg</t>
  </si>
  <si>
    <t>AYAM2103060001</t>
  </si>
  <si>
    <t>AYANNIRAN</t>
  </si>
  <si>
    <t>MEMUNATU AYANBANKE</t>
  </si>
  <si>
    <t>https://myiipea.com/media/etudiant/photo/WhatsApp_Image_2023-09-28_at_12_resized.png</t>
  </si>
  <si>
    <t>AYAA0310010001</t>
  </si>
  <si>
    <t>AYASSOU</t>
  </si>
  <si>
    <t>AKOUA GERALDINE DORCAS</t>
  </si>
  <si>
    <t>https://myiipea.com/media/etudiant/photo/WhatsApp_Image_2023-10-17_at_15.56.18.jpeg</t>
  </si>
  <si>
    <t>AYEA2203010001</t>
  </si>
  <si>
    <t>AYE</t>
  </si>
  <si>
    <t>AFFO EPHRASIE</t>
  </si>
  <si>
    <t>https://myiipea.com/media/etudiant/photo/WhatsApp_Image_2023-10-06_at_14.36.50.jpeg</t>
  </si>
  <si>
    <t>AYEC0302050001</t>
  </si>
  <si>
    <t>CHO MARIE AGATHE</t>
  </si>
  <si>
    <t>https://myiipea.com/media/etudiant/photo/WhatsApp_Image_2023-09-20_at_16.23.01.jpeg</t>
  </si>
  <si>
    <t>AYEO1207050001</t>
  </si>
  <si>
    <t>AYEKOUE</t>
  </si>
  <si>
    <t>OLIVIERA APO CAMELLE</t>
  </si>
  <si>
    <t>https://myiipea.com/media/etudiant/photo/WhatsApp_Image_2023-09-18_at_10.18.40.jpeg</t>
  </si>
  <si>
    <t>AYEE1602040002</t>
  </si>
  <si>
    <t>AYEMOU</t>
  </si>
  <si>
    <t>ELIE KAKOU JEAN ALEXIS VIANNEY</t>
  </si>
  <si>
    <t>https://myiipea.com/media/etudiant/photo/WhatsApp_Image_2023-10-03_at_19.03.55.jpeg</t>
  </si>
  <si>
    <t>AYOO0302040002</t>
  </si>
  <si>
    <t>AYOOLA</t>
  </si>
  <si>
    <t>OLADIMEDJI JOEL WILFRIED</t>
  </si>
  <si>
    <t>https://myiipea.com/media/etudiant/photo/WhatsApp_Image_2023-10-02_at_17_resized.png</t>
  </si>
  <si>
    <t>AZIZ1501040001</t>
  </si>
  <si>
    <t>AZIAGBE</t>
  </si>
  <si>
    <t>ZOUNAGNON JOHANES</t>
  </si>
  <si>
    <t>https://myiipea.com/media/etudiant/photo/WhatsApp_Image_2023-10-16_at_18.32.57.jpeg</t>
  </si>
  <si>
    <t>AZIA0101040001</t>
  </si>
  <si>
    <t>AZIE</t>
  </si>
  <si>
    <t>AHIPO ESTHER</t>
  </si>
  <si>
    <t>https://myiipea.com/media/etudiant/photo/WhatsApp_Image_2023-10-09_at_15.33.34.jpeg</t>
  </si>
  <si>
    <t>AZIK0204020001</t>
  </si>
  <si>
    <t>AZIOU</t>
  </si>
  <si>
    <t>KOFFI RICHARD</t>
  </si>
  <si>
    <t>https://myiipea.com/media/etudiant/photo/WhatsApp_Image_2023-11-10_at_10.00.09.jpeg</t>
  </si>
  <si>
    <t>AZOA2108020001</t>
  </si>
  <si>
    <t>AZOGBA</t>
  </si>
  <si>
    <t>AKOUVI CHRISTINE</t>
  </si>
  <si>
    <t>https://myiipea.com/media/etudiant/photo/WhatsApp_Image_2023-11-06_at_13.58.23.jpeg</t>
  </si>
  <si>
    <t>AZOK2809000001</t>
  </si>
  <si>
    <t>AZOMAN</t>
  </si>
  <si>
    <t>KONAN CHARLES VIANEY</t>
  </si>
  <si>
    <t>https://myiipea.com/media/etudiant/photo/WhatsApp_Image_2023-10-06_at_13.12.23.jpeg</t>
  </si>
  <si>
    <t>BABN1006030001</t>
  </si>
  <si>
    <t>BABATOUNDE</t>
  </si>
  <si>
    <t>NANCY  ROLANDE</t>
  </si>
  <si>
    <t>https://myiipea.com/media/etudiant/photo/WhatsApp_Image_2023-11-06_at_11.55.41_AM.jpeg</t>
  </si>
  <si>
    <t>BABY0610010001</t>
  </si>
  <si>
    <t>BABE</t>
  </si>
  <si>
    <t>YEDIANE FLORINA</t>
  </si>
  <si>
    <t>https://myiipea.com/media/etudiant/photo/WhatsApp_Image_2023-11-14_at_14.49.52.jpeg</t>
  </si>
  <si>
    <t>BABM1902010001</t>
  </si>
  <si>
    <t>BABLY</t>
  </si>
  <si>
    <t>MARLINE ALEXANDRA</t>
  </si>
  <si>
    <t>https://myiipea.com/media/etudiant/photo/WhatsApp_Image_2023-10-11_at_13.05.41.jpeg</t>
  </si>
  <si>
    <t>BADD3008020001</t>
  </si>
  <si>
    <t>BADA</t>
  </si>
  <si>
    <t>DAVID LEGBELE</t>
  </si>
  <si>
    <t>https://myiipea.com/media/etudiant/photo/WhatsApp_Image_2023-10-17_at_18.08.08.jpeg</t>
  </si>
  <si>
    <t>BADS2102040001</t>
  </si>
  <si>
    <t>SOUGOHI MOYE SEPHORA</t>
  </si>
  <si>
    <t>https://myiipea.com/media/etudiant/photo/WhatsApp_Image_2023-09-14_at_12.06.07.jpeg</t>
  </si>
  <si>
    <t>BADB1406010001</t>
  </si>
  <si>
    <t>BADAI</t>
  </si>
  <si>
    <t>BITTY ELISE</t>
  </si>
  <si>
    <t>https://myiipea.com/media/etudiant/photo/WhatsApp_Image_2023-10-17_at_12.04.11_PM.jpeg</t>
  </si>
  <si>
    <t>BADA1402030001</t>
  </si>
  <si>
    <t>BADE</t>
  </si>
  <si>
    <t>ALLANE</t>
  </si>
  <si>
    <t>https://myiipea.com/media/etudiant/photo/WhatsApp_Image_2023-10-09_at_10.18.11.jpeg</t>
  </si>
  <si>
    <t>BADR2609040001</t>
  </si>
  <si>
    <t>RABEN JUNIOR</t>
  </si>
  <si>
    <t>https://myiipea.com/media/etudiant/photo/WhatsApp_Image_2023-10-10_at_17.37.03.jpeg</t>
  </si>
  <si>
    <t>BADB0508030001</t>
  </si>
  <si>
    <t>BADJE</t>
  </si>
  <si>
    <t>BOTTY MARIE GRACE EMMANUELLA</t>
  </si>
  <si>
    <t>https://myiipea.com/media/etudiant/photo/WhatsApp_Image_2023-09-29_at_09.28.58.jpeg</t>
  </si>
  <si>
    <t>BADA2711020001</t>
  </si>
  <si>
    <t>BADO</t>
  </si>
  <si>
    <t>ANGE CHRISTIAN</t>
  </si>
  <si>
    <t>https://myiipea.com/media/etudiant/photo/WhatsApp_Image_2023-11-03_at_12.07.13_2.jpeg</t>
  </si>
  <si>
    <t>BADA1803010001</t>
  </si>
  <si>
    <t>AZIZ</t>
  </si>
  <si>
    <t>https://myiipea.com/media/etudiant/photo/WhatsApp_Image_2023-11-07_at_15.11.45.jpeg</t>
  </si>
  <si>
    <t>BADS1909000001</t>
  </si>
  <si>
    <t>SEYDOU</t>
  </si>
  <si>
    <t>https://myiipea.com/media/etudiant/photo/SEYDOU.jpg</t>
  </si>
  <si>
    <t>BAGA0702040001</t>
  </si>
  <si>
    <t>BAGAYOKO</t>
  </si>
  <si>
    <t>AMINANTA AIMAN</t>
  </si>
  <si>
    <t>https://myiipea.com/media/etudiant/photo/WhatsApp_Image_2023-12-01_at_4_resized_nGE0mN4.png</t>
  </si>
  <si>
    <t>BAGA0101030001</t>
  </si>
  <si>
    <t>BAGUE</t>
  </si>
  <si>
    <t>AMIDOU</t>
  </si>
  <si>
    <t>https://myiipea.com/media/etudiant/photo/WhatsApp_Image_2023-10-27_at_11.26.34.jpeg</t>
  </si>
  <si>
    <t>BAHA1401020001</t>
  </si>
  <si>
    <t>BAH</t>
  </si>
  <si>
    <t>ABDOULAYE</t>
  </si>
  <si>
    <t>https://myiipea.com/media/etudiant/photo/WhatsApp_Image_2023-11-20_at_11.02.09_AM.jpeg</t>
  </si>
  <si>
    <t>BAHA0401990001</t>
  </si>
  <si>
    <t>AISSATOU LAMARANA</t>
  </si>
  <si>
    <t>https://myiipea.com/media/etudiant/photo/WhatsApp_Image_2023-10-23_at_15.15.30.jpeg</t>
  </si>
  <si>
    <t>BAHA2410060001</t>
  </si>
  <si>
    <t>ANGE CHRISTIANE MONBLEGAIN</t>
  </si>
  <si>
    <t>https://myiipea.com/media/etudiant/photo/WhatsApp_Image_2023-10-11_at_15.07.31.jpeg</t>
  </si>
  <si>
    <t>BAHA2906030001</t>
  </si>
  <si>
    <t>AYA ANTOINETTE MARIE-PIERRE</t>
  </si>
  <si>
    <t>https://myiipea.com/media/etudiant/photo/WhatsApp_Image_2023-10-02_at_12.40.20_1_Spb273m.jpeg</t>
  </si>
  <si>
    <t>BAHB0805020001</t>
  </si>
  <si>
    <t>BILO</t>
  </si>
  <si>
    <t>https://myiipea.com/media/etudiant/photo/WhatsApp_Image_2023-10-10_at_10.30.30.jpeg</t>
  </si>
  <si>
    <t>BAHI2012010001</t>
  </si>
  <si>
    <t>IDJATOU TAHIBOU</t>
  </si>
  <si>
    <t>https://myiipea.com/media/etudiant/photo/WhatsApp_Image_2023-10-13_at_12.52.46.jpeg</t>
  </si>
  <si>
    <t>BAHL2905000001</t>
  </si>
  <si>
    <t>LOU DIANE</t>
  </si>
  <si>
    <t>https://myiipea.com/media/etudiant/photo/WhatsApp_Image_2023-10-25_at_11.34.17.jpeg</t>
  </si>
  <si>
    <t>BAHM2112040001</t>
  </si>
  <si>
    <t>MAMADOU</t>
  </si>
  <si>
    <t>https://myiipea.com/media/etudiant/photo/BAH.jpg</t>
  </si>
  <si>
    <t>BAHM1005020001</t>
  </si>
  <si>
    <t>MAMADOU KALIDOU</t>
  </si>
  <si>
    <t>https://myiipea.com/media/etudiant/photo/WhatsApp_Image_2023-10-05_at_13.55.06.jpeg</t>
  </si>
  <si>
    <t>BAHO2707050001</t>
  </si>
  <si>
    <t>OULEYMATOU ADOUBOH NATHALIE</t>
  </si>
  <si>
    <t>https://myiipea.com/media/etudiant/photo/WhatsApp_Image_2023-10-02_at_12.52.00.jpeg</t>
  </si>
  <si>
    <t>BAHS1304020001</t>
  </si>
  <si>
    <t>SODOBLO REINE-ESTHER CHARLENE</t>
  </si>
  <si>
    <t>https://myiipea.com/media/etudiant/photo/WhatsApp_Image_2023-10-20_at_19.08.59.jpeg</t>
  </si>
  <si>
    <t>BAHB1906030001</t>
  </si>
  <si>
    <t>BAHADIO</t>
  </si>
  <si>
    <t>BINTOU</t>
  </si>
  <si>
    <t>https://myiipea.com/media/etudiant/photo/WhatsApp_Image_2023-10-23_at_09.56.54.jpeg</t>
  </si>
  <si>
    <t>BAHD0211020001</t>
  </si>
  <si>
    <t>BAHI</t>
  </si>
  <si>
    <t>DELANGE</t>
  </si>
  <si>
    <t>https://myiipea.com/media/etudiant/photo/Logo_EMATECH_D5oJ1w0.png</t>
  </si>
  <si>
    <t>BAHR2006000001</t>
  </si>
  <si>
    <t>RACHELLE</t>
  </si>
  <si>
    <t>https://myiipea.com/media/etudiant/photo/ee805a7a-bd0f-4cfc-a70e-cbab604ca96a_5AMCAfr.jpeg</t>
  </si>
  <si>
    <t>BAHL2601040001</t>
  </si>
  <si>
    <t>BAHIE</t>
  </si>
  <si>
    <t>LION PRINCESSE ORLANE IVANA</t>
  </si>
  <si>
    <t>https://myiipea.com/media/etudiant/photo/WhatsApp_Image_2023-10-23_at_15.22.59_5.jpeg</t>
  </si>
  <si>
    <t>BAHD2802040001</t>
  </si>
  <si>
    <t>BAHIKORO</t>
  </si>
  <si>
    <t>DAOUDA</t>
  </si>
  <si>
    <t>https://myiipea.com/media/etudiant/photo/WhatsApp_Image_2023-09-22_at_12.49.26.jpeg</t>
  </si>
  <si>
    <t>BAHA2809040001</t>
  </si>
  <si>
    <t>BAHIN</t>
  </si>
  <si>
    <t>ASSO AURELIE REGINA</t>
  </si>
  <si>
    <t>https://myiipea.com/media/etudiant/photo/WhatsApp_Image_2023-09-26_at_15.53.24.jpeg</t>
  </si>
  <si>
    <t>BAID0208030001</t>
  </si>
  <si>
    <t>BAI</t>
  </si>
  <si>
    <t>DJEZY</t>
  </si>
  <si>
    <t>https://myiipea.com/media/etudiant/photo/WhatsApp_Image_2023-10-28_at_13.00.38.jpeg</t>
  </si>
  <si>
    <t>BAIE0502040001</t>
  </si>
  <si>
    <t>EVE IMMACULEE</t>
  </si>
  <si>
    <t>https://myiipea.com/media/etudiant/photo/WhatsApp_Image_2023-10-31_at_10.56.12.jpeg</t>
  </si>
  <si>
    <t>BAIA0711020001</t>
  </si>
  <si>
    <t>BAIKEH</t>
  </si>
  <si>
    <t>AMENAN MARIE OLIVE</t>
  </si>
  <si>
    <t>https://myiipea.com/media/etudiant/photo/WhatsApp_Image_2023-11-30_at_2.23.45_PM.jpeg</t>
  </si>
  <si>
    <t>BAIL0204020001</t>
  </si>
  <si>
    <t>BAIKRO</t>
  </si>
  <si>
    <t>LADJI MOUSSA</t>
  </si>
  <si>
    <t>https://myiipea.com/media/etudiant/photo/WhatsApp_Image_2023-10-13_at_10.55.57.jpeg</t>
  </si>
  <si>
    <t>BAIM2205050001</t>
  </si>
  <si>
    <t>MATAGNA SOUKEYNATOU</t>
  </si>
  <si>
    <t>https://myiipea.com/media/etudiant/photo/WhatsApp_Image_2023-10-09_at_17.45.23.jpeg</t>
  </si>
  <si>
    <t>BAIR1210020001</t>
  </si>
  <si>
    <t>BAILE</t>
  </si>
  <si>
    <t>RAYANE AFFOUE</t>
  </si>
  <si>
    <t>https://myiipea.com/media/etudiant/photo/WhatsApp_Image_2023-10-10_at_12.02.26.jpeg</t>
  </si>
  <si>
    <t>BAKO0606030001</t>
  </si>
  <si>
    <t>BAKA</t>
  </si>
  <si>
    <t>ODO ANGE MICHEL</t>
  </si>
  <si>
    <t>https://myiipea.com/media/etudiant/photo/WhatsApp_Image_2023-10-03_at_11.44.31.jpeg</t>
  </si>
  <si>
    <t>BAKD1411030002</t>
  </si>
  <si>
    <t>BAKAYOKO</t>
  </si>
  <si>
    <t>DJENEBA RAISSA</t>
  </si>
  <si>
    <t>https://myiipea.com/media/etudiant/photo/WhatsApp_Image_2023-10-04_at_18.17.46.jpeg</t>
  </si>
  <si>
    <t>BAKE1506050001</t>
  </si>
  <si>
    <t>EVE MALIKA NOUR</t>
  </si>
  <si>
    <t>https://myiipea.com/media/etudiant/photo/WhatsApp_Image_2023-10-05_at_2.04.39_PM.jpeg</t>
  </si>
  <si>
    <t>BAKH3006030001</t>
  </si>
  <si>
    <t>HAFOUCHATA</t>
  </si>
  <si>
    <t>https://myiipea.com/media/etudiant/photo/WhatsApp_Image_2023-10-13_at_16.31.44.jpeg</t>
  </si>
  <si>
    <t>BAKI0104000001</t>
  </si>
  <si>
    <t>IBRAHIM</t>
  </si>
  <si>
    <t>https://myiipea.com/media/etudiant/photo/WhatsApp_Image_2023-10-12_at_14.44.59.jpeg</t>
  </si>
  <si>
    <t>BAKI1609030001</t>
  </si>
  <si>
    <t>https://myiipea.com/media/etudiant/photo/WhatsApp_Image_2023-10-03_at_08.43.47.jpeg</t>
  </si>
  <si>
    <t>BAKM3010020001</t>
  </si>
  <si>
    <t>MADOUSSOU TRESOR</t>
  </si>
  <si>
    <t>https://myiipea.com/media/etudiant/photo/WhatsApp_Image_2023-10-12_at_16.37.10.jpeg</t>
  </si>
  <si>
    <t>BAKM2511010001</t>
  </si>
  <si>
    <t>MOHAMED DEMBA</t>
  </si>
  <si>
    <t>AUDIT ET CONTRÔLE DE GESTION</t>
  </si>
  <si>
    <t>https://myiipea.com/media/etudiant/photo/WhatsApp_Image_2023-10-09_at_11_resized.png</t>
  </si>
  <si>
    <t>BAKN1211040001</t>
  </si>
  <si>
    <t>NAHOUA NOURAH</t>
  </si>
  <si>
    <t>https://myiipea.com/media/etudiant/photo/WhatsApp_Image_2023-10-13_at_15.43.49.jpeg</t>
  </si>
  <si>
    <t>BAKR2207020001</t>
  </si>
  <si>
    <t>RAMATOU</t>
  </si>
  <si>
    <t>https://myiipea.com/media/etudiant/photo/WhatsApp_Image_2023-10-05_at_12.15.00.jpeg</t>
  </si>
  <si>
    <t>BAKS1104020001</t>
  </si>
  <si>
    <t>SALIMATA</t>
  </si>
  <si>
    <t>https://myiipea.com/media/etudiant/photo/WhatsApp_Image_2023-10-11_at_10.59.30.jpeg</t>
  </si>
  <si>
    <t>BAKS1403030001</t>
  </si>
  <si>
    <t>SEKOU</t>
  </si>
  <si>
    <t>https://myiipea.com/media/etudiant/photo/WhatsApp_Image_2023-09-26_at_12_resized.png</t>
  </si>
  <si>
    <t>BAKS1412040001</t>
  </si>
  <si>
    <t>https://myiipea.com/media/etudiant/photo/WhatsApp_Image_2023-10-13_at_17.24.30.jpeg</t>
  </si>
  <si>
    <t>BAKS1112000001</t>
  </si>
  <si>
    <t>SIAKA</t>
  </si>
  <si>
    <t>https://myiipea.com/media/etudiant/photo/WhatsApp_Image_2023-10-21_at_1.17.53_PM.jpeg</t>
  </si>
  <si>
    <t>BAKV1107040001</t>
  </si>
  <si>
    <t>VAFOUNGBE JUNIOR</t>
  </si>
  <si>
    <t>https://myiipea.com/media/etudiant/photo/WhatsApp_Image_2023-10-26_at_10.07.54.jpeg</t>
  </si>
  <si>
    <t>BAKY0808020001</t>
  </si>
  <si>
    <t>YOUSSOUF</t>
  </si>
  <si>
    <t>https://myiipea.com/media/etudiant/photo/WhatsApp_Image_2023-10-06_at_12.56.17.jpeg</t>
  </si>
  <si>
    <t>BAKZ2211030001</t>
  </si>
  <si>
    <t>ZEINAB RAKIB</t>
  </si>
  <si>
    <t>https://myiipea.com/media/etudiant/photo/WhatsApp_Image_2023-10-19_at_14.14.32.jpeg</t>
  </si>
  <si>
    <t>BAKA0411020001</t>
  </si>
  <si>
    <t>BAKO</t>
  </si>
  <si>
    <t>ALIMATA</t>
  </si>
  <si>
    <t>https://myiipea.com/media/etudiant/photo/WhatsApp_Image_2023-10-09_at_11.40.14_icB5xjl.jpeg</t>
  </si>
  <si>
    <t>BAKI2203010001</t>
  </si>
  <si>
    <t>ISSOUF</t>
  </si>
  <si>
    <t>https://myiipea.com/media/etudiant/photo/WhatsApp_Image_2023-10-23_at_14.28.37.jpeg</t>
  </si>
  <si>
    <t>BAKS2804030001</t>
  </si>
  <si>
    <t>SAINTE ALEXANDRA BERTILLE</t>
  </si>
  <si>
    <t>https://myiipea.com/media/etudiant/photo/BAKO.jpg</t>
  </si>
  <si>
    <t>BAKB0606010001</t>
  </si>
  <si>
    <t>BAKOU</t>
  </si>
  <si>
    <t>BI LUCIEN</t>
  </si>
  <si>
    <t>https://myiipea.com/media/etudiant/photo/WhatsApp_Image_2023-10-09_at_12.14.22.jpeg</t>
  </si>
  <si>
    <t>BAKD0204000001</t>
  </si>
  <si>
    <t>BAKOUAN</t>
  </si>
  <si>
    <t>DJAMINATOU</t>
  </si>
  <si>
    <t>https://myiipea.com/media/etudiant/photo/WhatsApp_Image_2023-10-19_at_13.07.47.jpeg</t>
  </si>
  <si>
    <t>BALA1011030002</t>
  </si>
  <si>
    <t>BALDE</t>
  </si>
  <si>
    <t>ALLASSANE JUNIOR</t>
  </si>
  <si>
    <t>https://myiipea.com/media/etudiant/photo/WhatsApp_Image_2023-11-06_at_13.18.47.jpeg</t>
  </si>
  <si>
    <t>BALM2405020001</t>
  </si>
  <si>
    <t>MARIAM</t>
  </si>
  <si>
    <t>https://myiipea.com/media/etudiant/photo/WhatsApp_Image_2023-09-29_at_17.48.47.jpeg</t>
  </si>
  <si>
    <t>BALW1909020001</t>
  </si>
  <si>
    <t>BALET</t>
  </si>
  <si>
    <t>WALETONE HOZZY ARIEL ALAIN</t>
  </si>
  <si>
    <t>https://myiipea.com/media/etudiant/photo/WhatsApp_Image_2023-10-16_at_5.52.09_PM.jpeg</t>
  </si>
  <si>
    <t>BALA1011030001</t>
  </si>
  <si>
    <t>BALLO</t>
  </si>
  <si>
    <t>https://myiipea.com/media/etudiant/photo/WhatsApp_Image_2023-09-15_at_15.32.54.jpeg</t>
  </si>
  <si>
    <t>BALM3011060001</t>
  </si>
  <si>
    <t>MOHAMED JUNIOR</t>
  </si>
  <si>
    <t>https://myiipea.com/media/etudiant/photo/photo_1gDghQx.jpg</t>
  </si>
  <si>
    <t>BALS0310050001</t>
  </si>
  <si>
    <t>SORY IBRAHIM</t>
  </si>
  <si>
    <t>https://myiipea.com/media/etudiant/photo/WhatsApp_Image_2023-10-04_at_12.31.30.jpeg</t>
  </si>
  <si>
    <t>BALK1701050001</t>
  </si>
  <si>
    <t>BALOGUN</t>
  </si>
  <si>
    <t>KACHIFAT OLAMIDE</t>
  </si>
  <si>
    <t>https://myiipea.com/media/etudiant/photo/WhatsApp_Image_2023-10-03_at_19.28.54.jpeg</t>
  </si>
  <si>
    <t>BALY1802040001</t>
  </si>
  <si>
    <t>BALOU</t>
  </si>
  <si>
    <t>YVES HERVE</t>
  </si>
  <si>
    <t>https://myiipea.com/media/etudiant/photo/WhatsApp_Image_2023-09-29_at_17.03.34.jpeg</t>
  </si>
  <si>
    <t>BAMA2410010001</t>
  </si>
  <si>
    <t>BAMBA</t>
  </si>
  <si>
    <t>ABDOUL AZIZ</t>
  </si>
  <si>
    <t>https://myiipea.com/media/etudiant/photo/WhatsApp_Image_2023-10-27_at_11.26.49.jpeg</t>
  </si>
  <si>
    <t>BAMA0311030001</t>
  </si>
  <si>
    <t>AHOUA NOURAH</t>
  </si>
  <si>
    <t>https://myiipea.com/media/etudiant/photo/WhatsApp_Image_2023-10-26_at_3.12.01_PM.jpeg</t>
  </si>
  <si>
    <t>BAMA1612010001</t>
  </si>
  <si>
    <t>AICHA TOUBACINA</t>
  </si>
  <si>
    <t>https://myiipea.com/media/etudiant/photo/WhatsApp_Image_2023-10-18_at_16.14.09.jpeg</t>
  </si>
  <si>
    <t>BAMA0101000001</t>
  </si>
  <si>
    <t>ALPHA OUMAR</t>
  </si>
  <si>
    <t>https://myiipea.com/media/etudiant/photo/WhatsApp_Image_2023-10-23_at_14.08.33_1.jpeg</t>
  </si>
  <si>
    <t>BAMA0708060001</t>
  </si>
  <si>
    <t>AMI LAETICIA</t>
  </si>
  <si>
    <t>https://myiipea.com/media/etudiant/photo/WhatsApp_Image_2023-09-18_at_16_resized.png</t>
  </si>
  <si>
    <t>BAMA1006000001</t>
  </si>
  <si>
    <t>https://myiipea.com/media/etudiant/photo/WhatsApp_Image_2023-10-17_at_13.01.22.jpeg</t>
  </si>
  <si>
    <t>BAMA0212040001</t>
  </si>
  <si>
    <t>https://myiipea.com/media/etudiant/photo/WhatsApp_Image_2023-09-29_at_11.11.38.jpeg</t>
  </si>
  <si>
    <t>BAMA2207040001</t>
  </si>
  <si>
    <t>AWA TRESOR</t>
  </si>
  <si>
    <t>https://myiipea.com/media/etudiant/photo/WhatsApp_Image_2023-11-07_at_2.41.30_PM.jpeg</t>
  </si>
  <si>
    <t>BAMC1103020001</t>
  </si>
  <si>
    <t>CHEICK HAMED</t>
  </si>
  <si>
    <t>https://myiipea.com/media/etudiant/photo/WhatsApp_Image_2023-10-14_at_12.09.36.jpeg</t>
  </si>
  <si>
    <t>BAMF2010030001</t>
  </si>
  <si>
    <t>FATYM</t>
  </si>
  <si>
    <t>https://myiipea.com/media/etudiant/photo/WhatsApp_Image_2023-10-18_at_13.56.27.jpeg</t>
  </si>
  <si>
    <t>BAMF2004010001</t>
  </si>
  <si>
    <t>FRANCK ABIB</t>
  </si>
  <si>
    <t>https://myiipea.com/media/etudiant/photo/ABIB.jpg</t>
  </si>
  <si>
    <t>BAMI0208020001</t>
  </si>
  <si>
    <t>https://myiipea.com/media/etudiant/photo/WhatsApp_Image_2023-10-04_at_14.29.13.jpeg</t>
  </si>
  <si>
    <t>BAMI2101050001</t>
  </si>
  <si>
    <t>https://myiipea.com/media/etudiant/photo/WhatsApp_Image_2023-10-11_at_2.54.28_PM.jpeg</t>
  </si>
  <si>
    <t>BAMI1305030001</t>
  </si>
  <si>
    <t>IBRAHIM KOKPA</t>
  </si>
  <si>
    <t>https://myiipea.com/media/etudiant/photo/WhatsApp_Image_2023-10-09_at_7.03.21_PM.jpeg</t>
  </si>
  <si>
    <t>BAMK0711040001</t>
  </si>
  <si>
    <t>KAONAMA MARIAM</t>
  </si>
  <si>
    <t>https://myiipea.com/media/etudiant/photo/WhatsApp_Image_2023-09-29_at_16.05.36.jpeg</t>
  </si>
  <si>
    <t>BAMK1809030001</t>
  </si>
  <si>
    <t>KARIDJATOU</t>
  </si>
  <si>
    <t>https://myiipea.com/media/etudiant/photo/IIPEA2_PLVzUYF.jpeg</t>
  </si>
  <si>
    <t>BAML1010040001</t>
  </si>
  <si>
    <t>LANCINE</t>
  </si>
  <si>
    <t>https://myiipea.com/media/etudiant/photo/WhatsApp_Image_2023-09-19_at_17.27.15.jpeg</t>
  </si>
  <si>
    <t>BAMM3103050001</t>
  </si>
  <si>
    <t>MABITOU JOSIANE</t>
  </si>
  <si>
    <t>https://myiipea.com/media/etudiant/photo/WhatsApp_Image_2023-09-26_at_13.53.21.jpeg</t>
  </si>
  <si>
    <t>BAMM2503040001</t>
  </si>
  <si>
    <t>MACEYA AICHA</t>
  </si>
  <si>
    <t>RESSOURCES HUMAINES ET COMMUNICATION</t>
  </si>
  <si>
    <t>https://myiipea.com/media/etudiant/photo/IMG_4004_resized.png</t>
  </si>
  <si>
    <t>BAMM1605030001</t>
  </si>
  <si>
    <t>MAIMOUNA</t>
  </si>
  <si>
    <t>https://myiipea.com/media/etudiant/photo/WhatsApp_Image_2023-10-16_at_16.42.03.jpeg</t>
  </si>
  <si>
    <t>BAMM0703040001</t>
  </si>
  <si>
    <t>https://myiipea.com/media/etudiant/photo/WhatsApp_Image_2023-10-05_at_1_resized_2Hvr5hG.png</t>
  </si>
  <si>
    <t>BAMM0110990001</t>
  </si>
  <si>
    <t>MOUHAN-MA AMINAT</t>
  </si>
  <si>
    <t>https://myiipea.com/media/etudiant/photo/WhatsApp_Image_2023-11-06_at_11.25.38.jpeg</t>
  </si>
  <si>
    <t>BAMN0405000001</t>
  </si>
  <si>
    <t>NEDA</t>
  </si>
  <si>
    <t>https://myiipea.com/media/etudiant/photo/WhatsApp_Image_2023-10-05_at_3.16.34_PM.jpeg</t>
  </si>
  <si>
    <t>BAMO1806980001</t>
  </si>
  <si>
    <t>OMAINATOU</t>
  </si>
  <si>
    <t>https://myiipea.com/media/etudiant/photo/WhatsApp_Image_2023-09-18_at_10.19.40.jpeg</t>
  </si>
  <si>
    <t>BAMO0307030001</t>
  </si>
  <si>
    <t>OUMAR JUNIOR</t>
  </si>
  <si>
    <t>https://myiipea.com/media/etudiant/photo/WhatsApp_Image_2023-10-10_at_14.52.51.jpeg</t>
  </si>
  <si>
    <t>BAMP1812000001</t>
  </si>
  <si>
    <t>PRISCA DEBORA</t>
  </si>
  <si>
    <t>https://myiipea.com/media/etudiant/photo/ee805a7a-bd0f-4cfc-a70e-cbab604ca96a_bOOoEtR.jpeg</t>
  </si>
  <si>
    <t>BAMS0305030001</t>
  </si>
  <si>
    <t>SABYLAH MADJURUGBE RIZNETH</t>
  </si>
  <si>
    <t>https://myiipea.com/media/etudiant/photo/WhatsApp_Image_2023-11-07_at_12.05.06_1.jpeg</t>
  </si>
  <si>
    <t>BAMS2011010001</t>
  </si>
  <si>
    <t>SALY</t>
  </si>
  <si>
    <t>https://myiipea.com/media/etudiant/photo/WhatsApp_Image_2023-11-09_at_12.32.46.jpeg</t>
  </si>
  <si>
    <t>BAMS2108020001</t>
  </si>
  <si>
    <t>SARAN</t>
  </si>
  <si>
    <t>https://myiipea.com/media/etudiant/photo/WhatsApp_Image_2023-10-14_at_11_resized.png</t>
  </si>
  <si>
    <t>BAMS0101040001</t>
  </si>
  <si>
    <t>SINGO JUNIOR</t>
  </si>
  <si>
    <t>https://myiipea.com/media/etudiant/photo/WhatsApp_Image_2023-10-26_at_10.39.01.jpeg</t>
  </si>
  <si>
    <t>BAMS1710020001</t>
  </si>
  <si>
    <t>STEPHANIE SARAH DE MALANE</t>
  </si>
  <si>
    <t>https://myiipea.com/media/etudiant/photo/WhatsApp_Image_2023-10-11_at_11.41.38.jpeg</t>
  </si>
  <si>
    <t>BAMV1011020001</t>
  </si>
  <si>
    <t>VAKABA KALIL</t>
  </si>
  <si>
    <t>https://myiipea.com/media/etudiant/photo/WhatsApp_Image_2023-10-05_at_4.30.02_PM.jpeg</t>
  </si>
  <si>
    <t>BAMZ2811030001</t>
  </si>
  <si>
    <t>ZIE SALIF</t>
  </si>
  <si>
    <t>https://myiipea.com/media/etudiant/photo/WhatsApp_Image_2023-09-29_at_14.33.46.jpeg</t>
  </si>
  <si>
    <t>BAME0505040001</t>
  </si>
  <si>
    <t>BAMOUNI</t>
  </si>
  <si>
    <t>ECHIARE  MARIE DENISE</t>
  </si>
  <si>
    <t>https://myiipea.com/media/etudiant/photo/WhatsApp_Image_2023-10-10_at_13.00.37.jpeg</t>
  </si>
  <si>
    <t>BAMZ2606040001</t>
  </si>
  <si>
    <t>ZOUABETINE DESIREE MALVINE</t>
  </si>
  <si>
    <t>https://myiipea.com/media/etudiant/photo/WhatsApp_Image_2023-11-10_at_10.01.52.jpeg</t>
  </si>
  <si>
    <t>BANN2012030001</t>
  </si>
  <si>
    <t>BAN</t>
  </si>
  <si>
    <t>NOUSSEU AUDE NOELLE</t>
  </si>
  <si>
    <t>https://myiipea.com/media/etudiant/photo/WhatsApp_Image_2023-09-29_at_17.12.36.jpeg</t>
  </si>
  <si>
    <t>BANA1907020001</t>
  </si>
  <si>
    <t>BANCE</t>
  </si>
  <si>
    <t>https://myiipea.com/media/etudiant/photo/WhatsApp_Image_2023-10-05_at_15.48.18.jpeg</t>
  </si>
  <si>
    <t>BANL0506030001</t>
  </si>
  <si>
    <t>LASSERATOU</t>
  </si>
  <si>
    <t>https://myiipea.com/media/etudiant/photo/WhatsApp_Image_2023-11-21_at_13.22.10.jpeg</t>
  </si>
  <si>
    <t>BANS2702060001</t>
  </si>
  <si>
    <t>SARA</t>
  </si>
  <si>
    <t>https://myiipea.com/media/etudiant/photo/WhatsApp_Image_2023-10-04_at_14.57.41.jpeg</t>
  </si>
  <si>
    <t>BANA1007010001</t>
  </si>
  <si>
    <t>BANDAOGO</t>
  </si>
  <si>
    <t>AYOUBA</t>
  </si>
  <si>
    <t>https://myiipea.com/media/etudiant/photo/AYOUBA.jpg</t>
  </si>
  <si>
    <t>BANG0812030001</t>
  </si>
  <si>
    <t>BANDE</t>
  </si>
  <si>
    <t>GLUIEBLEI AIMON</t>
  </si>
  <si>
    <t>https://myiipea.com/media/etudiant/photo/WhatsApp_Image_2023-10-09_at_16.18.33.jpeg</t>
  </si>
  <si>
    <t>BANE1606000001</t>
  </si>
  <si>
    <t>BANGA</t>
  </si>
  <si>
    <t>ESSAN CHARLES REGIS</t>
  </si>
  <si>
    <t>https://myiipea.com/media/etudiant/photo/WhatsApp_Image_2023-10-16_at_10.40.31_AM.jpeg</t>
  </si>
  <si>
    <t>BANA1212030001</t>
  </si>
  <si>
    <t>BANH</t>
  </si>
  <si>
    <t>AKOUA REINE VANESSA</t>
  </si>
  <si>
    <t>https://myiipea.com/media/etudiant/photo/WhatsApp_Image_2023-10-17_at_11.59.33.jpeg</t>
  </si>
  <si>
    <t>BANM2210040002</t>
  </si>
  <si>
    <t>BANKOLE</t>
  </si>
  <si>
    <t>MAHOUGNON ELODIE VICTOIRE</t>
  </si>
  <si>
    <t>https://myiipea.com/media/etudiant/photo/IIPEA_p18QZP0_resized.png</t>
  </si>
  <si>
    <t>BANH0712030001</t>
  </si>
  <si>
    <t>BANSE</t>
  </si>
  <si>
    <t>HAMZA CHEICK</t>
  </si>
  <si>
    <t>https://myiipea.com/media/etudiant/photo/WhatsApp_Image_2023-10-03_at_17.57.47.jpeg</t>
  </si>
  <si>
    <t>BANS2812020001</t>
  </si>
  <si>
    <t>BANTANGO</t>
  </si>
  <si>
    <t>SAMIRATOU</t>
  </si>
  <si>
    <t>https://myiipea.com/media/etudiant/photo/WhatsApp_Image_2023-10-04_at_11.18.47.jpeg</t>
  </si>
  <si>
    <t>BANB1306000001</t>
  </si>
  <si>
    <t>BANTSIMBA</t>
  </si>
  <si>
    <t>BIDIMBOU-KIMBEBE DEBORAH</t>
  </si>
  <si>
    <t>https://myiipea.com/media/etudiant/photo/WhatsApp_Image_2023-10-14_at_09.03.37.jpeg</t>
  </si>
  <si>
    <t>BARE1611020001</t>
  </si>
  <si>
    <t>BARGO</t>
  </si>
  <si>
    <t>ELISABETH PRISCA</t>
  </si>
  <si>
    <t>https://myiipea.com/media/etudiant/photo/WhatsApp_Image_2023-10-04_at_11.54.13.jpeg</t>
  </si>
  <si>
    <t>BARM1812030001</t>
  </si>
  <si>
    <t>BARO</t>
  </si>
  <si>
    <t>https://myiipea.com/media/etudiant/photo/WhatsApp_Image_2023-11-30_at_12.30.09_PM.jpeg</t>
  </si>
  <si>
    <t>BARI2811030001</t>
  </si>
  <si>
    <t>BARRO</t>
  </si>
  <si>
    <t>ISSA ABDOUL RACHAD JUNIOR</t>
  </si>
  <si>
    <t>https://myiipea.com/media/etudiant/photo/WhatsApp_Image_2023-10-09_at_14.22.20.jpeg</t>
  </si>
  <si>
    <t>BARM1904020001</t>
  </si>
  <si>
    <t>MOHAMED IBRAHIM</t>
  </si>
  <si>
    <t>https://myiipea.com/media/etudiant/photo/WhatsApp_Image_2023-11-03_at_1.57.30_PM.jpeg</t>
  </si>
  <si>
    <t>BARA2401010001</t>
  </si>
  <si>
    <t>BARRY</t>
  </si>
  <si>
    <t>ALADJI MAMOUDOU</t>
  </si>
  <si>
    <t>https://myiipea.com/media/etudiant/photo/WhatsApp_Image_2023-10-06_at_15.12.06.jpeg</t>
  </si>
  <si>
    <t>BARA1012050001</t>
  </si>
  <si>
    <t>ALLASSANE</t>
  </si>
  <si>
    <t>https://myiipea.com/media/etudiant/photo/WhatsApp_Image_2023-09-28_at_18_resized.png</t>
  </si>
  <si>
    <t>BARA1209020001</t>
  </si>
  <si>
    <t>ASSETOU</t>
  </si>
  <si>
    <t>https://myiipea.com/media/etudiant/photo/WhatsApp_Image_2023-10-13_at_18.38.14.jpeg</t>
  </si>
  <si>
    <t>BARI0711000002</t>
  </si>
  <si>
    <t>IBRAHIM GEOFROY</t>
  </si>
  <si>
    <t>https://myiipea.com/media/etudiant/photo/WhatsApp_Image_2023-10-16_at_16.34.13_zEUly1Y.jpeg</t>
  </si>
  <si>
    <t>BARI2911990001</t>
  </si>
  <si>
    <t>ISSA</t>
  </si>
  <si>
    <t>https://myiipea.com/media/etudiant/photo/WhatsApp_Image_2023-10-27_at_11.51.05.jpeg</t>
  </si>
  <si>
    <t>BARM0504970001</t>
  </si>
  <si>
    <t>MARIAME</t>
  </si>
  <si>
    <t>https://myiipea.com/media/etudiant/photo/WhatsApp_Image_2023-11-29_at_5.41.48_PM.jpeg</t>
  </si>
  <si>
    <t>BARN1603030001</t>
  </si>
  <si>
    <t>NOURA GRACE</t>
  </si>
  <si>
    <t>https://myiipea.com/media/etudiant/photo/WhatsApp_Image_2023-11-17_at_14.59.38.jpeg</t>
  </si>
  <si>
    <t>BASC2111020001</t>
  </si>
  <si>
    <t>BASSOLE</t>
  </si>
  <si>
    <t>CECILIA OCEEANE GAELLE</t>
  </si>
  <si>
    <t>https://myiipea.com/media/etudiant/photo/WhatsApp_Image_2023-11-08_at_11.46.19.jpeg</t>
  </si>
  <si>
    <t>BASE0312040001</t>
  </si>
  <si>
    <t>EMMA BENEDICTE</t>
  </si>
  <si>
    <t>https://myiipea.com/media/etudiant/photo/WhatsApp_Image_2023-10-26_at_3.14.20_PM.jpeg</t>
  </si>
  <si>
    <t>BATY0405010001</t>
  </si>
  <si>
    <t>BATAUD</t>
  </si>
  <si>
    <t>YOU MANEA GRACE</t>
  </si>
  <si>
    <t>https://myiipea.com/media/etudiant/photo/WhatsApp_Image_2023-09-29_at_15.50.07.jpeg</t>
  </si>
  <si>
    <t>BATH1808010001</t>
  </si>
  <si>
    <t>BATIENE</t>
  </si>
  <si>
    <t>HABIBA LEILLA</t>
  </si>
  <si>
    <t>https://myiipea.com/media/etudiant/photo/WhatsApp_Image_2023-10-11_at_19.10.46.jpeg</t>
  </si>
  <si>
    <t>BATA1104050001</t>
  </si>
  <si>
    <t>BATIONO</t>
  </si>
  <si>
    <t>AMELIE SYLVIA</t>
  </si>
  <si>
    <t>https://myiipea.com/media/etudiant/photo/WhatsApp_Image_2023-10-10_at_14.39.04.jpeg</t>
  </si>
  <si>
    <t>BATB2904030001</t>
  </si>
  <si>
    <t>BRIGITTE YISSO</t>
  </si>
  <si>
    <t>https://myiipea.com/media/etudiant/photo/WhatsApp_Image_2023-10-04_at_11.53.51.jpeg</t>
  </si>
  <si>
    <t>BATJ0802030001</t>
  </si>
  <si>
    <t>JACQUELINE BETTINA</t>
  </si>
  <si>
    <t>https://myiipea.com/media/etudiant/photo/t%C3%A9l%C3%A9charg%C3%A9_PnbS28V.jpeg</t>
  </si>
  <si>
    <t>BATE0702010001</t>
  </si>
  <si>
    <t>BATIONON</t>
  </si>
  <si>
    <t>ELI-DEO OCEANE ANAIS</t>
  </si>
  <si>
    <t>https://myiipea.com/media/etudiant/photo/WhatsApp_Image_2023-09-28_at_17.17.40.jpeg</t>
  </si>
  <si>
    <t>BAYB0404030001</t>
  </si>
  <si>
    <t>BAYALA</t>
  </si>
  <si>
    <t>BALIBIE ALEXIS</t>
  </si>
  <si>
    <t>https://myiipea.com/media/etudiant/photo/WhatsApp_Image_2023-10-26_at_11.54.50.jpeg</t>
  </si>
  <si>
    <t>BAYS1911040001</t>
  </si>
  <si>
    <t>SIDOINE</t>
  </si>
  <si>
    <t>https://myiipea.com/media/etudiant/photo/WhatsApp_Image_2023-10-17_at_11_resized.png</t>
  </si>
  <si>
    <t>BAYF2004040001</t>
  </si>
  <si>
    <t>BAYOGO</t>
  </si>
  <si>
    <t>FATOUMATA FLANI</t>
  </si>
  <si>
    <t>https://myiipea.com/media/etudiant/photo/WhatsApp_Image_2023-10-02_at_1.25.23_PM.jpeg</t>
  </si>
  <si>
    <t>BAYL2909050002</t>
  </si>
  <si>
    <t>BAYOUKOU</t>
  </si>
  <si>
    <t>LOU NAN ZEINABE MATENIN MONDESIRE</t>
  </si>
  <si>
    <t>https://myiipea.com/media/etudiant/photo/WhatsApp_Image_2023-11-13_at_12_resized.png</t>
  </si>
  <si>
    <t>BAZS0807050001</t>
  </si>
  <si>
    <t>BAZA</t>
  </si>
  <si>
    <t>SCHEKINA SYNTYCHE REBECCA</t>
  </si>
  <si>
    <t>https://myiipea.com/media/etudiant/photo/IIPEA_rfr43lj.jpg</t>
  </si>
  <si>
    <t>BAZK1909030002</t>
  </si>
  <si>
    <t>BAZONGO</t>
  </si>
  <si>
    <t>KAZONBIE MARIAM</t>
  </si>
  <si>
    <t>https://myiipea.com/media/etudiant/photo/WhatsApp_Image_2023-10-03_at_16.06.39_vBrVWJY.jpeg</t>
  </si>
  <si>
    <t>BEAM0707030001</t>
  </si>
  <si>
    <t>BEAVOGUI</t>
  </si>
  <si>
    <t>MARLENE</t>
  </si>
  <si>
    <t>https://myiipea.com/media/etudiant/photo/WhatsApp_Image_2023-10-13_at_11.38.19_AM.jpeg</t>
  </si>
  <si>
    <t>BECY0205000001</t>
  </si>
  <si>
    <t>BECHO</t>
  </si>
  <si>
    <t>YAPI STEPHANE</t>
  </si>
  <si>
    <t>https://myiipea.com/media/etudiant/photo/WhatsApp_Image_2023-10-16_at_14.27.17.jpeg</t>
  </si>
  <si>
    <t>BECS0206040001</t>
  </si>
  <si>
    <t>BECKNE</t>
  </si>
  <si>
    <t>SVICKY CARL ABSALON MICHAEL JAURES</t>
  </si>
  <si>
    <t>https://myiipea.com/media/etudiant/photo/WhatsApp_Image_2023-11-16_at_14.26.38.jpeg</t>
  </si>
  <si>
    <t>BEDS1012010001</t>
  </si>
  <si>
    <t>BEDA</t>
  </si>
  <si>
    <t>SOPIE PAULE ARMELLE</t>
  </si>
  <si>
    <t>https://myiipea.com/media/etudiant/photo/WhatsApp_Image_2023-10-18_at_13.06.49.jpeg</t>
  </si>
  <si>
    <t>BEDA0201980001</t>
  </si>
  <si>
    <t>BEDI</t>
  </si>
  <si>
    <t>ANZOHON AUDREY ESTELLE</t>
  </si>
  <si>
    <t>https://myiipea.com/media/etudiant/photo/WhatsApp_Image_2023-09-29_at_12.06.20.jpeg</t>
  </si>
  <si>
    <t>BEDA1909040001</t>
  </si>
  <si>
    <t>ATSE YOAN TRESOR</t>
  </si>
  <si>
    <t>https://myiipea.com/media/etudiant/photo/WhatsApp_Image_2023-11-17_at_11.39.56.jpeg</t>
  </si>
  <si>
    <t>BEDA1612040001</t>
  </si>
  <si>
    <t>BEDIA</t>
  </si>
  <si>
    <t>ANOH ABENI</t>
  </si>
  <si>
    <t>https://myiipea.com/media/etudiant/photo/WhatsApp_Image_2023-10-12_at_09.27.28.jpeg</t>
  </si>
  <si>
    <t>BEGP2506040001</t>
  </si>
  <si>
    <t>BEGUI</t>
  </si>
  <si>
    <t>PREGNON PRINCE YANNICK MARDOCHEE</t>
  </si>
  <si>
    <t>https://myiipea.com/media/etudiant/photo/WhatsApp_Image_2023-09-25_at_11.41.03.jpeg</t>
  </si>
  <si>
    <t>BEHL3005050001</t>
  </si>
  <si>
    <t>BEH</t>
  </si>
  <si>
    <t>LOU NELLY YASMINE</t>
  </si>
  <si>
    <t>https://myiipea.com/media/etudiant/photo/WhatsApp_Image_2023-10-18_at_12.09.05.jpeg</t>
  </si>
  <si>
    <t>BEHA2002050001</t>
  </si>
  <si>
    <t>BEHI</t>
  </si>
  <si>
    <t>AMOIN LYVANA CINDY</t>
  </si>
  <si>
    <t>https://myiipea.com/media/etudiant/photo/t%C3%A9l%C3%A9chargement_qzHw7Yn_resized.png</t>
  </si>
  <si>
    <t>BEIS0704020001</t>
  </si>
  <si>
    <t>BEIDARI</t>
  </si>
  <si>
    <t>SARIFA</t>
  </si>
  <si>
    <t>https://myiipea.com/media/etudiant/photo/WhatsApp_Image_2023-09-29_at_15.31.22_4cpMuhg.jpeg</t>
  </si>
  <si>
    <t>BEKA1206010001</t>
  </si>
  <si>
    <t>BEKLOU</t>
  </si>
  <si>
    <t>AMOUA YVES JOCELIN</t>
  </si>
  <si>
    <t>https://myiipea.com/media/etudiant/photo/WhatsApp_Image_2023-10-10_at_15.55.06.jpeg</t>
  </si>
  <si>
    <t>BEKM0403050001</t>
  </si>
  <si>
    <t>BEKOUNOUDJO</t>
  </si>
  <si>
    <t>MAGNI MARIE-BERNADETTE</t>
  </si>
  <si>
    <t>https://myiipea.com/media/etudiant/photo/t%C3%A9l%C3%A9chargement_cprcxNd.png</t>
  </si>
  <si>
    <t>BELA0702030001</t>
  </si>
  <si>
    <t>BELEM</t>
  </si>
  <si>
    <t>ABDOUL RACHID</t>
  </si>
  <si>
    <t>https://myiipea.com/media/etudiant/photo/WhatsApp_Image_2023-11-06_at_15.53.55.jpeg</t>
  </si>
  <si>
    <t>BELA2211020001</t>
  </si>
  <si>
    <t>AZETA</t>
  </si>
  <si>
    <t>https://myiipea.com/media/etudiant/photo/WhatsApp_Image_2023-11-07_at_12.16.39.jpeg</t>
  </si>
  <si>
    <t>BELN0307040001</t>
  </si>
  <si>
    <t>NEVIO FIDELE</t>
  </si>
  <si>
    <t>https://myiipea.com/media/etudiant/photo/ee805a7a-bd0f-4cfc-a70e-cbab604ca96a_Z2UcFEh.jpeg</t>
  </si>
  <si>
    <t>BELS2103040001</t>
  </si>
  <si>
    <t>BELLA</t>
  </si>
  <si>
    <t>SAHOURE BILEY ETIENNE</t>
  </si>
  <si>
    <t>https://myiipea.com/media/etudiant/photo/WhatsApp_Image_2023-10-11_at_15.55.27.jpeg</t>
  </si>
  <si>
    <t>BELF2312050001</t>
  </si>
  <si>
    <t>BELLO</t>
  </si>
  <si>
    <t>FATIA KETIANNE RUTH</t>
  </si>
  <si>
    <t>https://myiipea.com/media/etudiant/photo/WhatsApp_Image_2023-11-03_at_17.15.12.jpeg</t>
  </si>
  <si>
    <t>BEMS0604040001</t>
  </si>
  <si>
    <t>BEMAKA</t>
  </si>
  <si>
    <t>SOUI MICHEL JUNIOR</t>
  </si>
  <si>
    <t>https://myiipea.com/media/etudiant/photo/WhatsApp_Image_2023-09-25_%C3%A0_12.58.22.jpg</t>
  </si>
  <si>
    <t>BENG2810030001</t>
  </si>
  <si>
    <t>BENE</t>
  </si>
  <si>
    <t>GOURE ANGE ELIE</t>
  </si>
  <si>
    <t>https://myiipea.com/media/etudiant/photo/WhatsApp_Image_2023-10-06_at_11_resized_juhVq9o.png</t>
  </si>
  <si>
    <t>BENK2612020001</t>
  </si>
  <si>
    <t>KOFFI ABRAHAM</t>
  </si>
  <si>
    <t>https://myiipea.com/media/etudiant/photo/WhatsApp_Image_2023-11-17_at_12.16.38_PM.jpeg</t>
  </si>
  <si>
    <t>BENK2405000001</t>
  </si>
  <si>
    <t>KOUAKOU DAPPAH EZEKIEL</t>
  </si>
  <si>
    <t>https://myiipea.com/media/etudiant/photo/WhatsApp_Image_2023-11-10_at_09.49.36.jpeg</t>
  </si>
  <si>
    <t>BENN1207010001</t>
  </si>
  <si>
    <t>N'GUETTIA KOUADIO MICHAEL</t>
  </si>
  <si>
    <t>https://myiipea.com/media/etudiant/photo/WhatsApp_Image_2023-10-25_at_09.26.33.jpeg</t>
  </si>
  <si>
    <t>BERS2206030001</t>
  </si>
  <si>
    <t>BERE</t>
  </si>
  <si>
    <t>STEPHANE</t>
  </si>
  <si>
    <t>https://myiipea.com/media/etudiant/photo/WhatsApp_Image_2023-10-16_at_12.15.54.jpeg</t>
  </si>
  <si>
    <t>BERY1411040001</t>
  </si>
  <si>
    <t>YANN SIDOINE</t>
  </si>
  <si>
    <t>https://myiipea.com/media/etudiant/photo/WhatsApp_Image_2023-11-28_at_15.08.13.jpeg</t>
  </si>
  <si>
    <t>BERB1510020001</t>
  </si>
  <si>
    <t>BERTE</t>
  </si>
  <si>
    <t>BREDE DOTCHO MAIMOUNA</t>
  </si>
  <si>
    <t>https://myiipea.com/media/etudiant/photo/WhatsApp_Image_2023-10-03_at_14.03.42.jpeg</t>
  </si>
  <si>
    <t>BERD0510020001</t>
  </si>
  <si>
    <t>DAYAN AICHA</t>
  </si>
  <si>
    <t>https://myiipea.com/media/etudiant/photo/WhatsApp_Image_2023-11-06_at_15.12.41.jpeg</t>
  </si>
  <si>
    <t>BERL2101030001</t>
  </si>
  <si>
    <t>LOTANA AWA LESLIE</t>
  </si>
  <si>
    <t>https://myiipea.com/media/etudiant/photo/WhatsApp_Image_2023-09-18_at_15.47.03.jpeg</t>
  </si>
  <si>
    <t>BETL0904020001</t>
  </si>
  <si>
    <t>BETTA</t>
  </si>
  <si>
    <t>LAURENT JULES ELOI DEGODEU</t>
  </si>
  <si>
    <t>https://myiipea.com/media/etudiant/photo/WhatsApp_Image_2023-10-11_at_09.42.30.jpeg</t>
  </si>
  <si>
    <t>BEUA0311040001</t>
  </si>
  <si>
    <t>BEUGRE</t>
  </si>
  <si>
    <t>ANGE NATHANAEL</t>
  </si>
  <si>
    <t>https://myiipea.com/media/etudiant/photo/WhatsApp_Image_2023-10-03_at_3.15.58_PM.jpeg</t>
  </si>
  <si>
    <t>BEUD0610020001</t>
  </si>
  <si>
    <t>DYLAN PRINCE YANNICK</t>
  </si>
  <si>
    <t>https://myiipea.com/media/etudiant/photo/WhatsApp_Image_2023-10-09_at_11.52.39.jpeg</t>
  </si>
  <si>
    <t>BEUE2711020001</t>
  </si>
  <si>
    <t>ESSOUHE ERICA MARCELINE</t>
  </si>
  <si>
    <t>https://myiipea.com/media/etudiant/photo/239422487_405915444207421_8131329350063382999_n_cb4hIKg.jpg</t>
  </si>
  <si>
    <t>BEUY1212980001</t>
  </si>
  <si>
    <t>YAO JULES PATRICE</t>
  </si>
  <si>
    <t>https://myiipea.com/media/etudiant/photo/WhatsApp_Image_2023-12-01_at_10.23.03_AM.jpeg</t>
  </si>
  <si>
    <t>BEUZ0907970001</t>
  </si>
  <si>
    <t>ZIOGO BERNADETTE ARMANDINE</t>
  </si>
  <si>
    <t>https://myiipea.com/media/etudiant/photo/WhatsApp_Image_2023-10-31_at_16.49.12.jpeg</t>
  </si>
  <si>
    <t>BIAZ1609050001</t>
  </si>
  <si>
    <t>BIAZO</t>
  </si>
  <si>
    <t>ZOMADRE  DINAROSSE EDITH</t>
  </si>
  <si>
    <t>https://myiipea.com/media/etudiant/photo/WhatsApp_Image_2023-11-02_at_11.35.02_AM.jpeg</t>
  </si>
  <si>
    <t>BIBK0708000001</t>
  </si>
  <si>
    <t>BIBIE</t>
  </si>
  <si>
    <t>KOUKOUE ANGELE</t>
  </si>
  <si>
    <t>https://myiipea.com/media/etudiant/photo/WhatsApp_Image_2023-11-02_at_1.14.43_PM.jpeg</t>
  </si>
  <si>
    <t>BIDH2310030001</t>
  </si>
  <si>
    <t>BIDANESSY</t>
  </si>
  <si>
    <t>HAWA</t>
  </si>
  <si>
    <t>https://myiipea.com/media/etudiant/photo/WhatsApp_Image_2023-10-02_at_12.45.08.jpeg</t>
  </si>
  <si>
    <t>BIEK2610020001</t>
  </si>
  <si>
    <t>BIE</t>
  </si>
  <si>
    <t>KAHENO GERAD DIMITRI</t>
  </si>
  <si>
    <t>https://myiipea.com/media/etudiant/photo/WhatsApp_Image_2023-10-03_at_14_resized_MivdCty.png</t>
  </si>
  <si>
    <t>BIHG2404020001</t>
  </si>
  <si>
    <t>BIHOUN</t>
  </si>
  <si>
    <t>GRACE ROCKYA</t>
  </si>
  <si>
    <t>https://myiipea.com/media/etudiant/photo/WhatsApp_Image_2023-11-03_at_1.57.44_PM_1.jpeg</t>
  </si>
  <si>
    <t>BILA0103030001</t>
  </si>
  <si>
    <t>BILE</t>
  </si>
  <si>
    <t>AFFO DORIANNE MAEVA OCEANE</t>
  </si>
  <si>
    <t>https://myiipea.com/media/etudiant/photo/WhatsApp_Image_2023-10-12_at_11.28.02.jpeg</t>
  </si>
  <si>
    <t>BILA1709010001</t>
  </si>
  <si>
    <t>APO GRACE ORNELLA JOSEPHINE</t>
  </si>
  <si>
    <t>https://myiipea.com/media/etudiant/photo/WhatsApp_Image_2023-10-03_at_09.45.12_1.jpeg</t>
  </si>
  <si>
    <t>BILN2702060001</t>
  </si>
  <si>
    <t>N'DA ADJO ROSE EMMANUELLA</t>
  </si>
  <si>
    <t>https://myiipea.com/media/etudiant/photo/WhatsApp_Image_2023-10-23_at_10.29.31.jpeg</t>
  </si>
  <si>
    <t>BINA2205990001</t>
  </si>
  <si>
    <t>BINDE</t>
  </si>
  <si>
    <t>AFFOUE AUDREY</t>
  </si>
  <si>
    <t>https://myiipea.com/media/etudiant/photo/WhatsApp_Image_2023-11-07_at_14.48.34.jpeg</t>
  </si>
  <si>
    <t>BINM0104050001</t>
  </si>
  <si>
    <t>MAHA GRACE DEBORAH</t>
  </si>
  <si>
    <t>https://myiipea.com/media/etudiant/photo/WhatsApp_Image_2023-10-13_at_5.51.46_PM.jpeg</t>
  </si>
  <si>
    <t>BIOG1011030001</t>
  </si>
  <si>
    <t>BIO</t>
  </si>
  <si>
    <t>GUEHASSAI ANGE DESEKANE</t>
  </si>
  <si>
    <t>https://myiipea.com/media/etudiant/photo/WhatsApp_Image_2023-10-03_at_17.33.30.jpeg</t>
  </si>
  <si>
    <t>BIOG3008030001</t>
  </si>
  <si>
    <t>BIOPLOU</t>
  </si>
  <si>
    <t>GUEI PATERNE</t>
  </si>
  <si>
    <t>https://myiipea.com/media/etudiant/photo/WhatsApp_Image_2023-10-18_at_13.00.28.jpeg</t>
  </si>
  <si>
    <t>BIOE3108030001</t>
  </si>
  <si>
    <t>BIOSSE</t>
  </si>
  <si>
    <t>EUNICE</t>
  </si>
  <si>
    <t>https://myiipea.com/media/etudiant/photo/WhatsApp_Image_2023-10-03_at_17.14.46.jpeg</t>
  </si>
  <si>
    <t>BITJ2704040001</t>
  </si>
  <si>
    <t>BITCHI</t>
  </si>
  <si>
    <t>JEAN MARCEL CHRIST-ROI</t>
  </si>
  <si>
    <t>https://myiipea.com/media/etudiant/photo/WhatsApp_Image_2023-09-18_at_10.19.21.jpeg</t>
  </si>
  <si>
    <t>BITA1509040001</t>
  </si>
  <si>
    <t>BITTY</t>
  </si>
  <si>
    <t>ANOTCHY MARIE-BEST LEILA</t>
  </si>
  <si>
    <t>https://myiipea.com/media/etudiant/photo/WhatsApp_Image_2023-11-27_at_12.43.39.jpeg</t>
  </si>
  <si>
    <t>BLAG1709040001</t>
  </si>
  <si>
    <t>BLA</t>
  </si>
  <si>
    <t>GRACE EDWIGE</t>
  </si>
  <si>
    <t>https://myiipea.com/media/etudiant/photo/WhatsApp_Image_2023-10-10_at_16.10.53.jpeg</t>
  </si>
  <si>
    <t>BLAA2602040001</t>
  </si>
  <si>
    <t>BLAMON</t>
  </si>
  <si>
    <t>ANGE REGINE</t>
  </si>
  <si>
    <t>https://myiipea.com/media/etudiant/photo/WhatsApp_Image_2023-11-02_at_09.24.28.jpeg</t>
  </si>
  <si>
    <t>BLEE2606020001</t>
  </si>
  <si>
    <t>BLE</t>
  </si>
  <si>
    <t>ESCRIVA ANGE DANIEL</t>
  </si>
  <si>
    <t>https://myiipea.com/media/etudiant/photo/WhatsApp_Image_2023-10-16_at_11.11.08.jpeg</t>
  </si>
  <si>
    <t>BLEJ2012030001</t>
  </si>
  <si>
    <t>JUNIOR WILLY FRANCK</t>
  </si>
  <si>
    <t>https://myiipea.com/media/etudiant/photo/WhatsApp_Image_2023-09-21_at_11.31.45.jpeg</t>
  </si>
  <si>
    <t>BLES1601040001</t>
  </si>
  <si>
    <t>SEHOULOU ANGE MARIE PAULE</t>
  </si>
  <si>
    <t>https://myiipea.com/media/etudiant/photo/WhatsApp_Image_2023-10-03_at_09.38.33.jpeg</t>
  </si>
  <si>
    <t>BLEK1303010001</t>
  </si>
  <si>
    <t>BLEDJO</t>
  </si>
  <si>
    <t>KORE PAUL RODRIGUE</t>
  </si>
  <si>
    <t>https://myiipea.com/media/etudiant/photo/WhatsApp_Image_2023-11-13_at_10.05.21.jpeg</t>
  </si>
  <si>
    <t>BLEC2512990001</t>
  </si>
  <si>
    <t>BLEGBO</t>
  </si>
  <si>
    <t>CLODIA MARIE</t>
  </si>
  <si>
    <t>https://myiipea.com/media/etudiant/photo/WhatsApp_Image_2023-10-31_at_15.56.31.jpeg</t>
  </si>
  <si>
    <t>BLEB0809990001</t>
  </si>
  <si>
    <t>BLEHI</t>
  </si>
  <si>
    <t>BLAY WILFRIED DELAURE</t>
  </si>
  <si>
    <t>https://myiipea.com/media/etudiant/photo/WhatsApp_Image_2023-10-16_at_11.29.49_AM.jpeg</t>
  </si>
  <si>
    <t>BLEJ1304050002</t>
  </si>
  <si>
    <t>BLEINDOU</t>
  </si>
  <si>
    <t>JOEL ELIE</t>
  </si>
  <si>
    <t>https://myiipea.com/media/etudiant/photo/WhatsApp_Image_2023-09-21_at_15.11.48.jpeg</t>
  </si>
  <si>
    <t>BLEK1711030001</t>
  </si>
  <si>
    <t>BLEOUE</t>
  </si>
  <si>
    <t>KOUASSI ISAAC ESECHIEL</t>
  </si>
  <si>
    <t>https://myiipea.com/media/etudiant/photo/WhatsApp_Image_2023-10-03_at_16.23.56.jpeg</t>
  </si>
  <si>
    <t>BLEY2501060001</t>
  </si>
  <si>
    <t>BLESSON</t>
  </si>
  <si>
    <t>YASMINE ELVIRA</t>
  </si>
  <si>
    <t>https://myiipea.com/media/etudiant/photo/WhatsApp_Image_2023-10-02_at_10.38.57.jpeg</t>
  </si>
  <si>
    <t>BLEM2408050001</t>
  </si>
  <si>
    <t>BLEU</t>
  </si>
  <si>
    <t>MANH EMMANUEL YOAN</t>
  </si>
  <si>
    <t>https://myiipea.com/media/etudiant/photo/WhatsApp_Image_2023-10-26_at_10.39.23.jpeg</t>
  </si>
  <si>
    <t>BLET0306030001</t>
  </si>
  <si>
    <t>TIEMOKO EMMANUEL KEVINE</t>
  </si>
  <si>
    <t>https://myiipea.com/media/etudiant/photo/WhatsApp_Image_2023-10-06_at_1.39.02_PM.jpeg</t>
  </si>
  <si>
    <t>BLEK2308040001</t>
  </si>
  <si>
    <t>BLEWUSSI</t>
  </si>
  <si>
    <t>KOKOU BIOVA</t>
  </si>
  <si>
    <t>https://myiipea.com/media/etudiant/photo/WhatsApp_Image_2023-10-06_at_10.47.01.jpeg</t>
  </si>
  <si>
    <t>BLIG1307020001</t>
  </si>
  <si>
    <t>BLIABO</t>
  </si>
  <si>
    <t>GRACE ANGE CHRISTIABELLE</t>
  </si>
  <si>
    <t>https://myiipea.com/media/etudiant/photo/WhatsApp_Image_2023-10-13_at_6.55.07_PM.jpeg</t>
  </si>
  <si>
    <t>BLIA0812950001</t>
  </si>
  <si>
    <t>BLIN</t>
  </si>
  <si>
    <t>ATCHE MOISE</t>
  </si>
  <si>
    <t>https://myiipea.com/media/etudiant/photo/IIPEA_FTR3GyL.jpg</t>
  </si>
  <si>
    <t>BOAA0105020001</t>
  </si>
  <si>
    <t>BOA</t>
  </si>
  <si>
    <t>ADJO ROSE</t>
  </si>
  <si>
    <t>https://myiipea.com/media/etudiant/photo/WhatsApp_Image_2023-10-17_at_15.53.07.jpeg</t>
  </si>
  <si>
    <t>BOAK0306000001</t>
  </si>
  <si>
    <t>KEKE FRANCOIS XAVIER</t>
  </si>
  <si>
    <t>https://myiipea.com/media/etudiant/photo/WhatsApp_Image_2023-11-07_at_12.40.44.jpeg</t>
  </si>
  <si>
    <t>BOAY1802010001</t>
  </si>
  <si>
    <t>BOADI</t>
  </si>
  <si>
    <t>YAO BOADI DIEU-DONNE</t>
  </si>
  <si>
    <t>https://myiipea.com/media/etudiant/photo/WhatsApp_Image_2023-10-09_at_17.38.54.jpeg</t>
  </si>
  <si>
    <t>BOAA2401040001</t>
  </si>
  <si>
    <t>BOATRIN</t>
  </si>
  <si>
    <t>AMAN CAROLE MONDESIR</t>
  </si>
  <si>
    <t>https://myiipea.com/media/etudiant/photo/WhatsApp_Image_2023-09-22_at_09.28.16.jpeg</t>
  </si>
  <si>
    <t>BOCK0805030001</t>
  </si>
  <si>
    <t>BOCOUM</t>
  </si>
  <si>
    <t>KADIDJATOU</t>
  </si>
  <si>
    <t>https://myiipea.com/media/etudiant/photo/WhatsApp_Image_2023-10-31_at_17.10.13.jpeg</t>
  </si>
  <si>
    <t>BOEB2112020002</t>
  </si>
  <si>
    <t>BOESSRO</t>
  </si>
  <si>
    <t>BOLATY MARIE ARMELLE</t>
  </si>
  <si>
    <t>https://myiipea.com/media/etudiant/photo/WhatsApp_Image_2023-10-02_at_10.38.34.jpeg</t>
  </si>
  <si>
    <t>BOEB2112020001</t>
  </si>
  <si>
    <t>BOLOTY MARIE ARMANDE</t>
  </si>
  <si>
    <t>https://myiipea.com/media/etudiant/photo/BOESSRO.jpg</t>
  </si>
  <si>
    <t>BOGL2908030001</t>
  </si>
  <si>
    <t>BOGBE</t>
  </si>
  <si>
    <t>LANDRY</t>
  </si>
  <si>
    <t>https://myiipea.com/media/etudiant/photo/WhatsApp_Image_2023-10-16_at_16.54.37.jpeg</t>
  </si>
  <si>
    <t>BOGM0101060001</t>
  </si>
  <si>
    <t>BOGOU</t>
  </si>
  <si>
    <t>MIENWA DJEDJE CHRISTIAN</t>
  </si>
  <si>
    <t>https://myiipea.com/media/etudiant/photo/WhatsApp_Image_2023-10-02_at_14.33.37.jpeg</t>
  </si>
  <si>
    <t>BOHF1803010001</t>
  </si>
  <si>
    <t>BOH</t>
  </si>
  <si>
    <t>FRANCK SYLVESTRE</t>
  </si>
  <si>
    <t>https://myiipea.com/media/etudiant/photo/WhatsApp_Image_2023-11-07_at_6.49.37_PM.jpeg</t>
  </si>
  <si>
    <t>BOHS0606050001</t>
  </si>
  <si>
    <t>BOHI</t>
  </si>
  <si>
    <t>SEHI BI TRAH MELCHISEDECK-OLYMPE</t>
  </si>
  <si>
    <t>https://myiipea.com/media/etudiant/photo/WhatsApp_Image_2023-09-28_at_11.30.43.jpeg</t>
  </si>
  <si>
    <t>BOHJ0601000001</t>
  </si>
  <si>
    <t>BOHOUN</t>
  </si>
  <si>
    <t>JOSEPH</t>
  </si>
  <si>
    <t>https://myiipea.com/media/etudiant/photo/WhatsApp_Image_2023-11-27_at_12.25.19_PM.jpeg</t>
  </si>
  <si>
    <t>BOHW2808060001</t>
  </si>
  <si>
    <t>BOHOUO</t>
  </si>
  <si>
    <t>WILFRIED</t>
  </si>
  <si>
    <t>https://myiipea.com/media/etudiant/photo/WhatsApp_Image_2023-10-17_at_16.21.45.jpeg</t>
  </si>
  <si>
    <t>BOHK1908040001</t>
  </si>
  <si>
    <t>BOHOUSSOU</t>
  </si>
  <si>
    <t>KOUAKOU AMANI ERIC</t>
  </si>
  <si>
    <t>https://myiipea.com/media/etudiant/photo/WhatsApp_Image_2023-10-09_at_15.42.58.jpeg</t>
  </si>
  <si>
    <t>BOHO2502040001</t>
  </si>
  <si>
    <t>BOHUI</t>
  </si>
  <si>
    <t>OHOURI ANNE-MELAINE</t>
  </si>
  <si>
    <t>https://myiipea.com/media/etudiant/photo/WhatsApp_Image_2023-10-03_at_11.59.03.jpeg</t>
  </si>
  <si>
    <t>BOIA1201010001</t>
  </si>
  <si>
    <t>BOIDOU</t>
  </si>
  <si>
    <t>AMA SABINE</t>
  </si>
  <si>
    <t>https://myiipea.com/media/etudiant/photo/WhatsApp_Image_2023-10-13_at_19.31.12.jpeg</t>
  </si>
  <si>
    <t>BOIN0808020001</t>
  </si>
  <si>
    <t>NOUAMAN ASSAVON JEAN-CHRIST</t>
  </si>
  <si>
    <t>https://myiipea.com/media/etudiant/photo/21A29BFD-9335-434E-A777-95ED7762F30A_resized.png</t>
  </si>
  <si>
    <t>BOIE1612000001</t>
  </si>
  <si>
    <t>BOIGNON</t>
  </si>
  <si>
    <t>ELVIS PATERNE</t>
  </si>
  <si>
    <t>https://myiipea.com/media/etudiant/photo/2d0ca259-a2d5-4543-bc71-fcdeeeb7e0ab-removebg-preview.png</t>
  </si>
  <si>
    <t>BOKA1207020001</t>
  </si>
  <si>
    <t>BOKA</t>
  </si>
  <si>
    <t>ATTE ANGE MICHEL</t>
  </si>
  <si>
    <t>https://myiipea.com/media/etudiant/photo/WhatsApp_Image_2023-10-12_at_13.09.46.jpeg</t>
  </si>
  <si>
    <t>BOKN1712030001</t>
  </si>
  <si>
    <t>N'TAKPE HONORAT</t>
  </si>
  <si>
    <t>https://myiipea.com/media/etudiant/photo/WhatsApp_Image_2023-09-28_at_10.02.56.jpeg</t>
  </si>
  <si>
    <t>BOKA2403000001</t>
  </si>
  <si>
    <t>BOKO</t>
  </si>
  <si>
    <t>AFFOUA MARIE CATHERINE</t>
  </si>
  <si>
    <t>https://myiipea.com/media/etudiant/photo/WhatsApp_Image_2023-10-03_at_17.52.09.jpeg</t>
  </si>
  <si>
    <t>BOKO1211030001</t>
  </si>
  <si>
    <t>BOKOUA</t>
  </si>
  <si>
    <t>OUAGA THEODORE CURTIS</t>
  </si>
  <si>
    <t>https://myiipea.com/media/etudiant/photo/WhatsApp_Image_2023-10-19_at_17_resized.png</t>
  </si>
  <si>
    <t>BOKD0805030001</t>
  </si>
  <si>
    <t>BOKOVI</t>
  </si>
  <si>
    <t>DESIRE</t>
  </si>
  <si>
    <t>https://myiipea.com/media/etudiant/photo/WhatsApp_Image_2023-10-05_at_16.37.04.jpeg</t>
  </si>
  <si>
    <t>BOLG0104050001</t>
  </si>
  <si>
    <t>BOLI</t>
  </si>
  <si>
    <t>GOTRE BI IRIE STANISLAS</t>
  </si>
  <si>
    <t>https://myiipea.com/media/etudiant/photo/WhatsApp_Image_2023-10-09_at_12_resized.png</t>
  </si>
  <si>
    <t>BOLA0303040001</t>
  </si>
  <si>
    <t>BOLOU</t>
  </si>
  <si>
    <t>AXELLE JESSICA</t>
  </si>
  <si>
    <t>https://myiipea.com/media/etudiant/photo/WhatsApp_Image_2023-11-20_at_1.17.09_PM.jpeg</t>
  </si>
  <si>
    <t>BOLL0510060001</t>
  </si>
  <si>
    <t>LOU NOURAH LOIC OLIVIA</t>
  </si>
  <si>
    <t>https://myiipea.com/media/etudiant/photo/239422487_405915444207421_8131329350063382999_n_6QDVYF8.jpg</t>
  </si>
  <si>
    <t>BOLS3110030001</t>
  </si>
  <si>
    <t>SERGE EMMANUEL</t>
  </si>
  <si>
    <t>https://myiipea.com/media/etudiant/photo/WhatsApp_Image_2023-09-29_at_14.47.17.jpeg</t>
  </si>
  <si>
    <t>BOMD0304030001</t>
  </si>
  <si>
    <t>BOMAHI</t>
  </si>
  <si>
    <t>DIZO DIDIER</t>
  </si>
  <si>
    <t>https://myiipea.com/media/etudiant/photo/WhatsApp_Image_2023-10-03_at_17.32.04.jpeg</t>
  </si>
  <si>
    <t>BONM2104030001</t>
  </si>
  <si>
    <t>BONI</t>
  </si>
  <si>
    <t>MIENRAH HUGUES LANVIN</t>
  </si>
  <si>
    <t>https://myiipea.com/media/etudiant/photo/WhatsApp_Image_2023-10-12_at_09.42.11.jpeg</t>
  </si>
  <si>
    <t>BONN2712010001</t>
  </si>
  <si>
    <t>N'GBESSO SIDOINE ALMIRA</t>
  </si>
  <si>
    <t>https://myiipea.com/media/etudiant/photo/WhatsApp_Image_2023-10-11_at_19.43.05.jpeg</t>
  </si>
  <si>
    <t>BONY1203040001</t>
  </si>
  <si>
    <t>YAO FRANCK FABIEN OTNIEL</t>
  </si>
  <si>
    <t>https://myiipea.com/media/etudiant/photo/WhatsApp_Image_2023-09-26_at_10.12.32.jpeg</t>
  </si>
  <si>
    <t>BONB2306030001</t>
  </si>
  <si>
    <t>BONKOUNGOU</t>
  </si>
  <si>
    <t>BASSIROU</t>
  </si>
  <si>
    <t>https://myiipea.com/media/etudiant/photo/WhatsApp_Image_2023-11-22_at_11.07.37_AM.jpeg</t>
  </si>
  <si>
    <t>BONM2305050001</t>
  </si>
  <si>
    <t>BONSU</t>
  </si>
  <si>
    <t>MIGTHY KING JEPHTHAN</t>
  </si>
  <si>
    <t>https://myiipea.com/media/etudiant/photo/WhatsApp_Image_2023-10-26_at_11.29.47.jpeg</t>
  </si>
  <si>
    <t>BONA3003010001</t>
  </si>
  <si>
    <t>BONY</t>
  </si>
  <si>
    <t>ALVINE REGINE</t>
  </si>
  <si>
    <t>https://myiipea.com/media/etudiant/photo/WhatsApp_Image_2023-11-06_at_7.10.20_PM.jpeg</t>
  </si>
  <si>
    <t>BONA2111040001</t>
  </si>
  <si>
    <t>BONZO</t>
  </si>
  <si>
    <t>AMENAN CHARLENE</t>
  </si>
  <si>
    <t>https://myiipea.com/media/etudiant/photo/WhatsApp_Image_2023-10-02_at_19.04.46.jpeg</t>
  </si>
  <si>
    <t>BOOT1007000001</t>
  </si>
  <si>
    <t>BOOROU</t>
  </si>
  <si>
    <t>TRAZIE FRANCK MARDOCHEE TAHA</t>
  </si>
  <si>
    <t>https://myiipea.com/media/etudiant/photo/WhatsApp_Image_2023-10-30_at_15.52.27.jpeg</t>
  </si>
  <si>
    <t>BORM0912020001</t>
  </si>
  <si>
    <t>BORE</t>
  </si>
  <si>
    <t>MOUSTAPHA HENRI-JOEL</t>
  </si>
  <si>
    <t>https://myiipea.com/media/etudiant/photo/WhatsApp_Image_2023-10-03_at_13.49.07.jpeg</t>
  </si>
  <si>
    <t>BOSA3006020001</t>
  </si>
  <si>
    <t>BOSCO</t>
  </si>
  <si>
    <t>AMOUGNAN AUDREY DEBORAH</t>
  </si>
  <si>
    <t>https://myiipea.com/media/etudiant/photo/WhatsApp_Image_2023-10-12_at_11.41.50.jpeg</t>
  </si>
  <si>
    <t>BOSL1310010001</t>
  </si>
  <si>
    <t>BOSSE</t>
  </si>
  <si>
    <t>LHETICIA ORFESE</t>
  </si>
  <si>
    <t>https://myiipea.com/media/etudiant/photo/WhatsApp_Image_2023-11-13_at_11.53.42.jpeg</t>
  </si>
  <si>
    <t>BOSM0507020001</t>
  </si>
  <si>
    <t>BOSSO</t>
  </si>
  <si>
    <t>MARYLENE JOHANNE</t>
  </si>
  <si>
    <t>https://myiipea.com/media/etudiant/photo/WhatsApp_Image_2023-10-10_at_12.50.06.jpeg</t>
  </si>
  <si>
    <t>BOSA2911010001</t>
  </si>
  <si>
    <t>BOSSOH</t>
  </si>
  <si>
    <t>AGRE GRACE REBECCA</t>
  </si>
  <si>
    <t>https://myiipea.com/media/etudiant/photo/WhatsApp_Image_2023-09-26_%C3%A0_16.23.07.jpg</t>
  </si>
  <si>
    <t>BOSA1412030001</t>
  </si>
  <si>
    <t>BOSSON</t>
  </si>
  <si>
    <t>ANGE BOSSON EMMANUEL</t>
  </si>
  <si>
    <t>https://myiipea.com/media/etudiant/photo/WhatsApp_Image_2023-11-17_at_14.00.39.jpeg</t>
  </si>
  <si>
    <t>BOSS2009040001</t>
  </si>
  <si>
    <t>SAMUEL</t>
  </si>
  <si>
    <t>https://myiipea.com/media/etudiant/photo/WhatsApp_Image_2023-10-13_at_18.46.02.jpeg</t>
  </si>
  <si>
    <t>BOTA0602040001</t>
  </si>
  <si>
    <t>BOTINISSOGO</t>
  </si>
  <si>
    <t>AFFOUA ESTELLE</t>
  </si>
  <si>
    <t>https://myiipea.com/media/etudiant/photo/WhatsApp_Image_2023-11-06_at_13.07.23.jpeg</t>
  </si>
  <si>
    <t>BOTA0901010001</t>
  </si>
  <si>
    <t>BOTO</t>
  </si>
  <si>
    <t>AMANIBIE DIVINE MORELLE ETIENNETTE</t>
  </si>
  <si>
    <t>https://myiipea.com/media/etudiant/photo/WhatsApp_Image_2023-10-06_at_09.00.45.jpeg</t>
  </si>
  <si>
    <t>BOTM2206040001</t>
  </si>
  <si>
    <t>BOTOUA</t>
  </si>
  <si>
    <t>MANOU ROXANE CHERYLE</t>
  </si>
  <si>
    <t>https://myiipea.com/media/etudiant/photo/WhatsApp_Image_2023-09-14_at_13.02.29.jpeg</t>
  </si>
  <si>
    <t>BOTE0111050001</t>
  </si>
  <si>
    <t>BOTTY</t>
  </si>
  <si>
    <t>ESMEL ARLEM</t>
  </si>
  <si>
    <t>https://myiipea.com/media/etudiant/photo/WhatsApp_Image_2023-11-16_at_12.02.21_PM.jpeg</t>
  </si>
  <si>
    <t>BOTL2512010001</t>
  </si>
  <si>
    <t>LATH WILFRIED</t>
  </si>
  <si>
    <t>https://myiipea.com/media/etudiant/photo/WhatsApp_Image_2023-10-05_at_17.06.48.jpeg</t>
  </si>
  <si>
    <t>BOTM2902040001</t>
  </si>
  <si>
    <t>MEL YEI DORIS MARIE ROXANNE</t>
  </si>
  <si>
    <t>https://myiipea.com/media/etudiant/photo/WhatsApp_Image_2023-11-21_at_12.14.50.jpeg</t>
  </si>
  <si>
    <t>BOUJ2503980001</t>
  </si>
  <si>
    <t>BOUA</t>
  </si>
  <si>
    <t>JOSAPHAT OLIVIER KONAN</t>
  </si>
  <si>
    <t>https://myiipea.com/media/etudiant/photo/WhatsApp_Image_2023-10-30_at_13.51.32.jpeg</t>
  </si>
  <si>
    <t>BOUK2503000001</t>
  </si>
  <si>
    <t>KOUADIO ANGE MICHEL</t>
  </si>
  <si>
    <t>https://myiipea.com/media/etudiant/photo/WhatsApp_Image_2023-10-04_at_10.01.33.jpeg</t>
  </si>
  <si>
    <t>BOUU1211020001</t>
  </si>
  <si>
    <t>URIEL ANGELES</t>
  </si>
  <si>
    <t>https://myiipea.com/media/etudiant/photo/WhatsApp_Image_2023-10-06_at_16_resized.png</t>
  </si>
  <si>
    <t>BOUE2810020001</t>
  </si>
  <si>
    <t>BOUABRE</t>
  </si>
  <si>
    <t>EDITH LINDA</t>
  </si>
  <si>
    <t>https://myiipea.com/media/etudiant/photo/WhatsApp_Image_2023-10-06_at_15_resized.png</t>
  </si>
  <si>
    <t>BOUN2210030001</t>
  </si>
  <si>
    <t>BOUADOU</t>
  </si>
  <si>
    <t>N'GNANGORAN CHAMBERTINE ESPERANCE</t>
  </si>
  <si>
    <t>https://myiipea.com/media/etudiant/photo/WhatsApp_Image_2023-10-03_at_6.16.55_PM.jpeg</t>
  </si>
  <si>
    <t>BOUM1203010001</t>
  </si>
  <si>
    <t>BOUAFFOU</t>
  </si>
  <si>
    <t>MARIE-ANNE</t>
  </si>
  <si>
    <t>https://myiipea.com/media/etudiant/photo/WhatsApp_Image_2023-11-14_at_14.38.14.jpeg</t>
  </si>
  <si>
    <t>BOUJ0203000001</t>
  </si>
  <si>
    <t>BOUAKI</t>
  </si>
  <si>
    <t>JEAN PHILIPPE ANSELME</t>
  </si>
  <si>
    <t>https://myiipea.com/media/etudiant/photo/photo_eQqw30o.jpg</t>
  </si>
  <si>
    <t>BOUY0910030001</t>
  </si>
  <si>
    <t>YAO YEBOUA HENOK</t>
  </si>
  <si>
    <t>https://myiipea.com/media/etudiant/photo/WhatsApp_Image_2023-11-21_at_15.47.35.jpeg</t>
  </si>
  <si>
    <t>BOUO1408040001</t>
  </si>
  <si>
    <t>BOUARE</t>
  </si>
  <si>
    <t>OUSMANE</t>
  </si>
  <si>
    <t>https://myiipea.com/media/etudiant/photo/WhatsApp_Image_2023-10-12_at_15.17.17.jpeg</t>
  </si>
  <si>
    <t>BOUP1110040001</t>
  </si>
  <si>
    <t>BOUAZO</t>
  </si>
  <si>
    <t>PRINCE OSCAR DANIEL</t>
  </si>
  <si>
    <t>https://myiipea.com/media/etudiant/photo/WhatsApp_Image_2023-10-03_at_15.29.51.jpeg</t>
  </si>
  <si>
    <t>BOUA1510000001</t>
  </si>
  <si>
    <t>BOUCHOU</t>
  </si>
  <si>
    <t>ADON WILLIAMS ASTRIDE</t>
  </si>
  <si>
    <t>https://myiipea.com/media/etudiant/photo/WhatsApp_Image_2023-10-25_at_16.55.01.jpeg</t>
  </si>
  <si>
    <t>BOUP2304000001</t>
  </si>
  <si>
    <t>BOUDA</t>
  </si>
  <si>
    <t>PASCAL</t>
  </si>
  <si>
    <t>https://myiipea.com/media/etudiant/photo/WhatsApp_Image_2023-11-09_at_12.34.23.jpeg</t>
  </si>
  <si>
    <t>BOUM0302040001</t>
  </si>
  <si>
    <t>BOUH</t>
  </si>
  <si>
    <t>MANON DOMINIQUE ASTRIDE</t>
  </si>
  <si>
    <t>https://myiipea.com/media/etudiant/photo/WhatsApp_Image_2023-09-29_at_10.49.54.jpeg</t>
  </si>
  <si>
    <t>BOUC2301050001</t>
  </si>
  <si>
    <t>BOUHO</t>
  </si>
  <si>
    <t>CHARLES AIME</t>
  </si>
  <si>
    <t>https://myiipea.com/media/etudiant/photo/WhatsApp_Image_2023-11-13_at_1.46.25_PM.jpeg</t>
  </si>
  <si>
    <t>BOUM2705050001</t>
  </si>
  <si>
    <t>BOUSSIM</t>
  </si>
  <si>
    <t>MOUINATOU</t>
  </si>
  <si>
    <t>https://myiipea.com/media/etudiant/photo/WhatsApp_Image_2023-10-05_at_18.15.43.jpeg</t>
  </si>
  <si>
    <t>BOYL2712980001</t>
  </si>
  <si>
    <t>BOYA</t>
  </si>
  <si>
    <t>LOU YOUNAN EPHRASIE LA BLANCHE</t>
  </si>
  <si>
    <t>https://myiipea.com/media/etudiant/photo/WhatsApp_Image_2023-10-13_at_12.53.22.jpeg</t>
  </si>
  <si>
    <t>BREK2112040001</t>
  </si>
  <si>
    <t>BREDOU</t>
  </si>
  <si>
    <t>KOFFI BLA EMMANUELA ROXANE</t>
  </si>
  <si>
    <t>https://myiipea.com/media/etudiant/photo/WhatsApp_Image_2023-10-12_at_17.46.58.jpeg</t>
  </si>
  <si>
    <t>BRIR0508030001</t>
  </si>
  <si>
    <t>BRIGA</t>
  </si>
  <si>
    <t>ROMARIC FREDDY ANDERSON</t>
  </si>
  <si>
    <t>https://myiipea.com/media/etudiant/photo/WhatsApp_Image_2023-10-10_at_09.28.44.jpeg</t>
  </si>
  <si>
    <t>BROA1812010001</t>
  </si>
  <si>
    <t>BROU</t>
  </si>
  <si>
    <t>ADJOUA CORILLE</t>
  </si>
  <si>
    <t>https://myiipea.com/media/etudiant/photo/WhatsApp_Image_2023-10-16_at_13.37.32.jpeg</t>
  </si>
  <si>
    <t>BROA1205050001</t>
  </si>
  <si>
    <t>ADJOUA MARIE BLANCHARDE</t>
  </si>
  <si>
    <t>https://myiipea.com/media/etudiant/photo/WhatsApp_Image_2023-10-10_at_16.07.09.jpeg</t>
  </si>
  <si>
    <t>BROA1003030001</t>
  </si>
  <si>
    <t>AFFOUE JOCELYNE</t>
  </si>
  <si>
    <t>FINANCE COMPTABILITE ET GESTIONS  DES ENTREPRISES</t>
  </si>
  <si>
    <t>https://myiipea.com/media/etudiant/photo/WhatsApp_Image_2023-10-11_at_17.33.12.jpeg</t>
  </si>
  <si>
    <t>BROA2506010001</t>
  </si>
  <si>
    <t>AKISSI EUDOXIE CAROLE PRISCA</t>
  </si>
  <si>
    <t>https://myiipea.com/media/etudiant/photo/WhatsApp_Image_2023-12-01_at_1_resized.png</t>
  </si>
  <si>
    <t>BROA2407040001</t>
  </si>
  <si>
    <t>AKPA ARSENE ARISTIDE</t>
  </si>
  <si>
    <t>https://myiipea.com/media/etudiant/photo/WhatsApp_Image_2023-10-09_at_13.05.47.jpeg</t>
  </si>
  <si>
    <t>BROA1807020001</t>
  </si>
  <si>
    <t>ANY SARAH</t>
  </si>
  <si>
    <t>https://myiipea.com/media/etudiant/photo/WhatsApp_Image_2023-12-01_at_3_resized_uThQseI.png</t>
  </si>
  <si>
    <t>BROA2707030001</t>
  </si>
  <si>
    <t>AURORE SAMIRA ELVA KIMI</t>
  </si>
  <si>
    <t>https://myiipea.com/media/etudiant/photo/WhatsApp_Image_2023-10-16_at_17.00.09.jpeg</t>
  </si>
  <si>
    <t>BROB1111040001</t>
  </si>
  <si>
    <t>BOSSOUMA JANICE</t>
  </si>
  <si>
    <t>https://myiipea.com/media/etudiant/photo/WhatsApp_Image_2023-10-03_at_16.02.05.jpeg</t>
  </si>
  <si>
    <t>BROE1212010001</t>
  </si>
  <si>
    <t>EDWIGE</t>
  </si>
  <si>
    <t>https://myiipea.com/media/etudiant/photo/WhatsApp_Image_2023-10-05_at_12.41.25.jpeg</t>
  </si>
  <si>
    <t>BROG1803060001</t>
  </si>
  <si>
    <t>GALAUD ELIE-FLORIANE</t>
  </si>
  <si>
    <t>https://myiipea.com/media/etudiant/photo/WhatsApp_Image_2023-10-10_at_12.39.26.jpeg</t>
  </si>
  <si>
    <t>BROK0612030001</t>
  </si>
  <si>
    <t>KOFFI ANICET</t>
  </si>
  <si>
    <t>https://myiipea.com/media/etudiant/photo/WhatsApp_Image_2023-10-02_at_14.13.58.jpeg</t>
  </si>
  <si>
    <t>BROK2111050002</t>
  </si>
  <si>
    <t>KOUA JEAN YVES PATERNE</t>
  </si>
  <si>
    <t>https://myiipea.com/media/etudiant/photo/WhatsApp_Image_2023-11-08_at_13.12.19_1.jpeg</t>
  </si>
  <si>
    <t>BROK0611000001</t>
  </si>
  <si>
    <t>KOUASSI  JEAN-MARC</t>
  </si>
  <si>
    <t>https://myiipea.com/media/etudiant/photo/BROU.jpg</t>
  </si>
  <si>
    <t>BRON2012040001</t>
  </si>
  <si>
    <t>N'DA ANGE MARIE LILIANE</t>
  </si>
  <si>
    <t>https://myiipea.com/media/etudiant/photo/WhatsApp_Image_2023-09-26_at_11.27.06.jpeg</t>
  </si>
  <si>
    <t>BRON2701060001</t>
  </si>
  <si>
    <t>NIAMIEN JACQUES-HEMERANCE</t>
  </si>
  <si>
    <t>https://myiipea.com/media/etudiant/photo/WhatsApp_Image_2023-10-05_at_12_resized.png</t>
  </si>
  <si>
    <t>BROS1811040001</t>
  </si>
  <si>
    <t>SARAH JOCELYNE</t>
  </si>
  <si>
    <t>https://myiipea.com/media/etudiant/photo/WhatsApp_Image_2023-10-13_at_13.46.20.jpeg</t>
  </si>
  <si>
    <t>BURB3107020001</t>
  </si>
  <si>
    <t>BURLION</t>
  </si>
  <si>
    <t>BLANCHE-LAUREINE</t>
  </si>
  <si>
    <t>https://myiipea.com/media/etudiant/photo/WhatsApp_Image_2023-10-06_at_11.57.33.jpeg</t>
  </si>
  <si>
    <t>CAHK2702030001</t>
  </si>
  <si>
    <t>CAHIE</t>
  </si>
  <si>
    <t>KAKOU LOU MARIE-JEANNE GRACE</t>
  </si>
  <si>
    <t>https://myiipea.com/media/etudiant/photo/WhatsApp_Image_2023-09-25_at_14.32.25.jpeg</t>
  </si>
  <si>
    <t>CAMA0101040001</t>
  </si>
  <si>
    <t>CAMARA</t>
  </si>
  <si>
    <t>https://myiipea.com/media/etudiant/photo/WhatsApp_Image_2023-11-28_at_2.39.49_PM.jpeg</t>
  </si>
  <si>
    <t>CAMB0110030001</t>
  </si>
  <si>
    <t>https://myiipea.com/media/etudiant/photo/WhatsApp_Image_2023-09-29_at_17.38.15.jpeg</t>
  </si>
  <si>
    <t>CAMC0811020001</t>
  </si>
  <si>
    <t>CHEICK OUMAR</t>
  </si>
  <si>
    <t>https://myiipea.com/media/etudiant/photo/WhatsApp_Image_2023-10-06_at_13.52.51.jpeg</t>
  </si>
  <si>
    <t>CAMK1602030001</t>
  </si>
  <si>
    <t>KANDJI</t>
  </si>
  <si>
    <t>https://myiipea.com/media/etudiant/photo/WhatsApp_Image_2023-11-06_at_2.18.20_PM.jpeg</t>
  </si>
  <si>
    <t>CAMM0102050001</t>
  </si>
  <si>
    <t>MARIAM ELLA</t>
  </si>
  <si>
    <t>https://myiipea.com/media/etudiant/photo/WhatsApp_Image_2023-10-09_at_16.35.44.jpeg</t>
  </si>
  <si>
    <t>CAMN2912020001</t>
  </si>
  <si>
    <t>NAMIZATA</t>
  </si>
  <si>
    <t>https://myiipea.com/media/etudiant/photo/WhatsApp_Image_2023-09-15_at_12_resized.png</t>
  </si>
  <si>
    <t>CAMS0903010001</t>
  </si>
  <si>
    <t>SAGOU ADAM WILFRIED</t>
  </si>
  <si>
    <t>https://myiipea.com/media/etudiant/photo/WhatsApp_Image_2023-10-20_at_13.18.39.jpeg</t>
  </si>
  <si>
    <t>CAMY0803050001</t>
  </si>
  <si>
    <t>YELFAN FOUSSENY</t>
  </si>
  <si>
    <t>https://myiipea.com/media/etudiant/photo/WhatsApp_Image_2023-10-03_at_13.32.17.jpeg</t>
  </si>
  <si>
    <t>CHEI1011030001</t>
  </si>
  <si>
    <t>CHEICK</t>
  </si>
  <si>
    <t>INA GRACE LAURILA</t>
  </si>
  <si>
    <t>https://myiipea.com/media/etudiant/photo/WhatsApp_Image_2023-10-16_at_14.17.24.jpeg</t>
  </si>
  <si>
    <t>CHEA0608050001</t>
  </si>
  <si>
    <t>CHERIF</t>
  </si>
  <si>
    <t>AFSAT RAIMA LEILA</t>
  </si>
  <si>
    <t>https://myiipea.com/media/etudiant/photo/WhatsApp_Image_2023-10-04_at_10.02.17.jpeg</t>
  </si>
  <si>
    <t>CHEA1406040001</t>
  </si>
  <si>
    <t>AICHATOU MANCHIAGBE</t>
  </si>
  <si>
    <t>https://myiipea.com/media/etudiant/photo/WhatsApp_Image_2023-10-04_at_11.37.33.jpeg</t>
  </si>
  <si>
    <t>CHEF2010000001</t>
  </si>
  <si>
    <t>https://myiipea.com/media/etudiant/photo/WhatsApp_Image_2023-10-13_at_15.35.55.jpeg</t>
  </si>
  <si>
    <t>CHES1904040001</t>
  </si>
  <si>
    <t>SALIMATA MARIE-ESTHER</t>
  </si>
  <si>
    <t>https://myiipea.com/media/etudiant/photo/WhatsApp_Image_2023-09-26_at_14.04.14.jpeg</t>
  </si>
  <si>
    <t>CISA0411990001</t>
  </si>
  <si>
    <t>CISSE</t>
  </si>
  <si>
    <t>AICHA</t>
  </si>
  <si>
    <t>https://myiipea.com/media/etudiant/photo/WhatsApp_Image_2023-10-13_at_14.47.16.jpeg</t>
  </si>
  <si>
    <t>CISA3008040001</t>
  </si>
  <si>
    <t>https://myiipea.com/media/etudiant/photo/CISSE.jpg</t>
  </si>
  <si>
    <t>CISA2211050001</t>
  </si>
  <si>
    <t>https://myiipea.com/media/etudiant/photo/WhatsApp_Image_2023-10-10_at_14.08.41.jpeg</t>
  </si>
  <si>
    <t>CISA1312040001</t>
  </si>
  <si>
    <t>https://myiipea.com/media/etudiant/photo/WhatsApp_Image_2023-10-17_at_18.21.13.jpeg</t>
  </si>
  <si>
    <t>CISA1905050001</t>
  </si>
  <si>
    <t>ASSENA DAVID STEVE VASSIVILI VITH</t>
  </si>
  <si>
    <t>https://myiipea.com/media/etudiant/photo/WhatsApp_Image_2023-11-03_at_10.55.51.jpeg</t>
  </si>
  <si>
    <t>CISB3004030001</t>
  </si>
  <si>
    <t>BAMBI MARIE-YVANNE ZEINAB</t>
  </si>
  <si>
    <t>https://myiipea.com/media/etudiant/photo/WhatsApp_Image_2023-10-27_at_17.00.04.jpeg</t>
  </si>
  <si>
    <t>CISD0311030001</t>
  </si>
  <si>
    <t>DJENEBA</t>
  </si>
  <si>
    <t>https://myiipea.com/media/etudiant/photo/WhatsApp_Image_2023-10-03_at_11.14.56_AM_cumII8C.jpeg</t>
  </si>
  <si>
    <t>CISD2007030001</t>
  </si>
  <si>
    <t>https://myiipea.com/media/etudiant/photo/WhatsApp_Image_2023-10-25_at_14.40.30.jpeg</t>
  </si>
  <si>
    <t>CISF1702030001</t>
  </si>
  <si>
    <t>https://myiipea.com/media/etudiant/photo/WhatsApp_Image_2023-09-29_at_15.11.37.jpeg</t>
  </si>
  <si>
    <t>CISF2307020001</t>
  </si>
  <si>
    <t>FATOUMATA BINTOU YASSINE</t>
  </si>
  <si>
    <t>https://myiipea.com/media/etudiant/photo/IIPEA_iWZW3WM.png</t>
  </si>
  <si>
    <t>CISK0412010001</t>
  </si>
  <si>
    <t>https://myiipea.com/media/etudiant/photo/WhatsApp_Image_2023-10-11_at_16.52.50.jpeg</t>
  </si>
  <si>
    <t>CISM0902000001</t>
  </si>
  <si>
    <t>MATENIN</t>
  </si>
  <si>
    <t>https://myiipea.com/media/etudiant/photo/WhatsApp_Image_2023-10-13_at_16.49.24.jpeg</t>
  </si>
  <si>
    <t>CISM0707030001</t>
  </si>
  <si>
    <t>MOHAMMED</t>
  </si>
  <si>
    <t>https://myiipea.com/media/etudiant/photo/WhatsApp_Image_2023-10-02_at_17.13.39.jpeg</t>
  </si>
  <si>
    <t>CISM1712070001</t>
  </si>
  <si>
    <t>MONIQUE AWA</t>
  </si>
  <si>
    <t>https://myiipea.com/media/etudiant/photo/ee805a7a-bd0f-4cfc-a70e-cbab604ca96a_2UDDEQR_resized.png</t>
  </si>
  <si>
    <t>CISN2305060001</t>
  </si>
  <si>
    <t>NANCY LEILA MABRONDJE</t>
  </si>
  <si>
    <t>https://myiipea.com/media/etudiant/photo/WhatsApp_Image_2023-10-05_at_11.32.12.jpeg</t>
  </si>
  <si>
    <t>CISS1309000001</t>
  </si>
  <si>
    <t>SOUALIO</t>
  </si>
  <si>
    <t>https://myiipea.com/media/etudiant/photo/WhatsApp_Image_2023-10-12_at_19.20.30.jpeg</t>
  </si>
  <si>
    <t>CIST0101030001</t>
  </si>
  <si>
    <t>TIDIANE</t>
  </si>
  <si>
    <t>https://myiipea.com/media/etudiant/photo/WhatsApp_Image_2023-10-16_at_12.10.02_PM.jpeg</t>
  </si>
  <si>
    <t>COFK1410020001</t>
  </si>
  <si>
    <t>COFFIE</t>
  </si>
  <si>
    <t>KOUAME EUDES DANIEL</t>
  </si>
  <si>
    <t>https://myiipea.com/media/etudiant/photo/WhatsApp_Image_2023-11-17_at_10.58.45.jpeg</t>
  </si>
  <si>
    <t>COMA0709040001</t>
  </si>
  <si>
    <t>COMPAORE</t>
  </si>
  <si>
    <t>ABZETA</t>
  </si>
  <si>
    <t>https://myiipea.com/media/etudiant/photo/WhatsApp_Image_2023-09-29_at_14.49.50.jpeg</t>
  </si>
  <si>
    <t>COMC0708030001</t>
  </si>
  <si>
    <t>COLOMBE ANDREA</t>
  </si>
  <si>
    <t>https://myiipea.com/media/etudiant/photo/WhatsApp_Image_2023-11-17_at_16.54.06.jpeg</t>
  </si>
  <si>
    <t>COMI1109020001</t>
  </si>
  <si>
    <t>https://myiipea.com/media/etudiant/photo/ECB964A8-1DFF-40FE-89C9-99D5888FF35B_resized.png</t>
  </si>
  <si>
    <t>CONA0804980001</t>
  </si>
  <si>
    <t>CONDE</t>
  </si>
  <si>
    <t>ADAMA</t>
  </si>
  <si>
    <t>https://myiipea.com/media/etudiant/photo/WhatsApp_Image_2023-11-29_at_3.48.04_PM.jpeg</t>
  </si>
  <si>
    <t>COND2812990001</t>
  </si>
  <si>
    <t>DJEKORIA</t>
  </si>
  <si>
    <t>https://myiipea.com/media/etudiant/photo/WhatsApp_Image_2023-10-10_at_09.43.45.jpeg</t>
  </si>
  <si>
    <t>CONF2003030001</t>
  </si>
  <si>
    <t>FATIM</t>
  </si>
  <si>
    <t>https://myiipea.com/media/etudiant/photo/WhatsApp_Image_2023-10-03_at_18.48.36.jpeg</t>
  </si>
  <si>
    <t>CONN0605020001</t>
  </si>
  <si>
    <t>NASSIRA</t>
  </si>
  <si>
    <t>https://myiipea.com/media/etudiant/photo/WhatsApp_Image_2023-10-06_at_15.37.06.jpeg</t>
  </si>
  <si>
    <t>CORA1404050001</t>
  </si>
  <si>
    <t>CORCHER</t>
  </si>
  <si>
    <t>ALOWSO MARIE EMMANUELLA</t>
  </si>
  <si>
    <t>https://myiipea.com/media/etudiant/photo/239422487_405915444207421_8131329350063382999_n_lyysKWb.jpg</t>
  </si>
  <si>
    <t>COUA2308010001</t>
  </si>
  <si>
    <t>COULIBALY</t>
  </si>
  <si>
    <t>ABDOU SAMADOU</t>
  </si>
  <si>
    <t>https://myiipea.com/media/etudiant/photo/WhatsApp_Image_2023-11-22_at_14.57.34.jpeg</t>
  </si>
  <si>
    <t>COUA0402040001</t>
  </si>
  <si>
    <t>ABIBA</t>
  </si>
  <si>
    <t>https://myiipea.com/media/etudiant/photo/WhatsApp_Image_2023-11-16_at_11.45.05.jpeg</t>
  </si>
  <si>
    <t>COUA2301040001</t>
  </si>
  <si>
    <t>ABOUBACAR</t>
  </si>
  <si>
    <t>https://myiipea.com/media/etudiant/photo/WhatsApp_Image_2023-09-18_at_15_resized.png</t>
  </si>
  <si>
    <t>COUA1212020003</t>
  </si>
  <si>
    <t>https://myiipea.com/media/etudiant/photo/WhatsApp_Image_2023-11-13_at_10_resized.png</t>
  </si>
  <si>
    <t>COUA1110050001</t>
  </si>
  <si>
    <t>https://myiipea.com/media/etudiant/photo/WhatsApp_Image_2023-10-04_at_15_resized_xa4fJgq.png</t>
  </si>
  <si>
    <t>COUA0101040001</t>
  </si>
  <si>
    <t>AMA SYNTYCHE ARMELLE</t>
  </si>
  <si>
    <t>https://myiipea.com/media/etudiant/photo/WhatsApp_Image_2023-11-14_at_13.02.46.jpeg</t>
  </si>
  <si>
    <t>COUA2112020001</t>
  </si>
  <si>
    <t>AMI</t>
  </si>
  <si>
    <t>https://myiipea.com/media/etudiant/photo/WhatsApp_Image_2023-09-18_at_12.40.02_1.jpeg</t>
  </si>
  <si>
    <t>COUA1806030001</t>
  </si>
  <si>
    <t>APATCHO ATSALIE BERENICE</t>
  </si>
  <si>
    <t>https://myiipea.com/media/etudiant/photo/WhatsApp_Image_2023-10-02_at_13.41.12.jpeg</t>
  </si>
  <si>
    <t>COUA1604030001</t>
  </si>
  <si>
    <t>APATIOH REINE PASCALE</t>
  </si>
  <si>
    <t>https://myiipea.com/media/etudiant/photo/WhatsApp_Image_2023-11-14_at_11.51.36.jpeg</t>
  </si>
  <si>
    <t>COUA2212000001</t>
  </si>
  <si>
    <t>ASSITAN</t>
  </si>
  <si>
    <t>https://myiipea.com/media/etudiant/photo/WhatsApp_Image_2023-11-28_at_10.47.30.jpeg</t>
  </si>
  <si>
    <t>COUA0409040001</t>
  </si>
  <si>
    <t>ATTIN ELIE TED MALICK</t>
  </si>
  <si>
    <t>https://myiipea.com/media/etudiant/photo/WhatsApp_Image_2023-09-25_at_15.19.48.jpeg</t>
  </si>
  <si>
    <t>COUA1608020001</t>
  </si>
  <si>
    <t>AWA</t>
  </si>
  <si>
    <t>https://myiipea.com/media/etudiant/photo/WhatsApp_Image_2023-10-05_at_13.10.54_xJrlDZM.jpeg</t>
  </si>
  <si>
    <t>COUA3009040001</t>
  </si>
  <si>
    <t>AWA JENNIFER</t>
  </si>
  <si>
    <t>https://myiipea.com/media/etudiant/photo/WhatsApp_Image_2023-10-12_at_12.31.03.jpeg</t>
  </si>
  <si>
    <t>COUC2405010001</t>
  </si>
  <si>
    <t>CHEICK ALIOUN YOAN</t>
  </si>
  <si>
    <t>https://myiipea.com/media/etudiant/photo/WhatsApp_Image_2023-10-20_at_13.14.07.jpeg</t>
  </si>
  <si>
    <t>COUD2407010001</t>
  </si>
  <si>
    <t>DIENEBA</t>
  </si>
  <si>
    <t>https://myiipea.com/media/etudiant/photo/ee805a7a-bd0f-4cfc-a70e-cbab604ca96a_bIvufdv.jpeg</t>
  </si>
  <si>
    <t>COUD1804980004</t>
  </si>
  <si>
    <t>https://myiipea.com/media/etudiant/photo/WhatsApp_Image_2023-10-23_at_14.57.54.jpeg</t>
  </si>
  <si>
    <t>COUE0312040001</t>
  </si>
  <si>
    <t>EL-HADJ YOUSSOUF</t>
  </si>
  <si>
    <t>https://myiipea.com/media/etudiant/photo/WhatsApp_Image_2023-10-03_at_14.27.29_70GDg3i.jpeg</t>
  </si>
  <si>
    <t>COUF1809050001</t>
  </si>
  <si>
    <t>FOUNGNIGUE</t>
  </si>
  <si>
    <t>https://myiipea.com/media/etudiant/photo/WhatsApp_Image_2023-10-10_at_15.51.03.jpeg</t>
  </si>
  <si>
    <t>COUG2605020001</t>
  </si>
  <si>
    <t>GAOUSSOU</t>
  </si>
  <si>
    <t>https://myiipea.com/media/etudiant/photo/WhatsApp_Image_2023-10-05_at_12.41.10.jpeg</t>
  </si>
  <si>
    <t>COUG0112020001</t>
  </si>
  <si>
    <t>GNIME MOHAMED</t>
  </si>
  <si>
    <t>https://myiipea.com/media/etudiant/photo/WhatsApp_Image_2023-10-09_at_15.04.51.jpeg</t>
  </si>
  <si>
    <t>COUG1305030001</t>
  </si>
  <si>
    <t>GNIRE</t>
  </si>
  <si>
    <t>https://myiipea.com/media/etudiant/photo/WhatsApp_Image_2023-10-10_at_09.30.17.jpeg</t>
  </si>
  <si>
    <t>COUG0503050001</t>
  </si>
  <si>
    <t>https://myiipea.com/media/etudiant/photo/WhatsApp_Image_2023-10-04_at_12.51.36.jpeg</t>
  </si>
  <si>
    <t>COUH0102030001</t>
  </si>
  <si>
    <t>HAISSATOU</t>
  </si>
  <si>
    <t>https://myiipea.com/media/etudiant/photo/WhatsApp_Image_2023-11-07_at_3.51.03_PM.jpeg</t>
  </si>
  <si>
    <t>COUH3107020001</t>
  </si>
  <si>
    <t>HASSANE JEAN CEDRIC</t>
  </si>
  <si>
    <t>https://myiipea.com/media/etudiant/photo/WhatsApp_Image_2023-10-16_at_09.28.33.jpeg</t>
  </si>
  <si>
    <t>COUH0611020001</t>
  </si>
  <si>
    <t>HOLIBA MARIAM</t>
  </si>
  <si>
    <t>https://myiipea.com/media/etudiant/photo/WhatsApp_Image_2023-12-01_at_11.55.49_AM.jpeg</t>
  </si>
  <si>
    <t>COUI1511050001</t>
  </si>
  <si>
    <t>IBRAHIMA</t>
  </si>
  <si>
    <t>https://myiipea.com/media/etudiant/photo/WhatsApp_Image_2023-10-04_at_14.18.37.jpeg</t>
  </si>
  <si>
    <t>COUI2903030001</t>
  </si>
  <si>
    <t>ISMAEL MEKENE</t>
  </si>
  <si>
    <t>https://myiipea.com/media/etudiant/photo/WhatsApp_Image_2023-10-05_at_12.29.16.jpeg</t>
  </si>
  <si>
    <t>COUJ1405040001</t>
  </si>
  <si>
    <t>JEMIMA SHALOM ISMAELA</t>
  </si>
  <si>
    <t>https://myiipea.com/media/etudiant/photo/WhatsApp_Image_2023-10-26_at_12.22.32.jpeg</t>
  </si>
  <si>
    <t>COUJ1403030001</t>
  </si>
  <si>
    <t>JOCELYN ABDOUL</t>
  </si>
  <si>
    <t>https://myiipea.com/media/etudiant/photo/WhatsApp_Image_2023-09-28_at_09.40.19.jpeg</t>
  </si>
  <si>
    <t>COUK0511000001</t>
  </si>
  <si>
    <t>https://myiipea.com/media/etudiant/photo/WhatsApp_Image_2023-10-09_at_15.43.14.jpeg</t>
  </si>
  <si>
    <t>COUK1305030002</t>
  </si>
  <si>
    <t>KEREN GEMIMA</t>
  </si>
  <si>
    <t>https://myiipea.com/media/etudiant/photo/WhatsApp_Image_2023-10-05_at_10.52.18_mQKfPrl.jpeg</t>
  </si>
  <si>
    <t>COUK0412040001</t>
  </si>
  <si>
    <t>KIPEDENNE HORTENSE ANASTHASIE AMINATA</t>
  </si>
  <si>
    <t>https://myiipea.com/media/etudiant/photo/WhatsApp_Image_2023-10-04_at_15.49.23.jpeg</t>
  </si>
  <si>
    <t>COUL0304020001</t>
  </si>
  <si>
    <t>LOIS AMI PERSIDE ADJO</t>
  </si>
  <si>
    <t>https://myiipea.com/media/etudiant/photo/WhatsApp_Image_2023-10-10_at_11.31.37.jpeg</t>
  </si>
  <si>
    <t>COUM2807040001</t>
  </si>
  <si>
    <t>MARIAM YASMINA</t>
  </si>
  <si>
    <t>https://myiipea.com/media/etudiant/photo/WhatsApp_Image_2023-10-02_at_08_resized.png</t>
  </si>
  <si>
    <t>COUM0611050001</t>
  </si>
  <si>
    <t>MASSAMDJE</t>
  </si>
  <si>
    <t>https://myiipea.com/media/etudiant/photo/WhatsApp_Image_2023-10-05_at_11.03.51.jpeg</t>
  </si>
  <si>
    <t>COUM1406040001</t>
  </si>
  <si>
    <t>MELINA MARIE AURELLE</t>
  </si>
  <si>
    <t>https://myiipea.com/media/etudiant/photo/WhatsApp_Image_2023-10-16_at_13.10.40.jpeg</t>
  </si>
  <si>
    <t>COUM1507010001</t>
  </si>
  <si>
    <t>MOHAMED</t>
  </si>
  <si>
    <t>https://myiipea.com/media/etudiant/photo/WhatsApp_Image_2023-10-03_at_11.32.32.jpeg</t>
  </si>
  <si>
    <t>COUM2210060001</t>
  </si>
  <si>
    <t>https://myiipea.com/media/etudiant/photo/WhatsApp_Image_2023-10-16_at_09.10.37.jpeg</t>
  </si>
  <si>
    <t>COUM0911020001</t>
  </si>
  <si>
    <t>MOULKOU SOULEYMANE</t>
  </si>
  <si>
    <t>https://myiipea.com/media/etudiant/photo/WhatsApp_Image_2023-10-24_at_15.55.46.jpeg</t>
  </si>
  <si>
    <t>COUM2607980001</t>
  </si>
  <si>
    <t>MOUSTAPHA</t>
  </si>
  <si>
    <t>https://myiipea.com/media/etudiant/photo/WhatsApp_Image_2023-10-10_at_10.24.00.jpeg</t>
  </si>
  <si>
    <t>COUN2307030001</t>
  </si>
  <si>
    <t>N'NAN FITIO ROSE-NICOLE</t>
  </si>
  <si>
    <t>https://myiipea.com/media/etudiant/photo/WhatsApp_Image_2023-09-14_at_12.31.51.jpeg</t>
  </si>
  <si>
    <t>COUN0209000001</t>
  </si>
  <si>
    <t>NAMBEGUE ZOUMANA</t>
  </si>
  <si>
    <t>https://myiipea.com/media/etudiant/photo/WhatsApp_Image_2023-10-23_at_14.28.21.jpeg</t>
  </si>
  <si>
    <t>COUN1002040001</t>
  </si>
  <si>
    <t>NINGOU ARNAUD</t>
  </si>
  <si>
    <t>https://myiipea.com/media/etudiant/photo/WhatsApp_Image_2023-11-02_at_12.03.05.jpeg</t>
  </si>
  <si>
    <t>COUN0412030001</t>
  </si>
  <si>
    <t>NINMINGLIN AUDREY ESTHER</t>
  </si>
  <si>
    <t>https://myiipea.com/media/etudiant/photo/WhatsApp_Image_2023-10-12_at_13.58.04.jpeg</t>
  </si>
  <si>
    <t>COUO0612030001</t>
  </si>
  <si>
    <t>ODIE WASSIGUE OUSMANE</t>
  </si>
  <si>
    <t>https://myiipea.com/media/etudiant/photo/WhatsApp_Image_2023-10-13_at_17.24.58.jpeg</t>
  </si>
  <si>
    <t>COUO0411050002</t>
  </si>
  <si>
    <t>OUASSAGBE</t>
  </si>
  <si>
    <t>https://myiipea.com/media/etudiant/photo/WhatsApp_Image_2023-10-05_at_19.13.54_VxtsU98.jpeg</t>
  </si>
  <si>
    <t>COUP0512030001</t>
  </si>
  <si>
    <t>PEPEYOUGO JEAN CEDRIC</t>
  </si>
  <si>
    <t>https://myiipea.com/media/etudiant/photo/WhatsApp_Image_2023-10-11_at_12.24.47.jpeg</t>
  </si>
  <si>
    <t>COUP0904050001</t>
  </si>
  <si>
    <t>PONANPEWA GRACE MICHAEL</t>
  </si>
  <si>
    <t>https://myiipea.com/media/etudiant/photo/photo_edaNUsl.jpg</t>
  </si>
  <si>
    <t>COUR1906030001</t>
  </si>
  <si>
    <t>ROKIATOU</t>
  </si>
  <si>
    <t>https://myiipea.com/media/etudiant/photo/WhatsApp_Image_2023-10-16_at_18.03.04.jpeg</t>
  </si>
  <si>
    <t>COUS0809040001</t>
  </si>
  <si>
    <t>SEGNENE TINNIN SEYDOU JUNIOR</t>
  </si>
  <si>
    <t>https://myiipea.com/media/etudiant/photo/WhatsApp_Image_2023-10-04_at_10.43.51.jpeg</t>
  </si>
  <si>
    <t>COUS2611020002</t>
  </si>
  <si>
    <t>https://myiipea.com/media/etudiant/photo/WhatsApp_Image_2023-10-05_at_17_resized.png</t>
  </si>
  <si>
    <t>COUS2805020002</t>
  </si>
  <si>
    <t>SI PETCHEMEGNOU ISSOUF</t>
  </si>
  <si>
    <t>https://myiipea.com/media/etudiant/photo/WhatsApp_Image_2023-11-07_at_12.40.00.jpeg</t>
  </si>
  <si>
    <t>COUS2805020001</t>
  </si>
  <si>
    <t>SOUMAILA</t>
  </si>
  <si>
    <t>https://myiipea.com/media/etudiant/photo/WhatsApp_Image_2023-09-29_at_10_resized.png</t>
  </si>
  <si>
    <t>COUT0802010001</t>
  </si>
  <si>
    <t>TENIN GRACE ANNE-ISRAEL</t>
  </si>
  <si>
    <t>https://myiipea.com/media/etudiant/photo/COULIBALY_TENIN.jpg</t>
  </si>
  <si>
    <t>COUT2407010001</t>
  </si>
  <si>
    <t>TORTCHA ASSETOU HELENE</t>
  </si>
  <si>
    <t>https://myiipea.com/media/etudiant/photo/WhatsApp_Image_2023-09-28_at_15.28.59.jpeg</t>
  </si>
  <si>
    <t>COUV1311040001</t>
  </si>
  <si>
    <t>VASAGUI ABDEL RAMZY</t>
  </si>
  <si>
    <t>https://myiipea.com/media/etudiant/photo/WhatsApp_Image_2023-10-25_at_15.00.22.jpeg</t>
  </si>
  <si>
    <t>COUW2609020001</t>
  </si>
  <si>
    <t>WASSA</t>
  </si>
  <si>
    <t>https://myiipea.com/media/etudiant/photo/WhatsApp_Image_2023-10-09_at_14.03.23.jpeg</t>
  </si>
  <si>
    <t>COUY0511980001</t>
  </si>
  <si>
    <t>YA DEBORAH</t>
  </si>
  <si>
    <t>https://myiipea.com/media/etudiant/photo/WhatsApp_Image_2023-09-22_at_14.53.24.jpeg</t>
  </si>
  <si>
    <t>COUY1803050001</t>
  </si>
  <si>
    <t>YELLI EPHRASIE</t>
  </si>
  <si>
    <t>https://myiipea.com/media/etudiant/photo/WhatsApp_Image_2023-10-23_at_09.57.29.jpeg</t>
  </si>
  <si>
    <t>COUY1707040001</t>
  </si>
  <si>
    <t>YELLI MARIAME</t>
  </si>
  <si>
    <t>https://myiipea.com/media/etudiant/photo/WhatsApp_Image_2023-10-11_at_17.43.52.jpeg</t>
  </si>
  <si>
    <t>COUY2203050001</t>
  </si>
  <si>
    <t>YINLIWONI NATHAN SOSTHENE</t>
  </si>
  <si>
    <t>https://myiipea.com/media/etudiant/photo/WhatsApp_Image_2023-10-02_at_14.04.39.jpeg</t>
  </si>
  <si>
    <t>COUY1212040001</t>
  </si>
  <si>
    <t>YOUSSOUF ANGE ROMARIC</t>
  </si>
  <si>
    <t>https://myiipea.com/media/etudiant/photo/WhatsApp_Image_2023-09-21_at_11.20.22.jpeg</t>
  </si>
  <si>
    <t>COUZ1301000001</t>
  </si>
  <si>
    <t>ZAKARIA ABDOUL KADER</t>
  </si>
  <si>
    <t>https://myiipea.com/media/etudiant/photo/WhatsApp_Image_2023-11-03_at_16.00.52.jpeg</t>
  </si>
  <si>
    <t>COUZ1203040001</t>
  </si>
  <si>
    <t>ZANA DJAKARIDJA</t>
  </si>
  <si>
    <t>https://myiipea.com/media/etudiant/photo/WhatsApp_Image_2023-10-31_at_15.50.43.jpeg</t>
  </si>
  <si>
    <t>COUZ2112000001</t>
  </si>
  <si>
    <t>ZIE ADAMA</t>
  </si>
  <si>
    <t>https://myiipea.com/media/etudiant/photo/WhatsApp_Image_2023-10-04_at_2.53.53_PM.jpeg</t>
  </si>
  <si>
    <t>DAD1412040001</t>
  </si>
  <si>
    <t>DA</t>
  </si>
  <si>
    <t>DIOUNNEY PIERRE-CHRISTOPHE CEDRIC</t>
  </si>
  <si>
    <t>https://myiipea.com/media/etudiant/photo/WhatsApp_Image_2023-10-13_at_09.44.35.jpeg</t>
  </si>
  <si>
    <t>DAP1501010002</t>
  </si>
  <si>
    <t>PIEDADE GUY LANDRY</t>
  </si>
  <si>
    <t>https://myiipea.com/media/etudiant/photo/WhatsApp_Image_2023-10-06_at_15.03.19.jpeg</t>
  </si>
  <si>
    <t>DABL1510050001</t>
  </si>
  <si>
    <t>DABE</t>
  </si>
  <si>
    <t>LAURAINE PIERRE DESIREE</t>
  </si>
  <si>
    <t>https://myiipea.com/media/etudiant/photo/WhatsApp_Image_2023-10-09_at_11.12.00.jpeg</t>
  </si>
  <si>
    <t>DABA1609990001</t>
  </si>
  <si>
    <t>DABIRE</t>
  </si>
  <si>
    <t>ANAWANA EDITH</t>
  </si>
  <si>
    <t>https://myiipea.com/media/etudiant/photo/WhatsApp_Image_2023-10-24_at_17.52.54.jpeg</t>
  </si>
  <si>
    <t>DABA0109020001</t>
  </si>
  <si>
    <t>DABONE</t>
  </si>
  <si>
    <t>ABOUBACAR JULES</t>
  </si>
  <si>
    <t>https://myiipea.com/media/etudiant/photo/WhatsApp_Image_2023-11-06_at_1.01.29_PM.jpeg</t>
  </si>
  <si>
    <t>DADI2605050001</t>
  </si>
  <si>
    <t>DABRE</t>
  </si>
  <si>
    <t>https://myiipea.com/media/etudiant/photo/WhatsApp_Image_2023-10-04_at_10.47.19_AM.jpeg</t>
  </si>
  <si>
    <t>DADA2402050001</t>
  </si>
  <si>
    <t>DADIE</t>
  </si>
  <si>
    <t>AXEL JEAN-BAPTISTE DYLAN</t>
  </si>
  <si>
    <t>https://myiipea.com/media/etudiant/photo/WhatsApp_Image_2023-10-12_at_14.39.50.jpeg</t>
  </si>
  <si>
    <t>DADD1703040001</t>
  </si>
  <si>
    <t>DADIE STEPHANE JUNIOR</t>
  </si>
  <si>
    <t>https://myiipea.com/media/etudiant/photo/WhatsApp_Image_2023-10-16_at_15.37.04.jpeg</t>
  </si>
  <si>
    <t>DADD2705000001</t>
  </si>
  <si>
    <t>DJILO AGNES</t>
  </si>
  <si>
    <t>https://myiipea.com/media/etudiant/photo/WhatsApp_Image_2023-10-06_at_10.54.24.jpeg</t>
  </si>
  <si>
    <t>DADK0508030001</t>
  </si>
  <si>
    <t>KADJO SERGE OLIVIER</t>
  </si>
  <si>
    <t>https://myiipea.com/media/etudiant/photo/WhatsApp_Image_2023-10-03_at_11_resized_rpgGslA.png</t>
  </si>
  <si>
    <t>DADP2504030001</t>
  </si>
  <si>
    <t>PROSPERE RODOLPHE</t>
  </si>
  <si>
    <t>https://myiipea.com/media/etudiant/photo/WhatsApp_Image_2023-10-12_at_13.10.03.jpeg</t>
  </si>
  <si>
    <t>DADZ2306040001</t>
  </si>
  <si>
    <t>ZAGO TOUSSAINT</t>
  </si>
  <si>
    <t>https://myiipea.com/media/etudiant/photo/WhatsApp_Image_2023-10-10_at_3.31.54_PM.jpeg</t>
  </si>
  <si>
    <t>DADZ2404030001</t>
  </si>
  <si>
    <t>ZOGA SARAH</t>
  </si>
  <si>
    <t>https://myiipea.com/media/etudiant/photo/WhatsApp_Image_2023-10-16_at_14.02.12.jpeg</t>
  </si>
  <si>
    <t>DAFG1001040001</t>
  </si>
  <si>
    <t>DAFFOT</t>
  </si>
  <si>
    <t>GENY BETTA MISSY IRVIN KIRIAN</t>
  </si>
  <si>
    <t>https://myiipea.com/media/etudiant/photo/WhatsApp_Image_2023-10-09_at_11.04.58.jpeg</t>
  </si>
  <si>
    <t>DAGD2111020001</t>
  </si>
  <si>
    <t>DAGBA</t>
  </si>
  <si>
    <t>DJEGBENOU COCOU SAMUEL</t>
  </si>
  <si>
    <t>https://myiipea.com/media/etudiant/photo/WhatsApp_Image_2023-10-25_at_12.33.22.jpeg</t>
  </si>
  <si>
    <t>DAGA2012010001</t>
  </si>
  <si>
    <t>DAGNOGO</t>
  </si>
  <si>
    <t>ABDOULATIF</t>
  </si>
  <si>
    <t>https://myiipea.com/media/etudiant/photo/WhatsApp_Image_2023-11-14_at_2.22.58_PM.jpeg</t>
  </si>
  <si>
    <t>DAGA3101050001</t>
  </si>
  <si>
    <t>DAGNOKO</t>
  </si>
  <si>
    <t>https://myiipea.com/media/etudiant/photo/WhatsApp_Image_2023-10-14_at_08.21.24.jpeg</t>
  </si>
  <si>
    <t>DAGB0410060001</t>
  </si>
  <si>
    <t>DAGO</t>
  </si>
  <si>
    <t>BENEDICTE JOANNA MONDESIR</t>
  </si>
  <si>
    <t>https://myiipea.com/media/etudiant/photo/WhatsApp_Image_2023-10-31_at_14.29.10.jpeg</t>
  </si>
  <si>
    <t>DAGB1911030001</t>
  </si>
  <si>
    <t>BONI GNINWELE GRACE</t>
  </si>
  <si>
    <t>https://myiipea.com/media/etudiant/photo/WhatsApp_Image_2023-10-02_at_14.09.22.jpeg</t>
  </si>
  <si>
    <t>DAGD2005960001</t>
  </si>
  <si>
    <t>DJAHI CYRILLE JUNIOR</t>
  </si>
  <si>
    <t>https://myiipea.com/media/etudiant/photo/F3920254-2AB5-4C27-A09B-FDD23818E431_resized.png</t>
  </si>
  <si>
    <t>DAGJ1308980001</t>
  </si>
  <si>
    <t>JEAN WILFRIED</t>
  </si>
  <si>
    <t>https://myiipea.com/media/etudiant/photo/WhatsApp_Image_2023-10-03_at_11.20.39_AM.jpeg</t>
  </si>
  <si>
    <t>DAGK2908030001</t>
  </si>
  <si>
    <t>KHALEGNON</t>
  </si>
  <si>
    <t>https://myiipea.com/media/etudiant/photo/WhatsApp_Image_2023-10-05_at_13.03.36.jpeg</t>
  </si>
  <si>
    <t>DAGP2312050001</t>
  </si>
  <si>
    <t>PAUL CHAMBERLIN</t>
  </si>
  <si>
    <t>https://myiipea.com/media/etudiant/photo/WhatsApp_Image_2023-10-06_at_15.03.42.jpeg</t>
  </si>
  <si>
    <t>DAGR2611050001</t>
  </si>
  <si>
    <t>REBECCA COLOMBE</t>
  </si>
  <si>
    <t>https://myiipea.com/media/etudiant/photo/WhatsApp_Image_2023-11-09_at_10.35.07_AM.jpeg</t>
  </si>
  <si>
    <t>DAGS2509050001</t>
  </si>
  <si>
    <t>SHOUA CARLENE SAPHIRA</t>
  </si>
  <si>
    <t>https://myiipea.com/media/etudiant/photo/WhatsApp_Image_2023-10-02_at_17.16.15.jpeg</t>
  </si>
  <si>
    <t>DAGW2203050001</t>
  </si>
  <si>
    <t>WALO ERIC EMMANUEL</t>
  </si>
  <si>
    <t>https://myiipea.com/media/etudiant/photo/WhatsApp_Image_2023-10-05_at_10.05.55.jpeg</t>
  </si>
  <si>
    <t>DAGL2311030001</t>
  </si>
  <si>
    <t>DAGOU</t>
  </si>
  <si>
    <t>LOROUGNON</t>
  </si>
  <si>
    <t>https://myiipea.com/media/etudiant/photo/WhatsApp_Image_2023-10-24_at_16.15.47.jpeg</t>
  </si>
  <si>
    <t>DAHN0802030001</t>
  </si>
  <si>
    <t>DAH</t>
  </si>
  <si>
    <t>NELSON</t>
  </si>
  <si>
    <t>https://myiipea.com/media/etudiant/photo/WhatsApp_Image_2023-10-24_at_16.51.01.jpeg</t>
  </si>
  <si>
    <t>DAHV1905000001</t>
  </si>
  <si>
    <t>VINCENT</t>
  </si>
  <si>
    <t>https://myiipea.com/media/etudiant/photo/WhatsApp_Image_2023-11-20_at_14.39.23.jpeg</t>
  </si>
  <si>
    <t>DAHY2304030001</t>
  </si>
  <si>
    <t>YERI ESTHER YASMINE</t>
  </si>
  <si>
    <t>https://myiipea.com/media/etudiant/photo/WhatsApp_Image_2023-11-06_at_11_resized.png</t>
  </si>
  <si>
    <t>DAHS0110040001</t>
  </si>
  <si>
    <t>DAH SOUNLIN</t>
  </si>
  <si>
    <t>BIOWA DAVID GODWIN</t>
  </si>
  <si>
    <t>https://myiipea.com/media/etudiant/photo/WhatsApp_Image_2023-10-31_at_10.41.58.jpeg</t>
  </si>
  <si>
    <t>DAHO2512990001</t>
  </si>
  <si>
    <t>DAHI</t>
  </si>
  <si>
    <t>OKOUYO LANDRINE</t>
  </si>
  <si>
    <t>https://myiipea.com/media/etudiant/photo/WhatsApp_Image_2023-10-18_at_3.15.51_PM.jpeg</t>
  </si>
  <si>
    <t>DAHL3108040001</t>
  </si>
  <si>
    <t>DAHO</t>
  </si>
  <si>
    <t>LENNY JEAN ARSENE</t>
  </si>
  <si>
    <t>https://myiipea.com/media/etudiant/photo/WhatsApp_Image_2023-10-10_at_12.32.13.jpeg</t>
  </si>
  <si>
    <t>DAHJ2106060001</t>
  </si>
  <si>
    <t>DAHOULA</t>
  </si>
  <si>
    <t>JEMIMA ARIANE MURIELLE</t>
  </si>
  <si>
    <t>https://myiipea.com/media/etudiant/photo/IIPEA_g9bIV0E.jpg</t>
  </si>
  <si>
    <t>DAHL1305050001</t>
  </si>
  <si>
    <t>DAHOUO</t>
  </si>
  <si>
    <t>LOU IRIE MARIA NANETTE</t>
  </si>
  <si>
    <t>https://myiipea.com/media/etudiant/photo/WhatsApp_Image_2023-10-04_at_11.58.33.jpeg</t>
  </si>
  <si>
    <t>DAKA1305050001</t>
  </si>
  <si>
    <t>DAKOURI</t>
  </si>
  <si>
    <t>ANNE-EMMANUELLE GLORIA GABRIELLE</t>
  </si>
  <si>
    <t>https://myiipea.com/media/etudiant/photo/WhatsApp_Image_2023-10-02_at_10.26.58.jpeg</t>
  </si>
  <si>
    <t>DAKB0909030001</t>
  </si>
  <si>
    <t>BISSO VERONIQUE</t>
  </si>
  <si>
    <t>https://myiipea.com/media/etudiant/photo/WhatsApp_Image_2023-11-16_at_12.36.47_PM.jpeg</t>
  </si>
  <si>
    <t>DAKI2405040002</t>
  </si>
  <si>
    <t>INES MARIANA</t>
  </si>
  <si>
    <t>https://myiipea.com/media/etudiant/photo/WhatsApp_Image_2023-10-27_at_11.34.32_VdLzP5O.jpeg</t>
  </si>
  <si>
    <t>DAKM2010060001</t>
  </si>
  <si>
    <t>MARIE-CHRISTELLE</t>
  </si>
  <si>
    <t>https://myiipea.com/media/etudiant/photo/WhatsApp_Image_2023-10-02_at_16.12.34.jpeg</t>
  </si>
  <si>
    <t>DAKN0212040001</t>
  </si>
  <si>
    <t>NOURA  REINE SANDRINE</t>
  </si>
  <si>
    <t>https://myiipea.com/media/etudiant/photo/WhatsApp_Image_2023-10-13_at_15.41.01.jpeg</t>
  </si>
  <si>
    <t>DAKB1603050001</t>
  </si>
  <si>
    <t>DAKOURY</t>
  </si>
  <si>
    <t>BOHUI TEKEHI KATHE TRACY CLAVERIE</t>
  </si>
  <si>
    <t>https://myiipea.com/media/etudiant/photo/WhatsApp_Image_2023-10-09_at_19.38.53.jpeg</t>
  </si>
  <si>
    <t>DALR1107040002</t>
  </si>
  <si>
    <t>DALEBA</t>
  </si>
  <si>
    <t>ROXANE SABINA ESTHER</t>
  </si>
  <si>
    <t>https://myiipea.com/media/etudiant/photo/WhatsApp_Image_2023-10-24_at_10.01.36.jpeg</t>
  </si>
  <si>
    <t>DALC1512050001</t>
  </si>
  <si>
    <t>DALLI</t>
  </si>
  <si>
    <t>CHRISTIAN YANN JOSIAS</t>
  </si>
  <si>
    <t>https://myiipea.com/media/etudiant/photo/WhatsApp_Image_2023-10-02_at_18.32.50.jpeg</t>
  </si>
  <si>
    <t>DAMT2809020001</t>
  </si>
  <si>
    <t>DAMIAN</t>
  </si>
  <si>
    <t>TETCHI ADOLPHE CAMUS</t>
  </si>
  <si>
    <t>https://myiipea.com/media/etudiant/photo/WhatsApp_Image_2023-10-13_at_18.35.40.jpeg</t>
  </si>
  <si>
    <t>DAMA0101040001</t>
  </si>
  <si>
    <t>DAMOIS</t>
  </si>
  <si>
    <t>AFFIA MARIE LAURE</t>
  </si>
  <si>
    <t>https://myiipea.com/media/etudiant/photo/WhatsApp_Image_2023-10-26_at_12.16.05.jpeg</t>
  </si>
  <si>
    <t>DANK0401040001</t>
  </si>
  <si>
    <t>DANHI</t>
  </si>
  <si>
    <t>KEMONDE KADELOR EMMA</t>
  </si>
  <si>
    <t>https://myiipea.com/media/etudiant/photo/WhatsApp_Image_2023-10-31_at_16.34.59.jpeg</t>
  </si>
  <si>
    <t>DANA1402030001</t>
  </si>
  <si>
    <t>DANHO</t>
  </si>
  <si>
    <t>AGOUA LOUISE OLIVIA EMMANUELLE</t>
  </si>
  <si>
    <t>https://myiipea.com/media/etudiant/photo/WhatsApp_Image_2023-11-16_at_12.07.35.jpeg</t>
  </si>
  <si>
    <t>DANA0908980001</t>
  </si>
  <si>
    <t>AKOUEKOUBIE VERONIQUE AMOUR</t>
  </si>
  <si>
    <t>https://myiipea.com/media/etudiant/photo/WhatsApp_Image_2023-10-23_at_15.42.42.jpeg</t>
  </si>
  <si>
    <t>DANE2808030001</t>
  </si>
  <si>
    <t>EVAN EVANGELO PIERRE-MARIE JACOB</t>
  </si>
  <si>
    <t>https://myiipea.com/media/etudiant/photo/WhatsApp_Image_2023-11-03_at_12.05.36.jpeg</t>
  </si>
  <si>
    <t>DANG2111030001</t>
  </si>
  <si>
    <t>GOKOU ANGE AURELIEN</t>
  </si>
  <si>
    <t>https://myiipea.com/media/etudiant/photo/WhatsApp_Image_2023-10-27_at_10.15.31.jpeg</t>
  </si>
  <si>
    <t>DANS0202030001</t>
  </si>
  <si>
    <t>SERGE PATRICK DONOVAN</t>
  </si>
  <si>
    <t>https://myiipea.com/media/etudiant/photo/WhatsApp_Image_2023-10-11_at_15.14.42.jpeg</t>
  </si>
  <si>
    <t>DANZ0309010001</t>
  </si>
  <si>
    <t>DANLE</t>
  </si>
  <si>
    <t>ZLANDHO ELIEZER</t>
  </si>
  <si>
    <t>https://myiipea.com/media/etudiant/photo/WhatsApp_Image_2023-10-30_at_13.59.37.jpeg</t>
  </si>
  <si>
    <t>DANG1508040001</t>
  </si>
  <si>
    <t>DANON</t>
  </si>
  <si>
    <t>GOZE YVAN ALEX</t>
  </si>
  <si>
    <t>https://myiipea.com/media/etudiant/photo/WhatsApp_Image_2023-10-09_at_15.36.36.jpeg</t>
  </si>
  <si>
    <t>DAOA2001020003</t>
  </si>
  <si>
    <t>DAO</t>
  </si>
  <si>
    <t>ABOU-DRAMANE</t>
  </si>
  <si>
    <t>https://myiipea.com/media/etudiant/photo/WhatsApp_Image_2023-10-31_at_6.04.22_PM.jpeg</t>
  </si>
  <si>
    <t>DAOA2601050001</t>
  </si>
  <si>
    <t>ALASSANE FOUAD</t>
  </si>
  <si>
    <t>https://myiipea.com/media/etudiant/photo/photo_Kgm6JYf.jpg</t>
  </si>
  <si>
    <t>DAOB0111040001</t>
  </si>
  <si>
    <t>BALAKISSA</t>
  </si>
  <si>
    <t>https://myiipea.com/media/etudiant/photo/WhatsApp_Image_2023-10-04_at_10.55.23.jpeg</t>
  </si>
  <si>
    <t>DAOM1005020001</t>
  </si>
  <si>
    <t>MAFINI ROSE D'AVILA</t>
  </si>
  <si>
    <t>https://myiipea.com/media/etudiant/photo/WhatsApp_Image_2023-10-19_at_11.32.52.jpeg</t>
  </si>
  <si>
    <t>DAOM1502050001</t>
  </si>
  <si>
    <t>MOHAMED CHAHID</t>
  </si>
  <si>
    <t>https://myiipea.com/media/etudiant/photo/WhatsApp_Image_2023-11-02_at_16.18.58.jpeg</t>
  </si>
  <si>
    <t>DAOS2804000001</t>
  </si>
  <si>
    <t>SAFIATOU</t>
  </si>
  <si>
    <t>https://myiipea.com/media/etudiant/photo/WhatsApp_Image_2023-10-10_at_13.52.13.jpeg</t>
  </si>
  <si>
    <t>DAOY2312990001</t>
  </si>
  <si>
    <t>https://myiipea.com/media/etudiant/photo/WhatsApp_Image_2023-11-13_at_2.20.12_PM.jpeg</t>
  </si>
  <si>
    <t>DAON1807030001</t>
  </si>
  <si>
    <t>DAOU</t>
  </si>
  <si>
    <t>N'GUESSAN PATRICE</t>
  </si>
  <si>
    <t>https://myiipea.com/media/etudiant/photo/WhatsApp_Image_2023-10-02_at_10.44.12.jpeg</t>
  </si>
  <si>
    <t>DAON1506050001</t>
  </si>
  <si>
    <t>NOUFOU ZIE</t>
  </si>
  <si>
    <t>https://myiipea.com/media/etudiant/photo/WhatsApp_Image_2023-10-27_at_10.15.40.jpeg</t>
  </si>
  <si>
    <t>DAOC1312020001</t>
  </si>
  <si>
    <t>CHERIFATOU CHRISTELLE</t>
  </si>
  <si>
    <t>https://myiipea.com/media/etudiant/photo/WhatsApp_Image_2023-10-13_at_17.24.14.jpeg</t>
  </si>
  <si>
    <t>DAOK0706990001</t>
  </si>
  <si>
    <t>KONE</t>
  </si>
  <si>
    <t>https://myiipea.com/media/etudiant/photo/WhatsApp_Image_2023-09-23_at_10.19.49.jpeg</t>
  </si>
  <si>
    <t>DAPD2203030001</t>
  </si>
  <si>
    <t>DAPE</t>
  </si>
  <si>
    <t>DESIRE JONATHAN LOIS</t>
  </si>
  <si>
    <t>https://myiipea.com/media/etudiant/photo/WhatsApp_Image_2023-11-14_at_09.51.36.jpeg</t>
  </si>
  <si>
    <t>DARG1206030001</t>
  </si>
  <si>
    <t>DAROU</t>
  </si>
  <si>
    <t>GUY DELMAS</t>
  </si>
  <si>
    <t>https://myiipea.com/media/etudiant/photo/WhatsApp_Image_2023-10-03_at_14.52.08.jpeg</t>
  </si>
  <si>
    <t>DARA1402030001</t>
  </si>
  <si>
    <t>DAROUSSI</t>
  </si>
  <si>
    <t>https://myiipea.com/media/etudiant/photo/WhatsApp_Image_2023-11-06_at_17.10.33.jpeg</t>
  </si>
  <si>
    <t>DASL0106010001</t>
  </si>
  <si>
    <t>DASSE</t>
  </si>
  <si>
    <t>LOUSOUKHAU FRANCK DESIRE</t>
  </si>
  <si>
    <t>https://myiipea.com/media/etudiant/photo/WhatsApp_Image_2023-11-27_at_11.21.38_AM.jpeg</t>
  </si>
  <si>
    <t>DATD0612020001</t>
  </si>
  <si>
    <t>DATE</t>
  </si>
  <si>
    <t>DIT MARIAMA OUATTARA</t>
  </si>
  <si>
    <t>https://myiipea.com/media/etudiant/photo/WhatsApp_Image_2023-10-02_at_17.11.04.jpeg</t>
  </si>
  <si>
    <t>DATG1503040001</t>
  </si>
  <si>
    <t>GAEL GUY-HENOC</t>
  </si>
  <si>
    <t>https://myiipea.com/media/etudiant/photo/WhatsApp_Image_2023-10-06_at_11.50.22.jpeg</t>
  </si>
  <si>
    <t>DAYI0708990001</t>
  </si>
  <si>
    <t>DAYERE</t>
  </si>
  <si>
    <t>INES CHARLENE</t>
  </si>
  <si>
    <t>https://myiipea.com/media/etudiant/photo/WhatsApp_Image_2023-10-10_at_11.05.38.jpeg</t>
  </si>
  <si>
    <t>DEB0112030001</t>
  </si>
  <si>
    <t>DE</t>
  </si>
  <si>
    <t>BLAISE AMIZAN VIANNEY PIERRE JEREMIE</t>
  </si>
  <si>
    <t>https://myiipea.com/media/etudiant/photo/WhatsApp_Image_2023-10-18_at_13.29.14.jpeg</t>
  </si>
  <si>
    <t>DEAM2403030001</t>
  </si>
  <si>
    <t>DEA</t>
  </si>
  <si>
    <t>MOMOAN FRANCK ARTHUR</t>
  </si>
  <si>
    <t>https://myiipea.com/media/etudiant/photo/WhatsApp_Image_2023-10-09_at_18.16.30.jpeg</t>
  </si>
  <si>
    <t>DEAZ0211040001</t>
  </si>
  <si>
    <t>DEAGOUE</t>
  </si>
  <si>
    <t>ZAHATY ANGE</t>
  </si>
  <si>
    <t>https://myiipea.com/media/etudiant/photo/IIPEA_PeLQIJU.jpg</t>
  </si>
  <si>
    <t>DECA2705040001</t>
  </si>
  <si>
    <t>DECHI</t>
  </si>
  <si>
    <t>ATTOUBE JULIENNE</t>
  </si>
  <si>
    <t>https://myiipea.com/media/etudiant/photo/WhatsApp_Image_2023-10-03_at_17.28.33.jpeg</t>
  </si>
  <si>
    <t>DEDS0202040001</t>
  </si>
  <si>
    <t>DEDO</t>
  </si>
  <si>
    <t>SERENA VIRGINIE ELVIRE</t>
  </si>
  <si>
    <t>https://myiipea.com/media/etudiant/photo/WhatsApp_Image_2023-10-11_at_13.22.00.jpeg</t>
  </si>
  <si>
    <t>DEGK1710020001</t>
  </si>
  <si>
    <t>DEGBELO</t>
  </si>
  <si>
    <t>KOUASSI EZECHIEL</t>
  </si>
  <si>
    <t>https://myiipea.com/media/etudiant/photo/WhatsApp_Image_2023-12-01_at_1_resized_7Z1z46w.png</t>
  </si>
  <si>
    <t>DEGP2506070001</t>
  </si>
  <si>
    <t>PRUDENCE ROXANNE</t>
  </si>
  <si>
    <t>https://myiipea.com/media/etudiant/photo/WhatsApp_Image_2023-11-22_at_14.59.52.jpeg</t>
  </si>
  <si>
    <t>DEGM1402010001</t>
  </si>
  <si>
    <t>DEGNAN</t>
  </si>
  <si>
    <t>MIREILLE</t>
  </si>
  <si>
    <t>https://myiipea.com/media/etudiant/photo/WhatsApp_Image_2023-12-04_at_11_resized_tnV5CZI.png</t>
  </si>
  <si>
    <t>DEGE0309030001</t>
  </si>
  <si>
    <t>DEGNY</t>
  </si>
  <si>
    <t>EZONXI AXELLE BERNADETTE</t>
  </si>
  <si>
    <t>https://myiipea.com/media/etudiant/photo/WhatsApp_Image_2023-10-04_at_11.19.17.jpeg</t>
  </si>
  <si>
    <t>DEGY2610010001</t>
  </si>
  <si>
    <t>YOTIO BLASSOU WILFRIED</t>
  </si>
  <si>
    <t>https://myiipea.com/media/etudiant/photo/WhatsApp_Image_2023-10-04_at_13.19.02.jpeg</t>
  </si>
  <si>
    <t>DEGM1112050001</t>
  </si>
  <si>
    <t>DEGRA</t>
  </si>
  <si>
    <t>MAHOUGNON RITA</t>
  </si>
  <si>
    <t>https://myiipea.com/media/etudiant/photo/WhatsApp_Image_2023-10-03_at_15.39.57.jpeg</t>
  </si>
  <si>
    <t>DEHA2601010001</t>
  </si>
  <si>
    <t>DEHI</t>
  </si>
  <si>
    <t>ARMEL WILFRIED</t>
  </si>
  <si>
    <t>https://myiipea.com/media/etudiant/photo/WhatsApp_Image_2023-10-16_at_5.19.26_PM.jpeg</t>
  </si>
  <si>
    <t>DEHN1005040001</t>
  </si>
  <si>
    <t>NIAMKEY DANIEL ELIE</t>
  </si>
  <si>
    <t>https://myiipea.com/media/etudiant/photo/WhatsApp_Image_2023-10-12_at_14.59.05.jpeg</t>
  </si>
  <si>
    <t>DEKY3105010001</t>
  </si>
  <si>
    <t>DEKY</t>
  </si>
  <si>
    <t>YABAYA MARYLINE ELVIRE</t>
  </si>
  <si>
    <t>https://myiipea.com/media/etudiant/photo/WhatsApp_Image_2023-11-09_at_15.52.49.jpeg</t>
  </si>
  <si>
    <t>DELA1905040001</t>
  </si>
  <si>
    <t>DELLA</t>
  </si>
  <si>
    <t>ANGE MARIE BERNIS</t>
  </si>
  <si>
    <t>https://myiipea.com/media/etudiant/photo/DELLA.jpg</t>
  </si>
  <si>
    <t>DELN2003040001</t>
  </si>
  <si>
    <t>DELY</t>
  </si>
  <si>
    <t>N'GUETTIA GRACE</t>
  </si>
  <si>
    <t>https://myiipea.com/media/etudiant/photo/WhatsApp_Image_2023-10-10_at_15.37.50.jpeg</t>
  </si>
  <si>
    <t>DEME2103000001</t>
  </si>
  <si>
    <t>DEMAHOU</t>
  </si>
  <si>
    <t>EUGENE MARC INNOCENT</t>
  </si>
  <si>
    <t>https://myiipea.com/media/etudiant/photo/WhatsApp_Image_2023-10-30_at_12.31.19.jpeg</t>
  </si>
  <si>
    <t>DEMA0202010001</t>
  </si>
  <si>
    <t>DEMBELE</t>
  </si>
  <si>
    <t>https://myiipea.com/media/etudiant/photo/WhatsApp_Image_2023-11-14_at_1.34.01_PM.jpeg</t>
  </si>
  <si>
    <t>DEMA0509040001</t>
  </si>
  <si>
    <t>AWA YASMINE</t>
  </si>
  <si>
    <t>https://myiipea.com/media/etudiant/photo/239422487_405915444207421_8131329350063382999_n_m7pRFEo_resized.png</t>
  </si>
  <si>
    <t>DEMB0505030001</t>
  </si>
  <si>
    <t>BINTOU NOURA</t>
  </si>
  <si>
    <t>https://myiipea.com/media/etudiant/photo/WhatsApp_Image_2023-10-31_at_16.49.38.jpeg</t>
  </si>
  <si>
    <t>DEMO1510020001</t>
  </si>
  <si>
    <t>OUMAR</t>
  </si>
  <si>
    <t>https://myiipea.com/media/etudiant/photo/WhatsApp_Image_2023-10-06_at_11.09.06.jpeg</t>
  </si>
  <si>
    <t>DEMS0303030001</t>
  </si>
  <si>
    <t>https://myiipea.com/media/etudiant/photo/WhatsApp_Image_2023-10-17_at_17.28.37.jpeg</t>
  </si>
  <si>
    <t>DEMS1201000001</t>
  </si>
  <si>
    <t>https://myiipea.com/media/etudiant/photo/WhatsApp_Image_2023-10-17_at_10.36.14.jpeg</t>
  </si>
  <si>
    <t>DEMT1510040001</t>
  </si>
  <si>
    <t>TATA</t>
  </si>
  <si>
    <t>https://myiipea.com/media/etudiant/photo/WhatsApp_Image_2023-10-17_at_17.40.37.jpeg</t>
  </si>
  <si>
    <t>DEMY1610010001</t>
  </si>
  <si>
    <t>YOWLE AMINATA</t>
  </si>
  <si>
    <t>https://myiipea.com/media/etudiant/photo/WhatsApp_Image_2023-11-07_at_4.49.35_PM.jpeg</t>
  </si>
  <si>
    <t>DEMZ1707020002</t>
  </si>
  <si>
    <t>ZANA ALASSANE</t>
  </si>
  <si>
    <t>https://myiipea.com/media/etudiant/photo/WhatsApp_Image_2023-11-13_at_9.48.07_AM.jpeg</t>
  </si>
  <si>
    <t>DENK3101010001</t>
  </si>
  <si>
    <t>DENEAN</t>
  </si>
  <si>
    <t>KPONHANMAE AUDREY</t>
  </si>
  <si>
    <t>https://myiipea.com/media/etudiant/photo/WhatsApp_Image_2023-10-20_at_11.38.53.jpeg</t>
  </si>
  <si>
    <t>DENK2204030001</t>
  </si>
  <si>
    <t>DENYO</t>
  </si>
  <si>
    <t>KOUADIO STEN FREDY</t>
  </si>
  <si>
    <t>https://myiipea.com/media/etudiant/photo/WhatsApp_Image_2023-10-09_at_12.55.52.jpeg</t>
  </si>
  <si>
    <t>DEPP0609030001</t>
  </si>
  <si>
    <t>DEPIE</t>
  </si>
  <si>
    <t>PHINEAS RUBEN DJORO</t>
  </si>
  <si>
    <t>https://myiipea.com/media/etudiant/photo/WhatsApp_Image_2023-10-25_at_3.17.59_PM.jpeg</t>
  </si>
  <si>
    <t>DEPG1904980001</t>
  </si>
  <si>
    <t>DEPLETH</t>
  </si>
  <si>
    <t>GRACE BENEDICTE</t>
  </si>
  <si>
    <t>https://myiipea.com/media/etudiant/photo/WhatsApp_Image_2023-11-20_at_4.29.07_PM.jpeg</t>
  </si>
  <si>
    <t>DERF2007010002</t>
  </si>
  <si>
    <t>DERA</t>
  </si>
  <si>
    <t>FOUSSENA</t>
  </si>
  <si>
    <t>https://myiipea.com/media/etudiant/photo/WhatsApp_Image_2023-10-23_at_13.40.34_0GWPaEN.jpeg</t>
  </si>
  <si>
    <t>DESD1012020001</t>
  </si>
  <si>
    <t>DESSI</t>
  </si>
  <si>
    <t>DESSI ANGE YANIS ROMARIC</t>
  </si>
  <si>
    <t>https://myiipea.com/media/etudiant/photo/IIPEA.jpg</t>
  </si>
  <si>
    <t>DETM2705000001</t>
  </si>
  <si>
    <t>DETTO</t>
  </si>
  <si>
    <t>MASSA ZILOU MAEVA DOLORES</t>
  </si>
  <si>
    <t>https://myiipea.com/media/etudiant/photo/WhatsApp_Image_2023-11-06_at_14.48.33.jpeg</t>
  </si>
  <si>
    <t>DIAF2403050001</t>
  </si>
  <si>
    <t>DIA</t>
  </si>
  <si>
    <t>FATIMA</t>
  </si>
  <si>
    <t>https://myiipea.com/media/etudiant/photo/WhatsApp_Image_2023-10-05_at_11.41.02.jpeg</t>
  </si>
  <si>
    <t>DIAK2505020001</t>
  </si>
  <si>
    <t>DIABAGATE</t>
  </si>
  <si>
    <t>KOUBOURA</t>
  </si>
  <si>
    <t>https://myiipea.com/media/etudiant/photo/WhatsApp_Image_2023-10-02_at_18.13.35.jpeg</t>
  </si>
  <si>
    <t>DIAM1210040001</t>
  </si>
  <si>
    <t>MASSARA</t>
  </si>
  <si>
    <t>https://myiipea.com/media/etudiant/photo/WhatsApp_Image_2023-10-02_at_15.22.28.jpeg</t>
  </si>
  <si>
    <t>DIAM3008040001</t>
  </si>
  <si>
    <t>https://myiipea.com/media/etudiant/photo/WhatsApp_Image_2023-11-03_at_5.57.41_PM.jpeg</t>
  </si>
  <si>
    <t>DIAN2907040001</t>
  </si>
  <si>
    <t>NANZARA</t>
  </si>
  <si>
    <t>https://myiipea.com/media/etudiant/photo/WhatsApp_Image_2023-10-03_at_9.45.18_AM.jpeg</t>
  </si>
  <si>
    <t>DIAA1501000001</t>
  </si>
  <si>
    <t>DIABATE</t>
  </si>
  <si>
    <t>https://myiipea.com/media/etudiant/photo/WhatsApp_Image_2023-11-21_at_12.19.03_PM.jpeg</t>
  </si>
  <si>
    <t>DIAA0108030001</t>
  </si>
  <si>
    <t>AICHA RAISSA</t>
  </si>
  <si>
    <t>https://myiipea.com/media/etudiant/photo/WhatsApp_Image_2023-09-26_at_12.32.34.jpeg</t>
  </si>
  <si>
    <t>DIAA3007020001</t>
  </si>
  <si>
    <t>AICHATOU</t>
  </si>
  <si>
    <t>https://myiipea.com/media/etudiant/photo/WhatsApp_Image_2023-11-10_at_10.57.08.jpeg</t>
  </si>
  <si>
    <t>DIAD1706030001</t>
  </si>
  <si>
    <t>DJENEBA ZENAB</t>
  </si>
  <si>
    <t>https://myiipea.com/media/etudiant/photo/WhatsApp_Image_2023-10-26_at_13.05.33.jpeg</t>
  </si>
  <si>
    <t>DIAK2110040001</t>
  </si>
  <si>
    <t>KADY</t>
  </si>
  <si>
    <t>https://myiipea.com/media/etudiant/photo/WhatsApp_Image_2023-10-02_at_14_resized.png</t>
  </si>
  <si>
    <t>DIAK0305050001</t>
  </si>
  <si>
    <t>KANGOU AICHA NOURA</t>
  </si>
  <si>
    <t>https://myiipea.com/media/etudiant/photo/WhatsApp_Image_2023-10-17_at_18.47.15.jpeg</t>
  </si>
  <si>
    <t>DIAK2801030001</t>
  </si>
  <si>
    <t>KANVALY</t>
  </si>
  <si>
    <t>https://myiipea.com/media/etudiant/photo/WhatsApp_Image_2023-10-11_at_09.26.16.jpeg</t>
  </si>
  <si>
    <t>DIAM1105030001</t>
  </si>
  <si>
    <t>MARIAM DISSA</t>
  </si>
  <si>
    <t>https://myiipea.com/media/etudiant/photo/WhatsApp_Image_2023-10-09_at_13.23.59.jpeg</t>
  </si>
  <si>
    <t>DIAO0212050001</t>
  </si>
  <si>
    <t>OUMOU NOURA</t>
  </si>
  <si>
    <t>https://myiipea.com/media/etudiant/photo/WhatsApp_Image_2023-10-02_at_15.17.47.jpeg</t>
  </si>
  <si>
    <t>DIAS1704010001</t>
  </si>
  <si>
    <t>SATA</t>
  </si>
  <si>
    <t>https://myiipea.com/media/etudiant/photo/WhatsApp_Image_2023-10-17_at_13.59.42.jpeg</t>
  </si>
  <si>
    <t>DIAA1704030001</t>
  </si>
  <si>
    <t>DIABY</t>
  </si>
  <si>
    <t>ADIL MANASSE</t>
  </si>
  <si>
    <t>https://myiipea.com/media/etudiant/photo/WhatsApp_Image_2023-10-12_at_14.14.21.jpeg</t>
  </si>
  <si>
    <t>DIAA2912020001</t>
  </si>
  <si>
    <t>AJJA MARIAM</t>
  </si>
  <si>
    <t>https://myiipea.com/media/etudiant/photo/WhatsApp_Image_2023-10-16_at_09.51.24.jpeg</t>
  </si>
  <si>
    <t>DIAB1101050001</t>
  </si>
  <si>
    <t>BEN MAFLA OCEANE</t>
  </si>
  <si>
    <t>https://myiipea.com/media/etudiant/photo/WhatsApp_Image_2023-10-26_at_12.35.24.jpeg</t>
  </si>
  <si>
    <t>DIAK1404030001</t>
  </si>
  <si>
    <t>https://myiipea.com/media/etudiant/photo/IIPEA_fkhIVlh.jpg</t>
  </si>
  <si>
    <t>DIAM2501040001</t>
  </si>
  <si>
    <t>https://myiipea.com/media/etudiant/photo/WhatsApp_Image_2023-10-05_at_1.07.25_PM.jpeg</t>
  </si>
  <si>
    <t>DIAO2408020001</t>
  </si>
  <si>
    <t>DIAHA</t>
  </si>
  <si>
    <t>OTHNIEL CLAUDE JUNIOR</t>
  </si>
  <si>
    <t>https://myiipea.com/media/etudiant/photo/WhatsApp_Image_2023-11-03_at_16.59.07.jpeg</t>
  </si>
  <si>
    <t>DIAA2103050001</t>
  </si>
  <si>
    <t>DIAKITE</t>
  </si>
  <si>
    <t>AHIPO ANGE DANIEL</t>
  </si>
  <si>
    <t>https://myiipea.com/media/etudiant/photo/WhatsApp_Image_2023-11-29_at_3.27.42_PM.jpeg</t>
  </si>
  <si>
    <t>DIAA1610030001</t>
  </si>
  <si>
    <t>AICHA KODJAME</t>
  </si>
  <si>
    <t>https://myiipea.com/media/etudiant/photo/WhatsApp_Image_2023-10-06_at_17.18.50.jpeg</t>
  </si>
  <si>
    <t>DIAC1912010001</t>
  </si>
  <si>
    <t>CHEICK MODIBO</t>
  </si>
  <si>
    <t>https://myiipea.com/media/etudiant/photo/WhatsApp_Image_2023-11-30_at_1.09.19_PM.jpeg</t>
  </si>
  <si>
    <t>DIAF0203050001</t>
  </si>
  <si>
    <t>https://myiipea.com/media/etudiant/photo/WhatsApp_Image_2023-10-14_at_09.32.02.jpeg</t>
  </si>
  <si>
    <t>DIAI2202010001</t>
  </si>
  <si>
    <t>https://myiipea.com/media/etudiant/photo/WhatsApp_Image_2023-10-16_at_16.26.51.jpeg</t>
  </si>
  <si>
    <t>DIAS3101040001</t>
  </si>
  <si>
    <t>https://myiipea.com/media/etudiant/photo/WhatsApp_Image_2023-10-16_at_11_resized.png</t>
  </si>
  <si>
    <t>DIAS0303990001</t>
  </si>
  <si>
    <t>SOMAN LANCENI</t>
  </si>
  <si>
    <t>https://myiipea.com/media/etudiant/photo/WhatsApp_Image_2023-10-21_at_11.20.18_1.jpeg</t>
  </si>
  <si>
    <t>DIAM2011040001</t>
  </si>
  <si>
    <t>DIAKO</t>
  </si>
  <si>
    <t>MANDJI ANGE YASMINE</t>
  </si>
  <si>
    <t>https://myiipea.com/media/etudiant/photo/WhatsApp_Image_2023-10-05_at_11.32.35_1.jpeg</t>
  </si>
  <si>
    <t>DIAZ2807040001</t>
  </si>
  <si>
    <t>DIAKRA</t>
  </si>
  <si>
    <t>ZA ZOU ANNE LAURE</t>
  </si>
  <si>
    <t>https://myiipea.com/media/etudiant/photo/WhatsApp_Image_2023-11-08_at_14.06.46.jpeg</t>
  </si>
  <si>
    <t>DIAA2809040001</t>
  </si>
  <si>
    <t>DIALLO</t>
  </si>
  <si>
    <t>ABDOUL KADER</t>
  </si>
  <si>
    <t>https://myiipea.com/media/etudiant/photo/WhatsApp_Image_2023-11-27_at_1.24.48_PM.jpeg</t>
  </si>
  <si>
    <t>DIAA3107990001</t>
  </si>
  <si>
    <t>AISSATOU</t>
  </si>
  <si>
    <t>https://myiipea.com/media/etudiant/photo/WhatsApp_Image_2023-10-20_at_5.04.26_PM.jpeg</t>
  </si>
  <si>
    <t>DIAA2908040001</t>
  </si>
  <si>
    <t>https://myiipea.com/media/etudiant/photo/WhatsApp_Image_2023-10-16_at_10.56.59.jpeg</t>
  </si>
  <si>
    <t>DIAC0604990001</t>
  </si>
  <si>
    <t>CHEICK MAHFOUJOU</t>
  </si>
  <si>
    <t>https://myiipea.com/media/etudiant/photo/WhatsApp_Image_2023-10-17_at_10.35.24.jpeg</t>
  </si>
  <si>
    <t>DIAD0505000001</t>
  </si>
  <si>
    <t>https://myiipea.com/media/etudiant/photo/WhatsApp_Image_2023-10-09_at_1.02.52_PM.jpeg</t>
  </si>
  <si>
    <t>DIAF1712030001</t>
  </si>
  <si>
    <t>FATIMATOU NOURA</t>
  </si>
  <si>
    <t>https://myiipea.com/media/etudiant/photo/WhatsApp_Image_2023-10-09_at_16.16.00.jpeg</t>
  </si>
  <si>
    <t>DIAF2602020001</t>
  </si>
  <si>
    <t>https://myiipea.com/media/etudiant/photo/WhatsApp_Image_2023-10-09_at_09.08.09.jpeg</t>
  </si>
  <si>
    <t>DIAF1402030001</t>
  </si>
  <si>
    <t>FILARO</t>
  </si>
  <si>
    <t>https://myiipea.com/media/etudiant/photo/WhatsApp_Image_2023-10-18_at_2.07.01_PM.jpeg</t>
  </si>
  <si>
    <t>DIAH0211980001</t>
  </si>
  <si>
    <t>HASSANATOU</t>
  </si>
  <si>
    <t>https://myiipea.com/media/etudiant/photo/WhatsApp_Image_2023-09-25_at_15.48.21.jpeg</t>
  </si>
  <si>
    <t>DIAI2502050001</t>
  </si>
  <si>
    <t>https://myiipea.com/media/etudiant/photo/WhatsApp_Image_2023-11-02_at_16.04.46.jpeg</t>
  </si>
  <si>
    <t>DIAK1411010001</t>
  </si>
  <si>
    <t>KADIATOU</t>
  </si>
  <si>
    <t>https://myiipea.com/media/etudiant/photo/WhatsApp_Image_2023-10-03_at_12.03.36.jpeg</t>
  </si>
  <si>
    <t>DIAK2010030001</t>
  </si>
  <si>
    <t>KOUADIO ABDUL SAINT-JUSTE</t>
  </si>
  <si>
    <t>https://myiipea.com/media/etudiant/photo/WhatsApp_Image_2023-10-10_at_09.31.48.jpeg</t>
  </si>
  <si>
    <t>DIAM3004020002</t>
  </si>
  <si>
    <t>MAMADOU DIOUHE</t>
  </si>
  <si>
    <t>https://myiipea.com/media/etudiant/photo/WhatsApp_Image_2023-10-24_at_15.07.40.jpeg</t>
  </si>
  <si>
    <t>DIAM2505020001</t>
  </si>
  <si>
    <t>MAMADOU TIDIA</t>
  </si>
  <si>
    <t>https://myiipea.com/media/etudiant/photo/IMG_6300_resized.png</t>
  </si>
  <si>
    <t>DIAM2705060001</t>
  </si>
  <si>
    <t>MARIAM N'YELLE</t>
  </si>
  <si>
    <t>https://myiipea.com/media/etudiant/photo/WhatsApp_Image_2023-10-05_at_16.29.06.jpeg</t>
  </si>
  <si>
    <t>DIAN2707040001</t>
  </si>
  <si>
    <t>NABINTOU</t>
  </si>
  <si>
    <t>https://myiipea.com/media/etudiant/photo/WhatsApp_Image_2023-11-06_at_14.48.31.jpeg</t>
  </si>
  <si>
    <t>DIAN2909030001</t>
  </si>
  <si>
    <t>NATENIN</t>
  </si>
  <si>
    <t>https://myiipea.com/media/etudiant/photo/WhatsApp_Image_2023-10-04_at_09_resized.png</t>
  </si>
  <si>
    <t>DIAS2608990001</t>
  </si>
  <si>
    <t>SALIF</t>
  </si>
  <si>
    <t>https://myiipea.com/media/etudiant/photo/WhatsApp_Image_2023-10-02_at_16.39.52.jpeg</t>
  </si>
  <si>
    <t>DIAS3006040003</t>
  </si>
  <si>
    <t>https://myiipea.com/media/etudiant/photo/ee805a7a-bd0f-4cfc-a70e-cbab604ca96a_wTfd0Qj.jpeg</t>
  </si>
  <si>
    <t>DIAS1711010001</t>
  </si>
  <si>
    <t>SOULEYMANE</t>
  </si>
  <si>
    <t>https://myiipea.com/media/etudiant/photo/WhatsApp_Image_2023-10-18_at_1.51.03_PM.jpeg</t>
  </si>
  <si>
    <t>DIAT2012000001</t>
  </si>
  <si>
    <t>THIERNO AMADOU BAÏLO</t>
  </si>
  <si>
    <t>https://myiipea.com/media/etudiant/photo/WhatsApp_Image_2023-09-18_at_09.57.42.jpeg</t>
  </si>
  <si>
    <t>DIAB2109050001</t>
  </si>
  <si>
    <t>DIANDOUE</t>
  </si>
  <si>
    <t>BI ZOHOUROU DENIS FABIEN</t>
  </si>
  <si>
    <t>https://myiipea.com/media/etudiant/photo/WhatsApp_Image_2023-10-16_at_14.59.02.jpeg</t>
  </si>
  <si>
    <t>DIAA1212020001</t>
  </si>
  <si>
    <t>DIANE</t>
  </si>
  <si>
    <t>https://myiipea.com/media/etudiant/photo/WhatsApp_Image_2023-10-04_at_2.27.23_PM.jpeg</t>
  </si>
  <si>
    <t>DIAM0604010001</t>
  </si>
  <si>
    <t>MA-BINTA</t>
  </si>
  <si>
    <t>https://myiipea.com/media/etudiant/photo/WhatsApp_Image_2023-11-14_at_14.25.43.jpeg</t>
  </si>
  <si>
    <t>DIAT1405000001</t>
  </si>
  <si>
    <t>TIEGBE MOHAMED</t>
  </si>
  <si>
    <t>https://myiipea.com/media/etudiant/photo/WhatsApp_Image_2023-10-17_at_18.07.35.jpeg</t>
  </si>
  <si>
    <t>DIAD2510010001</t>
  </si>
  <si>
    <t>DIARISSO</t>
  </si>
  <si>
    <t>https://myiipea.com/media/etudiant/photo/IIPEA_XPAiI0L.jpg</t>
  </si>
  <si>
    <t>DIAA1912030001</t>
  </si>
  <si>
    <t>DIARRA</t>
  </si>
  <si>
    <t>AMINATA LAURINE</t>
  </si>
  <si>
    <t>https://myiipea.com/media/etudiant/photo/17016724919034101533701507096775_resized.png</t>
  </si>
  <si>
    <t>DIAD2904040001</t>
  </si>
  <si>
    <t>https://myiipea.com/media/etudiant/photo/WhatsApp_Image_2023-11-09_at_15.06.06.jpeg</t>
  </si>
  <si>
    <t>DIAI1405060002</t>
  </si>
  <si>
    <t>ISMAEL ABDOURAHAMANE WILFRIED ADONNAYE</t>
  </si>
  <si>
    <t>https://myiipea.com/media/etudiant/photo/WhatsApp_Image_2023-09-22_at_12.18.20_FeHINid.jpeg</t>
  </si>
  <si>
    <t>DIAK1609040001</t>
  </si>
  <si>
    <t>KADIDIA</t>
  </si>
  <si>
    <t>https://myiipea.com/media/etudiant/photo/WhatsApp_Image_2023-10-04_at_14.56.35.jpeg</t>
  </si>
  <si>
    <t>DIAK0101040001</t>
  </si>
  <si>
    <t>https://myiipea.com/media/etudiant/photo/WhatsApp_Image_2023-10-03_at_12.39.57.jpeg</t>
  </si>
  <si>
    <t>DIAM3004040001</t>
  </si>
  <si>
    <t>MAMBY GUILLAUME</t>
  </si>
  <si>
    <t>https://myiipea.com/media/etudiant/photo/WhatsApp_Image_2023-10-05_at_16.16.09.jpeg</t>
  </si>
  <si>
    <t>DIAM0102010001</t>
  </si>
  <si>
    <t>MOUSSA</t>
  </si>
  <si>
    <t>https://myiipea.com/media/etudiant/photo/WhatsApp_Image_2023-10-24_at_12.35.38_PM.jpeg</t>
  </si>
  <si>
    <t>DIAY1310020001</t>
  </si>
  <si>
    <t>YACOUBA</t>
  </si>
  <si>
    <t>https://myiipea.com/media/etudiant/photo/WhatsApp_Image_2023-10-12_at_16.06.56.jpeg</t>
  </si>
  <si>
    <t>DIAY0410020001</t>
  </si>
  <si>
    <t>YELY IKIKE MARIAME</t>
  </si>
  <si>
    <t>https://myiipea.com/media/etudiant/photo/WhatsApp_Image_2023-10-03_at_11.14.56_AM_oJU6b90.jpeg</t>
  </si>
  <si>
    <t>DIAY0104050001</t>
  </si>
  <si>
    <t>YSSOUF BEN OUSMANE</t>
  </si>
  <si>
    <t>https://myiipea.com/media/etudiant/photo/WhatsApp_Image_2023-10-17_at_13.29.34.jpeg</t>
  </si>
  <si>
    <t>DIAA1801010001</t>
  </si>
  <si>
    <t>DIARRASOUBA</t>
  </si>
  <si>
    <t>https://myiipea.com/media/etudiant/photo/WhatsApp_Image_2023-10-20_at_13.04.14.jpeg</t>
  </si>
  <si>
    <t>DIAA2711010001</t>
  </si>
  <si>
    <t>DIARRASSOUBA</t>
  </si>
  <si>
    <t>https://myiipea.com/media/etudiant/photo/WhatsApp_Image_2023-10-30_at_17.25.12.jpeg</t>
  </si>
  <si>
    <t>DIAB0701030001</t>
  </si>
  <si>
    <t>BEN FABOU</t>
  </si>
  <si>
    <t>https://myiipea.com/media/etudiant/photo/WhatsApp_Image_2023-10-20_at_12.47.22.jpeg</t>
  </si>
  <si>
    <t>DIAL1009040001</t>
  </si>
  <si>
    <t>LOSSENI</t>
  </si>
  <si>
    <t>https://myiipea.com/media/etudiant/photo/WhatsApp_Image_2023-11-17_at_3.08.06_PM.jpeg</t>
  </si>
  <si>
    <t>DIAM1406050001</t>
  </si>
  <si>
    <t>MADOUSSOU</t>
  </si>
  <si>
    <t>https://myiipea.com/media/etudiant/photo/WhatsApp_Image_2023-10-02_at_17.05.28.jpeg</t>
  </si>
  <si>
    <t>DIAM0101050001</t>
  </si>
  <si>
    <t>MAISATA AIDA</t>
  </si>
  <si>
    <t>https://myiipea.com/media/etudiant/photo/WhatsApp_Image_2023-10-11_at_5.02.34_PM.jpeg</t>
  </si>
  <si>
    <t>DIAS1602010001</t>
  </si>
  <si>
    <t>SARRA</t>
  </si>
  <si>
    <t>https://myiipea.com/media/etudiant/photo/WhatsApp_Image_2023-10-09_at_14.08.55.jpeg</t>
  </si>
  <si>
    <t>DIAM2410030001</t>
  </si>
  <si>
    <t>DIAW</t>
  </si>
  <si>
    <t>https://myiipea.com/media/etudiant/photo/WhatsApp_Image_2023-10-09_at_10.33.07.jpeg</t>
  </si>
  <si>
    <t>DIAS0502000001</t>
  </si>
  <si>
    <t>DIAWARA</t>
  </si>
  <si>
    <t>https://myiipea.com/media/etudiant/photo/WhatsApp_Image_2023-11-27_at_15.16.12.jpeg</t>
  </si>
  <si>
    <t>DIBA1108920001</t>
  </si>
  <si>
    <t>DIBI</t>
  </si>
  <si>
    <t>ADJO SERGE CORINNE FLAVIE</t>
  </si>
  <si>
    <t>https://myiipea.com/media/etudiant/photo/t%C3%A9l%C3%A9charg%C3%A9.jpeg</t>
  </si>
  <si>
    <t>DIBA1102030001</t>
  </si>
  <si>
    <t>AYI MARIE-ANGE</t>
  </si>
  <si>
    <t>https://myiipea.com/media/etudiant/photo/WhatsApp_Image_2023-11-02_at_14.47.04.jpeg</t>
  </si>
  <si>
    <t>DIBN1009040001</t>
  </si>
  <si>
    <t>N'ZI JUNIOR FERNANDEZ</t>
  </si>
  <si>
    <t>https://myiipea.com/media/etudiant/photo/WhatsApp_Image_2023-11-08_at_12.27.17.jpeg</t>
  </si>
  <si>
    <t>DIBZ1909020001</t>
  </si>
  <si>
    <t>DIBLADE</t>
  </si>
  <si>
    <t>ZOUA CLARA DORELLE</t>
  </si>
  <si>
    <t>https://myiipea.com/media/etudiant/photo/WhatsApp_Image_2023-11-14_at_11.51.31.jpeg</t>
  </si>
  <si>
    <t>DIBA1002030001</t>
  </si>
  <si>
    <t>DIBY</t>
  </si>
  <si>
    <t>AKISSI PEPOUCET ANGE LAURIANE</t>
  </si>
  <si>
    <t>https://myiipea.com/media/etudiant/photo/WhatsApp_Image_2023-10-10_at_11.23.43.jpeg</t>
  </si>
  <si>
    <t>DIBH2912000001</t>
  </si>
  <si>
    <t>HUGUES MARTIAL</t>
  </si>
  <si>
    <t>https://myiipea.com/media/etudiant/photo/WhatsApp_Image_2023-10-05_at_09.42.22.jpeg</t>
  </si>
  <si>
    <t>DIDD1907940001</t>
  </si>
  <si>
    <t>DIDO</t>
  </si>
  <si>
    <t>DIAGO EDDIE JOSEPH</t>
  </si>
  <si>
    <t>https://myiipea.com/media/etudiant/photo/WhatsApp_Image_2023-10-17_at_09.17.52.jpeg</t>
  </si>
  <si>
    <t>DIEA1210070001</t>
  </si>
  <si>
    <t>DIE</t>
  </si>
  <si>
    <t>ANGE CYNTICHE</t>
  </si>
  <si>
    <t>https://myiipea.com/media/etudiant/photo/t%C3%A9l%C3%A9chargement_hVv2gDQ.png</t>
  </si>
  <si>
    <t>DIES1510020001</t>
  </si>
  <si>
    <t>SARRAH LUCIE</t>
  </si>
  <si>
    <t>https://myiipea.com/media/etudiant/photo/WhatsApp_Image_2023-10-05_at_13.31.37.jpeg</t>
  </si>
  <si>
    <t>DIEA1205030001</t>
  </si>
  <si>
    <t>DIENHOUE</t>
  </si>
  <si>
    <t>ASSEMAHO CYNTHIA MARCELLE</t>
  </si>
  <si>
    <t>https://myiipea.com/media/etudiant/photo/WhatsApp_Image_2023-10-27_at_09.24.05.jpeg</t>
  </si>
  <si>
    <t>DIES1811990001</t>
  </si>
  <si>
    <t>DIETH</t>
  </si>
  <si>
    <t>SERGE WILLIAMS</t>
  </si>
  <si>
    <t>https://myiipea.com/media/etudiant/photo/WhatsApp_Image_2023-10-31_at_10.04.33.jpeg</t>
  </si>
  <si>
    <t>DIGB0609990001</t>
  </si>
  <si>
    <t>DIGBEU</t>
  </si>
  <si>
    <t>BLE YANN DAVID ARMEL</t>
  </si>
  <si>
    <t>https://myiipea.com/media/etudiant/photo/WhatsApp_Image_2023-10-20_at_11.17.52_AM.jpeg</t>
  </si>
  <si>
    <t>DIHM2003040001</t>
  </si>
  <si>
    <t>DIHE</t>
  </si>
  <si>
    <t>MONSIHO OSEE ULRICH MONDESIR</t>
  </si>
  <si>
    <t>https://myiipea.com/media/etudiant/photo/Logo_EMATECH_airL4zf.png</t>
  </si>
  <si>
    <t>DIHS2509060001</t>
  </si>
  <si>
    <t>DIHIN</t>
  </si>
  <si>
    <t>SOREL EPIPHANIE</t>
  </si>
  <si>
    <t>https://myiipea.com/media/etudiant/photo/WhatsApp_Image_2023-10-04_at_17.52.31.jpeg</t>
  </si>
  <si>
    <t>DIMD2803030001</t>
  </si>
  <si>
    <t>DIMI</t>
  </si>
  <si>
    <t>DAKOU SANDRA</t>
  </si>
  <si>
    <t>https://myiipea.com/media/etudiant/photo/WhatsApp_Image_2023-10-04_at_10.55.14.jpeg</t>
  </si>
  <si>
    <t>DINS1305000001</t>
  </si>
  <si>
    <t>DINGUI</t>
  </si>
  <si>
    <t>SEKA JEAN KEVIN</t>
  </si>
  <si>
    <t>https://myiipea.com/media/etudiant/photo/WhatsApp_Image_2023-10-11_at_12.26.44_PM.jpeg</t>
  </si>
  <si>
    <t>DIMN1503030001</t>
  </si>
  <si>
    <t>DINI</t>
  </si>
  <si>
    <t>NEANDY SYNTICHE FAITH</t>
  </si>
  <si>
    <t>https://myiipea.com/media/etudiant/photo/WhatsApp_Image_2023-10-05_at_09.46.13.jpeg</t>
  </si>
  <si>
    <t>DIOA2412020001</t>
  </si>
  <si>
    <t>DIOMANDE</t>
  </si>
  <si>
    <t>https://myiipea.com/media/etudiant/photo/WhatsApp_Image_2023-09-22_at_12.00.36.jpeg</t>
  </si>
  <si>
    <t>DIOA0607050001</t>
  </si>
  <si>
    <t>AMINATA LATIFA NOURA</t>
  </si>
  <si>
    <t>https://myiipea.com/media/etudiant/photo/WhatsApp_Image_2023-10-25_at_16.09.10.jpeg</t>
  </si>
  <si>
    <t>DIOA2112020001</t>
  </si>
  <si>
    <t>AMY SARAH NOELLIE</t>
  </si>
  <si>
    <t>https://myiipea.com/media/etudiant/photo/WhatsApp_Image_2023-11-23_at_09.33.05.jpeg</t>
  </si>
  <si>
    <t>DIOB2209030001</t>
  </si>
  <si>
    <t>BEKO PRIVAT</t>
  </si>
  <si>
    <t>https://myiipea.com/media/etudiant/photo/e2bfadb3-795f-4a15-beb2-b16524fdde2a-removebg-preview.png</t>
  </si>
  <si>
    <t>DIOD0705050001</t>
  </si>
  <si>
    <t>DJENEBA ANGE OCEANE</t>
  </si>
  <si>
    <t>https://myiipea.com/media/etudiant/photo/239422487_405915444207421_8131329350063382999_n_PWAzZbo_resized.png</t>
  </si>
  <si>
    <t>DIOF1712050001</t>
  </si>
  <si>
    <t>FATIM CHANSLOR EMMANUELLA</t>
  </si>
  <si>
    <t>https://myiipea.com/media/etudiant/photo/WhatsApp_Image_2023-10-10_at_15.07.13.jpeg</t>
  </si>
  <si>
    <t>DIOK1409040001</t>
  </si>
  <si>
    <t>KARIDJATOU COUCOU</t>
  </si>
  <si>
    <t>https://myiipea.com/media/etudiant/photo/WhatsApp_Image_2023-10-04_at_14.36.44.jpeg</t>
  </si>
  <si>
    <t>DIOL0905000001</t>
  </si>
  <si>
    <t>LAYE ABDUL RAMZI ISMAILLY</t>
  </si>
  <si>
    <t>https://myiipea.com/media/etudiant/photo/WhatsApp_Image_2023-10-26_at_14.13.34.jpeg</t>
  </si>
  <si>
    <t>DIOM2512010001</t>
  </si>
  <si>
    <t>MABANA</t>
  </si>
  <si>
    <t>https://myiipea.com/media/etudiant/photo/WhatsApp_Image_2023-10-09_at_13.37.00.jpeg</t>
  </si>
  <si>
    <t>DIOM2710050001</t>
  </si>
  <si>
    <t>https://myiipea.com/media/etudiant/photo/WhatsApp_Image_2023-10-05_at_12.19.35.jpeg</t>
  </si>
  <si>
    <t>DIOM1101020001</t>
  </si>
  <si>
    <t>MASTER 2</t>
  </si>
  <si>
    <t>https://myiipea.com/media/etudiant/photo/WhatsApp_Image_2023-12-01_at_3_resized_jLTPbwz.png</t>
  </si>
  <si>
    <t>DIOM0501000001</t>
  </si>
  <si>
    <t>MASSANDJE</t>
  </si>
  <si>
    <t>https://myiipea.com/media/etudiant/photo/WhatsApp_Image_2023-10-12_at_10.27.06.jpeg</t>
  </si>
  <si>
    <t>DIOM1412030001</t>
  </si>
  <si>
    <t>MAWA</t>
  </si>
  <si>
    <t>https://myiipea.com/media/etudiant/photo/WhatsApp_Image_2023-10-17_at_14.12.56.jpeg</t>
  </si>
  <si>
    <t>DIOM1812020001</t>
  </si>
  <si>
    <t>MEDIA BEN ALY</t>
  </si>
  <si>
    <t>https://myiipea.com/media/etudiant/photo/WhatsApp_Image_2023-10-09_at_13.05.21.jpeg</t>
  </si>
  <si>
    <t>DIOM1602050001</t>
  </si>
  <si>
    <t>MOUSSA ABDOUL RAHIM</t>
  </si>
  <si>
    <t>https://myiipea.com/media/etudiant/photo/WhatsApp_Image_2023-10-03_at_2.44.41_PM.jpeg</t>
  </si>
  <si>
    <t>DIOS2307020001</t>
  </si>
  <si>
    <t>SAI FRANCK</t>
  </si>
  <si>
    <t>https://myiipea.com/media/etudiant/photo/WhatsApp_Image_2023-11-28_at_11.17.28_AM.jpeg</t>
  </si>
  <si>
    <t>DIOS2804040001</t>
  </si>
  <si>
    <t>https://myiipea.com/media/etudiant/photo/WhatsApp_Image_2023-11-21_at_15.15.46.jpeg</t>
  </si>
  <si>
    <t>DIOS2909020001</t>
  </si>
  <si>
    <t>https://myiipea.com/media/etudiant/photo/WhatsApp_Image_2023-10-04_at_12.23.02.jpeg</t>
  </si>
  <si>
    <t>DIOS1812050001</t>
  </si>
  <si>
    <t>SIGUI</t>
  </si>
  <si>
    <t>https://myiipea.com/media/etudiant/photo/WhatsApp_Image_2023-10-19_at_13.19.30.jpeg</t>
  </si>
  <si>
    <t>DIOS1408030001</t>
  </si>
  <si>
    <t>SINGO ERIC SAMUEL</t>
  </si>
  <si>
    <t>https://myiipea.com/media/etudiant/photo/WhatsApp_Image_2023-10-18_at_17.24.21.jpeg</t>
  </si>
  <si>
    <t>DIOS2209030001</t>
  </si>
  <si>
    <t>https://myiipea.com/media/etudiant/photo/WhatsApp_Image_2023-10-20_at_11.39.08.jpeg</t>
  </si>
  <si>
    <t>DIOV0603990001</t>
  </si>
  <si>
    <t>VATE</t>
  </si>
  <si>
    <t>https://myiipea.com/media/etudiant/photo/Logo_EMATECH-removebg-preview_saZU5fa.png</t>
  </si>
  <si>
    <t>DIOO0704020001</t>
  </si>
  <si>
    <t>DIOP</t>
  </si>
  <si>
    <t>OUMOU</t>
  </si>
  <si>
    <t>https://myiipea.com/media/etudiant/photo/WhatsApp_Image_2023-10-14_at_11.30.12.jpeg</t>
  </si>
  <si>
    <t>DIOZ1011060001</t>
  </si>
  <si>
    <t>DIOURTE</t>
  </si>
  <si>
    <t>ZANGA CHEICK OMAR</t>
  </si>
  <si>
    <t>https://myiipea.com/media/etudiant/photo/WhatsApp_Image_2023-10-04_at_16.22.41.jpeg</t>
  </si>
  <si>
    <t>DIPG2010040001</t>
  </si>
  <si>
    <t>DIPOKO</t>
  </si>
  <si>
    <t>GOHAN JEAN PIERRE</t>
  </si>
  <si>
    <t>https://myiipea.com/media/etudiant/photo/WhatsApp_Image_2023-10-04_at_15.16.52.jpeg</t>
  </si>
  <si>
    <t>DISF1606020001</t>
  </si>
  <si>
    <t>DISOU</t>
  </si>
  <si>
    <t>FAIKATU</t>
  </si>
  <si>
    <t>https://myiipea.com/media/etudiant/photo/WhatsApp_Image_2023-10-03_at_12.40.29.jpeg</t>
  </si>
  <si>
    <t>DISC0501030001</t>
  </si>
  <si>
    <t>DISSO EHINI</t>
  </si>
  <si>
    <t>CORNELLIA GRACIA</t>
  </si>
  <si>
    <t>https://myiipea.com/media/etudiant/photo/WhatsApp_Image_2023-09-26_at_12.33.09.jpeg</t>
  </si>
  <si>
    <t>DIZA1105060001</t>
  </si>
  <si>
    <t>DIZAN</t>
  </si>
  <si>
    <t>ANGE CEDRIQUE DONALD</t>
  </si>
  <si>
    <t>https://myiipea.com/media/etudiant/photo/t%C3%A9l%C3%A9chargement_P01J1Q7.png</t>
  </si>
  <si>
    <t>DJAE0101000001</t>
  </si>
  <si>
    <t>DJA</t>
  </si>
  <si>
    <t>ETTIEN AHOU FRANCISCA ANNE-JOA</t>
  </si>
  <si>
    <t>https://myiipea.com/media/etudiant/photo/WhatsApp_Image_2023-10-16_at_12.57.35.jpeg</t>
  </si>
  <si>
    <t>DJAM0610980001</t>
  </si>
  <si>
    <t>DJABAKATE</t>
  </si>
  <si>
    <t>MABONA MONDESIRE</t>
  </si>
  <si>
    <t>https://myiipea.com/media/etudiant/photo/WhatsApp_Image_2023-09-29_at_11.07.09.jpeg</t>
  </si>
  <si>
    <t>DJAY2611050001</t>
  </si>
  <si>
    <t>DJABIA</t>
  </si>
  <si>
    <t>YAH INGRID FALONN</t>
  </si>
  <si>
    <t>https://myiipea.com/media/etudiant/photo/WhatsApp_Image_2023-10-05_at_13.54.49.jpeg</t>
  </si>
  <si>
    <t>DJAS2012020001</t>
  </si>
  <si>
    <t>DJAGOUA</t>
  </si>
  <si>
    <t>SEKA LEANDRE GUY PIERRE</t>
  </si>
  <si>
    <t>https://myiipea.com/media/etudiant/photo/WhatsApp_Image_2023-10-21_at_11.39.00.jpeg</t>
  </si>
  <si>
    <t>DJAG1709020001</t>
  </si>
  <si>
    <t>DJAH</t>
  </si>
  <si>
    <t>GOZREHONON ANNE-STEPHANIE</t>
  </si>
  <si>
    <t>https://myiipea.com/media/etudiant/photo/WhatsApp_Image_2023-11-14_at_14.37.46.jpeg</t>
  </si>
  <si>
    <t>DJAK1311020001</t>
  </si>
  <si>
    <t>DJAHA</t>
  </si>
  <si>
    <t>KOUAKOU UR EVANS</t>
  </si>
  <si>
    <t>https://myiipea.com/media/etudiant/photo/WhatsApp_Image_2023-10-30_at_10.41.41.jpeg</t>
  </si>
  <si>
    <t>DJAN1806010001</t>
  </si>
  <si>
    <t>N'ZI OLIVIA ESTHER</t>
  </si>
  <si>
    <t>https://myiipea.com/media/etudiant/photo/WhatsApp_Image_2023-11-07_at_12.07.06.jpeg</t>
  </si>
  <si>
    <t>DJAD1210020001</t>
  </si>
  <si>
    <t>DJAKI</t>
  </si>
  <si>
    <t>DJOKO MYRIAM ARIANE</t>
  </si>
  <si>
    <t>https://myiipea.com/media/etudiant/photo/WhatsApp_Image_2023-10-14_at_10.16.37_1.jpeg</t>
  </si>
  <si>
    <t>DJAZ0809050001</t>
  </si>
  <si>
    <t>DJAKO</t>
  </si>
  <si>
    <t>ZOHON ABIGAEL ANGE DORIANE</t>
  </si>
  <si>
    <t>https://myiipea.com/media/etudiant/photo/WhatsApp_Image_2023-10-12_at_09.48.39.jpeg</t>
  </si>
  <si>
    <t>DJAA2510040001</t>
  </si>
  <si>
    <t>DJAKOI</t>
  </si>
  <si>
    <t>AKISSI RUTH VICTOIRE</t>
  </si>
  <si>
    <t>https://myiipea.com/media/etudiant/photo/WhatsApp_Image_2023-11-08_at_4.23.17_PM.jpeg</t>
  </si>
  <si>
    <t>DJAT1810030001</t>
  </si>
  <si>
    <t>DJALEGA</t>
  </si>
  <si>
    <t>TCHEKPA EMMANUEL</t>
  </si>
  <si>
    <t>https://myiipea.com/media/etudiant/photo/WhatsApp_Image_2023-10-17_at_4.38.20_PM.jpeg</t>
  </si>
  <si>
    <t>DJAG0401990001</t>
  </si>
  <si>
    <t>DJALEGUE</t>
  </si>
  <si>
    <t>GOBE DJOKOUEHI INNOCENT</t>
  </si>
  <si>
    <t>https://myiipea.com/media/etudiant/photo/WhatsApp_Image_2023-10-19_at_15.28.27.jpeg</t>
  </si>
  <si>
    <t>DJAA1004010001</t>
  </si>
  <si>
    <t>DJAMA</t>
  </si>
  <si>
    <t>ANTHONY VIANNEY</t>
  </si>
  <si>
    <t>https://myiipea.com/media/etudiant/photo/WhatsApp_Image_2023-09-25_%C3%A0_12.18.25.jpg</t>
  </si>
  <si>
    <t>DJAA2011050001</t>
  </si>
  <si>
    <t>APIE OCEANNE SYLVIE</t>
  </si>
  <si>
    <t>https://myiipea.com/media/etudiant/photo/WhatsApp_Image_2023-10-03_at_17.15.06.jpeg</t>
  </si>
  <si>
    <t>DJAA0101000001</t>
  </si>
  <si>
    <t>ATTEHON LAURIS</t>
  </si>
  <si>
    <t>https://myiipea.com/media/etudiant/photo/WhatsApp_Image_2023-10-13_at_08_resized.png</t>
  </si>
  <si>
    <t>DJAD0710000001</t>
  </si>
  <si>
    <t>DANKOI ANGE CHRISTELLE DEVALEINE</t>
  </si>
  <si>
    <t>https://myiipea.com/media/etudiant/photo/WhatsApp_Image_2023-09-28_at_13.00.39.jpeg</t>
  </si>
  <si>
    <t>DJAD0401050001</t>
  </si>
  <si>
    <t>DJAMA EMMANUEL  EUDES</t>
  </si>
  <si>
    <t>https://myiipea.com/media/etudiant/photo/IIPEA_g8bDPA8.jpg</t>
  </si>
  <si>
    <t>DJAG1106060001</t>
  </si>
  <si>
    <t>GRACE EXELLE LETITIA</t>
  </si>
  <si>
    <t>https://myiipea.com/media/etudiant/photo/WhatsApp_Image_2023-10-16_at_13.49.17.jpeg</t>
  </si>
  <si>
    <t>DJAA2306020001</t>
  </si>
  <si>
    <t>DJAMAN</t>
  </si>
  <si>
    <t>EDJI YOU GAELLE</t>
  </si>
  <si>
    <t>https://myiipea.com/media/etudiant/photo/WhatsApp_Image_2023-10-17_at_16.35.01.jpeg</t>
  </si>
  <si>
    <t>DJAA0109030001</t>
  </si>
  <si>
    <t>DJAMAND</t>
  </si>
  <si>
    <t>ABETO ANNE CYRIELLE ORLANE</t>
  </si>
  <si>
    <t>https://myiipea.com/media/etudiant/photo/WhatsApp_Image_2023-10-04_at_09.16.02.jpeg</t>
  </si>
  <si>
    <t>DJAN0510040001</t>
  </si>
  <si>
    <t>NANGUY EMILE SEM AXEL</t>
  </si>
  <si>
    <t>https://myiipea.com/media/etudiant/photo/WhatsApp_Image_2023-10-11_at_10.12.32.jpeg</t>
  </si>
  <si>
    <t>DJAY1903040001</t>
  </si>
  <si>
    <t>DJAMBRA</t>
  </si>
  <si>
    <t>YASSMINE ELLA CLAIRE</t>
  </si>
  <si>
    <t>https://myiipea.com/media/etudiant/photo/WhatsApp_Image_2023-11-22_at_14.59.06.jpeg</t>
  </si>
  <si>
    <t>DJAJ1108030001</t>
  </si>
  <si>
    <t>DJANDOUET</t>
  </si>
  <si>
    <t>JEAN PAUL LAURENT</t>
  </si>
  <si>
    <t>https://myiipea.com/media/etudiant/photo/WhatsApp_Image_2023-11-17_at_11.23.44_AM.jpeg</t>
  </si>
  <si>
    <t>DJAA2611050001</t>
  </si>
  <si>
    <t>DJANNE</t>
  </si>
  <si>
    <t>ABITO ISRAEL</t>
  </si>
  <si>
    <t>https://myiipea.com/media/etudiant/photo/WhatsApp_Image_2023-10-09_at_14.57.01.jpeg</t>
  </si>
  <si>
    <t>DJEA0606040001</t>
  </si>
  <si>
    <t>DJE</t>
  </si>
  <si>
    <t>ADJOUA EVELINE</t>
  </si>
  <si>
    <t>https://myiipea.com/media/etudiant/photo/WhatsApp_Image_2023-10-17_at_12.01.22.jpeg</t>
  </si>
  <si>
    <t>DJEA1507040001</t>
  </si>
  <si>
    <t>AHOU MARIE-GRACE</t>
  </si>
  <si>
    <t>https://myiipea.com/media/etudiant/photo/WhatsApp_Image_2023-10-10_at_08.57.40.jpeg</t>
  </si>
  <si>
    <t>DJEA2812030001</t>
  </si>
  <si>
    <t>ALAN CYRILLE</t>
  </si>
  <si>
    <t>https://myiipea.com/media/etudiant/photo/WhatsApp_Image_2023-10-20_at_13.03.36.jpeg</t>
  </si>
  <si>
    <t>DJEG2506030001</t>
  </si>
  <si>
    <t>GOUANAN DORIANE ANNICK</t>
  </si>
  <si>
    <t>https://myiipea.com/media/etudiant/photo/WhatsApp_Image_2023-11-14_at_15.26.45.jpeg</t>
  </si>
  <si>
    <t>DJEL1204030001</t>
  </si>
  <si>
    <t>LOU DJENAN ESTELLE</t>
  </si>
  <si>
    <t>https://myiipea.com/media/etudiant/photo/WhatsApp_Image_2023-11-09_at_10.50.16.jpeg</t>
  </si>
  <si>
    <t>DJEL2206050001</t>
  </si>
  <si>
    <t>LOU TANAN RUTH AURELIA</t>
  </si>
  <si>
    <t>https://myiipea.com/media/etudiant/photo/WhatsApp_Image_2023-10-27_at_14.07.15.jpeg</t>
  </si>
  <si>
    <t>DJEA1804030001</t>
  </si>
  <si>
    <t>DJEA</t>
  </si>
  <si>
    <t>AYA GRACE DEBORA</t>
  </si>
  <si>
    <t>https://myiipea.com/media/etudiant/photo/WhatsApp_Image_2023-10-02_at_11.11.25.jpeg</t>
  </si>
  <si>
    <t>DJEA0706050001</t>
  </si>
  <si>
    <t>DJEDA</t>
  </si>
  <si>
    <t>AZIHA GRACE STEVE EMMANUELLA</t>
  </si>
  <si>
    <t>https://myiipea.com/media/etudiant/photo/WhatsApp_Image_2023-10-04_at_12.24.15.jpeg</t>
  </si>
  <si>
    <t>DJEB2809020001</t>
  </si>
  <si>
    <t>DJEDJE</t>
  </si>
  <si>
    <t>BORIS YOANN-MOREL</t>
  </si>
  <si>
    <t>https://myiipea.com/media/etudiant/photo/WhatsApp_Image_2023-10-11_at_17.41.04.jpeg</t>
  </si>
  <si>
    <t>DJED0312000001</t>
  </si>
  <si>
    <t>DANIELLE CLAVERIE</t>
  </si>
  <si>
    <t>https://myiipea.com/media/etudiant/photo/WhatsApp_Image_2023-10-03_at_14.41.39.jpeg</t>
  </si>
  <si>
    <t>DJEE2204030001</t>
  </si>
  <si>
    <t>ELOHIM MICKAEL</t>
  </si>
  <si>
    <t>https://myiipea.com/media/etudiant/photo/WhatsApp_Image_2023-10-09_at_10.31.45.jpeg</t>
  </si>
  <si>
    <t>DJEG0102050001</t>
  </si>
  <si>
    <t>GRACE ESTHER</t>
  </si>
  <si>
    <t>https://myiipea.com/media/etudiant/photo/WhatsApp_Image_2023-10-12_at_16.03.45.jpeg</t>
  </si>
  <si>
    <t>DJEK2010020001</t>
  </si>
  <si>
    <t>KACOU JEAN-NOEL</t>
  </si>
  <si>
    <t>https://myiipea.com/media/etudiant/photo/WhatsApp_Image_2023-10-27_at_11.33.49.jpeg</t>
  </si>
  <si>
    <t>DJEO2612030001</t>
  </si>
  <si>
    <t>OPIRIKOU LYDIE SEPHORA</t>
  </si>
  <si>
    <t>https://myiipea.com/media/etudiant/photo/WhatsApp_Image_2023-09-28_at_14.55.56.jpeg</t>
  </si>
  <si>
    <t>DJEA0402030001</t>
  </si>
  <si>
    <t>DJEDJEMEL</t>
  </si>
  <si>
    <t>ANDY BARNIER</t>
  </si>
  <si>
    <t>https://myiipea.com/media/etudiant/photo/WhatsApp_Image_2023-10-23_at_13.18.04.jpeg</t>
  </si>
  <si>
    <t>DJES2109020001</t>
  </si>
  <si>
    <t>DJEGBA</t>
  </si>
  <si>
    <t>SIEMEN GRACE</t>
  </si>
  <si>
    <t>https://myiipea.com/media/etudiant/photo/WhatsApp_Image_2023-10-13_at_2.37.10_PM.jpeg</t>
  </si>
  <si>
    <t>DJEA2104050002</t>
  </si>
  <si>
    <t>DJEHI</t>
  </si>
  <si>
    <t>AMOUSSOU MAHILE CHRISTIANE</t>
  </si>
  <si>
    <t>https://myiipea.com/media/etudiant/photo/WhatsApp_Image_2023-10-17_at_2.54.06_PM.jpeg</t>
  </si>
  <si>
    <t>DJEH0912990001</t>
  </si>
  <si>
    <t>DJEHIN</t>
  </si>
  <si>
    <t>HINSEKANE ARNOLD</t>
  </si>
  <si>
    <t>https://myiipea.com/media/etudiant/photo/762d1e53-4bc2-4ecb-997b-b8ffbf150f79-removebg-preview.png</t>
  </si>
  <si>
    <t>DJEN2309000001</t>
  </si>
  <si>
    <t>DJEKE</t>
  </si>
  <si>
    <t>N'TCHO YEZOU JUDITH ROLANDE</t>
  </si>
  <si>
    <t>https://myiipea.com/media/etudiant/photo/WhatsApp_Image_2023-10-12_at_14.46.15.jpeg</t>
  </si>
  <si>
    <t>DJEA0209040001</t>
  </si>
  <si>
    <t>DJELOU</t>
  </si>
  <si>
    <t>ABA ASHLEY MIREILLE</t>
  </si>
  <si>
    <t>https://myiipea.com/media/etudiant/photo/WhatsApp_Image_2023-10-03_at_12.24.02.jpeg</t>
  </si>
  <si>
    <t>DJEA1312030001</t>
  </si>
  <si>
    <t>DJENE</t>
  </si>
  <si>
    <t>ASSANATOU</t>
  </si>
  <si>
    <t>https://myiipea.com/media/etudiant/photo/WhatsApp_Image_2023-10-02_at_13.26.27.jpeg</t>
  </si>
  <si>
    <t>DJEB1103030001</t>
  </si>
  <si>
    <t>DJERE</t>
  </si>
  <si>
    <t>BI KOUE HUGUES ETEME</t>
  </si>
  <si>
    <t>https://myiipea.com/media/etudiant/photo/WhatsApp_Image_2023-10-23_at_12.52.10.jpeg</t>
  </si>
  <si>
    <t>DJEM0808040001</t>
  </si>
  <si>
    <t>DJESSOU</t>
  </si>
  <si>
    <t>MARLENE AURELIE AUBALY</t>
  </si>
  <si>
    <t>https://myiipea.com/media/etudiant/photo/WhatsApp_Image_2023-10-05_at_14.25.16.jpeg</t>
  </si>
  <si>
    <t>DJEA0711020001</t>
  </si>
  <si>
    <t>DJETOUAN</t>
  </si>
  <si>
    <t>ADJOBA SARAH DEVI</t>
  </si>
  <si>
    <t>https://myiipea.com/media/etudiant/photo/DEVI_resized.png</t>
  </si>
  <si>
    <t>DJIM2206020001</t>
  </si>
  <si>
    <t>DJIBO</t>
  </si>
  <si>
    <t>https://myiipea.com/media/etudiant/photo/WhatsApp_Image_2023-10-17_at_2.54.25_PM.jpeg</t>
  </si>
  <si>
    <t>DJIS0710060001</t>
  </si>
  <si>
    <t>DJIBRILLA</t>
  </si>
  <si>
    <t>SAIDOU MOHAMED LAMINE</t>
  </si>
  <si>
    <t>https://myiipea.com/media/etudiant/photo/t%C3%A9l%C3%A9charg%C3%A9_lEWzQC6_resized.png</t>
  </si>
  <si>
    <t>DJIM2210040001</t>
  </si>
  <si>
    <t>DJIBY</t>
  </si>
  <si>
    <t>MARIAM ANICETTE</t>
  </si>
  <si>
    <t>https://myiipea.com/media/etudiant/photo/WhatsApp_Image_2023-11-24_at_15.38.27.jpeg</t>
  </si>
  <si>
    <t>DJIJ2412040001</t>
  </si>
  <si>
    <t>DJIGO</t>
  </si>
  <si>
    <t>JEAN VIALLY</t>
  </si>
  <si>
    <t>https://myiipea.com/media/etudiant/photo/WhatsApp_Image_2023-10-11_at_18.02.55.jpeg</t>
  </si>
  <si>
    <t>DJID1003030001</t>
  </si>
  <si>
    <t>DJIGUEMDE</t>
  </si>
  <si>
    <t>DENISE</t>
  </si>
  <si>
    <t>https://myiipea.com/media/etudiant/photo/WhatsApp_Image_2023-10-04_at_10.34.56.jpeg</t>
  </si>
  <si>
    <t>DJIA2903030001</t>
  </si>
  <si>
    <t>DJINA</t>
  </si>
  <si>
    <t>AKALE BERENICE</t>
  </si>
  <si>
    <t>https://myiipea.com/media/etudiant/photo/WhatsApp_Image_2023-10-04_at_15.25.54.jpeg</t>
  </si>
  <si>
    <t>DJIK2703030001</t>
  </si>
  <si>
    <t>DJINGO</t>
  </si>
  <si>
    <t>KOUASSI LOPEZ WILFRIED</t>
  </si>
  <si>
    <t>https://myiipea.com/media/etudiant/photo/WhatsApp_Image_2023-09-28_at_11.41.51.jpeg</t>
  </si>
  <si>
    <t>DJIG1301030001</t>
  </si>
  <si>
    <t>DJIRAGBOU</t>
  </si>
  <si>
    <t>GBEDJOBIE CHRISTIANE ARMANDE EMMANUELLA</t>
  </si>
  <si>
    <t>https://myiipea.com/media/etudiant/photo/WhatsApp_Image_2023-09-25_%C3%A0_14.45.36.jpg</t>
  </si>
  <si>
    <t>DJIA1712020001</t>
  </si>
  <si>
    <t>DJIRE</t>
  </si>
  <si>
    <t>ABOUBAKAR MOUHAMADOUL AMINE</t>
  </si>
  <si>
    <t>https://myiipea.com/media/etudiant/photo/WhatsApp_Image_2023-10-02_at_15.09.59.jpeg</t>
  </si>
  <si>
    <t>DJIK0705050001</t>
  </si>
  <si>
    <t>DJIYEHOE</t>
  </si>
  <si>
    <t>KOAMIGA DAVID</t>
  </si>
  <si>
    <t>https://myiipea.com/media/etudiant/photo/WhatsApp_Image_2023-10-09_at_13.46.04.jpeg</t>
  </si>
  <si>
    <t>DJOR0101040001</t>
  </si>
  <si>
    <t>DJOLOU</t>
  </si>
  <si>
    <t>REGINA FABIENNE</t>
  </si>
  <si>
    <t>https://myiipea.com/media/etudiant/photo/WhatsApp_Image_2023-10-12_at_5.02.45_PM.jpeg</t>
  </si>
  <si>
    <t>DJOA1411020001</t>
  </si>
  <si>
    <t>DJOMAN</t>
  </si>
  <si>
    <t>ADJOBA MARIE-ESTHER</t>
  </si>
  <si>
    <t>https://myiipea.com/media/etudiant/photo/WhatsApp_Image_2023-10-26_at_11.28.57.jpeg</t>
  </si>
  <si>
    <t>DJOO0610030001</t>
  </si>
  <si>
    <t>DJOSSOI</t>
  </si>
  <si>
    <t>ODI EMMANUEL AKE</t>
  </si>
  <si>
    <t>https://myiipea.com/media/etudiant/photo/WhatsApp_Image_2023-10-04_at_16.59.35.jpeg</t>
  </si>
  <si>
    <t>DOB0704000001</t>
  </si>
  <si>
    <t>DO</t>
  </si>
  <si>
    <t>BIDO SERGE HERMANN</t>
  </si>
  <si>
    <t>https://myiipea.com/media/etudiant/photo/WhatsApp_Image_2023-11-06_at_15.12.18.jpeg</t>
  </si>
  <si>
    <t>DOAM2212020001</t>
  </si>
  <si>
    <t>DOA</t>
  </si>
  <si>
    <t>MADY STEPHANIE ESTHER</t>
  </si>
  <si>
    <t>https://myiipea.com/media/etudiant/photo/WhatsApp_Image_2023-11-30_at_13.35.55.jpeg</t>
  </si>
  <si>
    <t>DOBG1405040001</t>
  </si>
  <si>
    <t>DOBE</t>
  </si>
  <si>
    <t>GODE EMMANUEL JOSEPH</t>
  </si>
  <si>
    <t>https://myiipea.com/media/etudiant/photo/WhatsApp_Image_2023-10-02_at_18.14.15.jpeg</t>
  </si>
  <si>
    <t>DODT2610040001</t>
  </si>
  <si>
    <t>DODO</t>
  </si>
  <si>
    <t>TOELLY ORLANE ANGE ESTHER</t>
  </si>
  <si>
    <t>https://myiipea.com/media/etudiant/photo/DODO.jpg</t>
  </si>
  <si>
    <t>DOFK2605000001</t>
  </si>
  <si>
    <t>DOFFOU</t>
  </si>
  <si>
    <t>KOTCHI MICHEL</t>
  </si>
  <si>
    <t>https://myiipea.com/media/etudiant/photo/WhatsApp_Image_2023-10-25_at_1.58.04_PM.jpeg</t>
  </si>
  <si>
    <t>DOFO1405020001</t>
  </si>
  <si>
    <t>OYE</t>
  </si>
  <si>
    <t>https://myiipea.com/media/etudiant/photo/WhatsApp_Image_2023-11-27_at_12.43.08.jpeg</t>
  </si>
  <si>
    <t>DOFO2705000001</t>
  </si>
  <si>
    <t>OYE JOANITA</t>
  </si>
  <si>
    <t>https://myiipea.com/media/etudiant/photo/WhatsApp_Image_2023-10-02_at_12.07.22.jpeg</t>
  </si>
  <si>
    <t>DOGD1003040001</t>
  </si>
  <si>
    <t>DOGBO</t>
  </si>
  <si>
    <t>DJEKE SAMUEL</t>
  </si>
  <si>
    <t>https://myiipea.com/media/etudiant/photo/WhatsApp_Image_2023-10-03_at_12.36.05.jpeg</t>
  </si>
  <si>
    <t>DOGD2403010001</t>
  </si>
  <si>
    <t>DOGBO LUCIEN ALAIN JOSIAS</t>
  </si>
  <si>
    <t>https://myiipea.com/media/etudiant/photo/WhatsApp_Image_2023-09-28_at_13.41.16.jpeg</t>
  </si>
  <si>
    <t>DOGS0507020001</t>
  </si>
  <si>
    <t>DOGO</t>
  </si>
  <si>
    <t>SOUHO GAEL-HULDA</t>
  </si>
  <si>
    <t>https://myiipea.com/media/etudiant/photo/WhatsApp_Image_2023-11-03_at_16.56.59.jpeg</t>
  </si>
  <si>
    <t>DOHA1910040001</t>
  </si>
  <si>
    <t>DOH</t>
  </si>
  <si>
    <t>AHONHO LESLIE MEGANE</t>
  </si>
  <si>
    <t>https://myiipea.com/media/etudiant/photo/ee805a7a-bd0f-4cfc-a70e-cbab604ca96a_Wsmjvmx.jpeg</t>
  </si>
  <si>
    <t>DOHB1011050003</t>
  </si>
  <si>
    <t>BIBO ESTHER MONDESIR</t>
  </si>
  <si>
    <t>https://myiipea.com/media/etudiant/photo/IIPEA_aP0BHYw.jpg</t>
  </si>
  <si>
    <t>DOHB2601020001</t>
  </si>
  <si>
    <t>BOYAH MARYLIN ESTHER</t>
  </si>
  <si>
    <t>https://myiipea.com/media/etudiant/photo/WhatsApp_Image_2023-09-29_at_18.06.44.jpeg</t>
  </si>
  <si>
    <t>DOHM1807030001</t>
  </si>
  <si>
    <t>DOH-CHIA</t>
  </si>
  <si>
    <t>MARIE ROXANE</t>
  </si>
  <si>
    <t>https://myiipea.com/media/etudiant/photo/WhatsApp_Image_2023-09-28_at_15.16.14.jpeg</t>
  </si>
  <si>
    <t>DOHN1001020001</t>
  </si>
  <si>
    <t>DOHAHINON</t>
  </si>
  <si>
    <t>NADINE HANNAH</t>
  </si>
  <si>
    <t>https://myiipea.com/media/etudiant/photo/WhatsApp_Image_2023-10-11_at_13.02.35.jpeg</t>
  </si>
  <si>
    <t>DOHA2605020001</t>
  </si>
  <si>
    <t>DOHOUN</t>
  </si>
  <si>
    <t>AMOIN MAEVA HERMINE</t>
  </si>
  <si>
    <t>https://myiipea.com/media/etudiant/photo/WhatsApp_Image_2023-11-09_at_15.05.26.jpeg</t>
  </si>
  <si>
    <t>DOLL2010030001</t>
  </si>
  <si>
    <t>DOLE</t>
  </si>
  <si>
    <t>LOIS PRISCILLE</t>
  </si>
  <si>
    <t>https://myiipea.com/media/etudiant/photo/WhatsApp_Image_2023-10-31_at_16.22.03.jpeg</t>
  </si>
  <si>
    <t>DOLM1208050001</t>
  </si>
  <si>
    <t>MASSEU YANNICK MICHELLE</t>
  </si>
  <si>
    <t>https://myiipea.com/media/etudiant/photo/WhatsApp_Image_2023-10-04_at_10_resized.png</t>
  </si>
  <si>
    <t>DOME2112050001</t>
  </si>
  <si>
    <t>DOMA</t>
  </si>
  <si>
    <t>ELISE DAVID</t>
  </si>
  <si>
    <t>https://myiipea.com/media/etudiant/photo/WhatsApp_Image_2023-10-12_at_11.28.44.jpeg</t>
  </si>
  <si>
    <t>DOMA2202040001</t>
  </si>
  <si>
    <t>DOMORAUD</t>
  </si>
  <si>
    <t>ANGE SYNTHICHE</t>
  </si>
  <si>
    <t>https://myiipea.com/media/etudiant/photo/WhatsApp_Image_2023-11-03_at_12.40.10.jpeg</t>
  </si>
  <si>
    <t>DONA2406030001</t>
  </si>
  <si>
    <t>DON</t>
  </si>
  <si>
    <t>AKOU GOA FABIENNE</t>
  </si>
  <si>
    <t>https://myiipea.com/media/etudiant/photo/WhatsApp_Image_2023-10-13_at_08.39.57.jpeg</t>
  </si>
  <si>
    <t>DONA1304030001</t>
  </si>
  <si>
    <t>DONGO</t>
  </si>
  <si>
    <t>ADINGRA DESIREE</t>
  </si>
  <si>
    <t>https://myiipea.com/media/etudiant/photo/WhatsApp_Image_2023-10-25_at_11.20.02.jpeg</t>
  </si>
  <si>
    <t>DONK1010030001</t>
  </si>
  <si>
    <t>KANGA ERY SIDONIE</t>
  </si>
  <si>
    <t>https://myiipea.com/media/etudiant/photo/WhatsApp_Image_2023-10-03_at_6.47.11_PM.jpeg</t>
  </si>
  <si>
    <t>DONK1211050001</t>
  </si>
  <si>
    <t>KOFFI CHRISTIAN</t>
  </si>
  <si>
    <t>https://myiipea.com/media/etudiant/photo/WhatsApp_Image_2023-10-26_at_09.48.45.jpeg</t>
  </si>
  <si>
    <t>DOSD2812010001</t>
  </si>
  <si>
    <t>DOSSO</t>
  </si>
  <si>
    <t>https://myiipea.com/media/etudiant/photo/DOSSO.jpg</t>
  </si>
  <si>
    <t>DOSI1907010001</t>
  </si>
  <si>
    <t>IBRAHIM SOLLY</t>
  </si>
  <si>
    <t>https://myiipea.com/media/etudiant/photo/WhatsApp_Image_2023-10-13_at_18.46.57.jpeg</t>
  </si>
  <si>
    <t>DOSM0606000001</t>
  </si>
  <si>
    <t>https://myiipea.com/media/etudiant/photo/WhatsApp_Image_2023-11-20_at_15.29.43.jpeg</t>
  </si>
  <si>
    <t>DOSM1411030001</t>
  </si>
  <si>
    <t>https://myiipea.com/media/etudiant/photo/WhatsApp_Image_2023-11-23_at_12.49.04.jpeg</t>
  </si>
  <si>
    <t>DOSS2008030001</t>
  </si>
  <si>
    <t>SOUALIHO</t>
  </si>
  <si>
    <t>https://myiipea.com/media/etudiant/photo/WhatsApp_Image_2023-10-16_at_5.37.09_PM.jpeg</t>
  </si>
  <si>
    <t>DOSW0102040001</t>
  </si>
  <si>
    <t>WILFREID</t>
  </si>
  <si>
    <t>https://myiipea.com/media/etudiant/photo/WhatsApp_Image_2023-10-06_at_16.45.34.jpeg</t>
  </si>
  <si>
    <t>DOSC3103030001</t>
  </si>
  <si>
    <t>DOSSOU</t>
  </si>
  <si>
    <t>CONSTANT ROMAIN</t>
  </si>
  <si>
    <t>https://myiipea.com/media/etudiant/photo/WhatsApp_Image_2023-10-10_at_12.29.38_PM_JzWLJwf.jpeg</t>
  </si>
  <si>
    <t>DOSI0706060001</t>
  </si>
  <si>
    <t>IFEDOU CEDRIC</t>
  </si>
  <si>
    <t>https://myiipea.com/media/etudiant/photo/WhatsApp_Image_2023-09-29_at_16.01.35.jpeg</t>
  </si>
  <si>
    <t>DOSS2111040001</t>
  </si>
  <si>
    <t>SAMUEL ELISEE</t>
  </si>
  <si>
    <t>https://myiipea.com/media/etudiant/photo/WhatsApp_Image_2023-09-29_at_16.40.10.jpeg</t>
  </si>
  <si>
    <t>DOUM0404010001</t>
  </si>
  <si>
    <t>DOUAMBA</t>
  </si>
  <si>
    <t>MADINA ADJARATOU</t>
  </si>
  <si>
    <t>https://myiipea.com/media/etudiant/photo/WhatsApp_Image_2023-10-26_at_16.54.56.jpeg</t>
  </si>
  <si>
    <t>DOUY2312020001</t>
  </si>
  <si>
    <t>YASMINA ALIZETA</t>
  </si>
  <si>
    <t>https://myiipea.com/media/etudiant/photo/WhatsApp_Image_2023-10-10_at_11_resized_XBjGsRx.png</t>
  </si>
  <si>
    <t>DOUA2308020001</t>
  </si>
  <si>
    <t>DOUBOU</t>
  </si>
  <si>
    <t>AKRE DANHO CLAUDINE OCTAVIE EMMANNUELA</t>
  </si>
  <si>
    <t>https://myiipea.com/media/etudiant/photo/WhatsApp_Image_2023-10-06_at_09.28.16.jpeg</t>
  </si>
  <si>
    <t>DOUA2710030001</t>
  </si>
  <si>
    <t>DOUDJON</t>
  </si>
  <si>
    <t>AHOUO JULIETTE MARIE-EUNICE</t>
  </si>
  <si>
    <t>https://myiipea.com/media/etudiant/photo/WhatsApp_Image_2023-09-19_at_12.23.34.jpeg</t>
  </si>
  <si>
    <t>DOUW2204040001</t>
  </si>
  <si>
    <t>DOUDOU</t>
  </si>
  <si>
    <t>WACIA SANDRA FLEUR</t>
  </si>
  <si>
    <t>https://myiipea.com/media/etudiant/photo/WhatsApp_Image_2023-09-20_at_11.06.23.jpeg</t>
  </si>
  <si>
    <t>DOUG1010040001</t>
  </si>
  <si>
    <t>DOUE</t>
  </si>
  <si>
    <t>GUY ARIEL FRANKLYN</t>
  </si>
  <si>
    <t>https://myiipea.com/media/etudiant/photo/WhatsApp_Image_2023-10-05_at_14.12.56.jpeg</t>
  </si>
  <si>
    <t>DOUC0104010001</t>
  </si>
  <si>
    <t>DOUEI</t>
  </si>
  <si>
    <t>CHARLES ALEX PHILEMON</t>
  </si>
  <si>
    <t>https://myiipea.com/media/etudiant/photo/WhatsApp_Image_2023-10-19_at_13.30.49.jpeg</t>
  </si>
  <si>
    <t>DOUL2507020001</t>
  </si>
  <si>
    <t>DOUGOUE</t>
  </si>
  <si>
    <t>LADY GRACE AUDE ORNELA</t>
  </si>
  <si>
    <t>https://myiipea.com/media/etudiant/photo/WhatsApp_Image_2023-11-13_at_12.40.31_PM.jpeg</t>
  </si>
  <si>
    <t>DOUS1201040001</t>
  </si>
  <si>
    <t>DOUHO</t>
  </si>
  <si>
    <t>SEGUELA EZECHIEL</t>
  </si>
  <si>
    <t>https://myiipea.com/media/etudiant/photo/WhatsApp_Image_2023-10-09_at_15.36.54.jpeg</t>
  </si>
  <si>
    <t>DOUB1702020001</t>
  </si>
  <si>
    <t>DOUHOURI</t>
  </si>
  <si>
    <t>BLE HERMANN</t>
  </si>
  <si>
    <t>https://myiipea.com/media/etudiant/photo/WhatsApp_Image_2023-10-20_at_19.09.32.jpeg</t>
  </si>
  <si>
    <t>DUIW1203020001</t>
  </si>
  <si>
    <t>DOUIHA</t>
  </si>
  <si>
    <t>WLOUNSAGNON MOREL</t>
  </si>
  <si>
    <t>https://myiipea.com/media/etudiant/photo/WhatsApp_Image_2023-12-04_at_11_resized_resized.png</t>
  </si>
  <si>
    <t>DOUC2907000001</t>
  </si>
  <si>
    <t>DOUKOURE</t>
  </si>
  <si>
    <t>CHEICK FODE</t>
  </si>
  <si>
    <t>https://myiipea.com/media/etudiant/photo/WhatsApp_Image_2023-11-17_at_15.42.44.jpeg</t>
  </si>
  <si>
    <t>DOUS0304040001</t>
  </si>
  <si>
    <t>SENDE</t>
  </si>
  <si>
    <t>https://myiipea.com/media/etudiant/photo/WhatsApp_Image_2023-10-03_at_11.49.27.jpeg</t>
  </si>
  <si>
    <t>DOUA1202050001</t>
  </si>
  <si>
    <t>DOUMBIA</t>
  </si>
  <si>
    <t>ABDOUL AL-KASSIM</t>
  </si>
  <si>
    <t>https://myiipea.com/media/etudiant/photo/WhatsApp_Image_2023-10-26_at_12.23.20.jpeg</t>
  </si>
  <si>
    <t>DOUA3007020001</t>
  </si>
  <si>
    <t>https://myiipea.com/media/etudiant/photo/WhatsApp_Image_2023-11-06_at_12.01.08.jpeg</t>
  </si>
  <si>
    <t>DOUA0601020001</t>
  </si>
  <si>
    <t>https://myiipea.com/media/etudiant/photo/WhatsApp_Image_2023-11-09_at_10.49.39_AM.jpeg</t>
  </si>
  <si>
    <t>DOUA0210010001</t>
  </si>
  <si>
    <t>https://myiipea.com/media/etudiant/photo/WhatsApp_Image_2023-10-02_at_10.41.28.jpeg</t>
  </si>
  <si>
    <t>DOUA2510040001</t>
  </si>
  <si>
    <t>ASSITA NOURA</t>
  </si>
  <si>
    <t>https://myiipea.com/media/etudiant/photo/WhatsApp_Image_2023-10-03_at_15.07.30.jpeg</t>
  </si>
  <si>
    <t>DOUF0605010001</t>
  </si>
  <si>
    <t>FODE</t>
  </si>
  <si>
    <t>https://myiipea.com/media/etudiant/photo/WhatsApp_Image_2023-10-06_at_12.29.07.jpeg</t>
  </si>
  <si>
    <t>DOUH1005030001</t>
  </si>
  <si>
    <t>HAMED</t>
  </si>
  <si>
    <t>https://myiipea.com/media/etudiant/photo/WhatsApp_Image_2023-10-16_at_11.48.41.jpeg</t>
  </si>
  <si>
    <t>DOUM2912980001</t>
  </si>
  <si>
    <t>https://myiipea.com/media/etudiant/photo/WhatsApp_Image_2023-10-25_at_2.12.53_PM.jpeg</t>
  </si>
  <si>
    <t>DOUM2308040001</t>
  </si>
  <si>
    <t>https://myiipea.com/media/etudiant/photo/239422487_405915444207421_8131329350063382999_n_kzpQNmR.jpg</t>
  </si>
  <si>
    <t>DOUL1002000001</t>
  </si>
  <si>
    <t>https://myiipea.com/media/etudiant/photo/WhatsApp_Image_2023-11-14_at_09.18.02_2.jpeg</t>
  </si>
  <si>
    <t>DOUS2512010001</t>
  </si>
  <si>
    <t>https://myiipea.com/media/etudiant/photo/WhatsApp_Image_2023-11-17_at_11.01.10.jpeg</t>
  </si>
  <si>
    <t>DOUA1010030001</t>
  </si>
  <si>
    <t>DOUTI</t>
  </si>
  <si>
    <t>ANGE LEDIE BERENICE</t>
  </si>
  <si>
    <t>https://myiipea.com/media/etudiant/photo/WhatsApp_Image_2023-10-25_at_10.00.16.jpeg</t>
  </si>
  <si>
    <t>DOUH1909040001</t>
  </si>
  <si>
    <t>DOUYOU</t>
  </si>
  <si>
    <t>HONOZERE MARIE GRACE-FIACRE</t>
  </si>
  <si>
    <t>https://myiipea.com/media/etudiant/photo/WhatsApp_Image_2023-10-13_at_11.46.37.jpeg</t>
  </si>
  <si>
    <t>DRAC1012000001</t>
  </si>
  <si>
    <t>DRABO</t>
  </si>
  <si>
    <t>https://myiipea.com/media/etudiant/photo/WhatsApp_Image_2023-09-19_at_11.09.02.jpeg</t>
  </si>
  <si>
    <t>DRAM0808010001</t>
  </si>
  <si>
    <t>https://myiipea.com/media/etudiant/photo/WhatsApp_Image_2023-10-05_at_18.52.32.jpeg</t>
  </si>
  <si>
    <t>DRAA0107000001</t>
  </si>
  <si>
    <t>DRAME</t>
  </si>
  <si>
    <t>ABOUDOU KARIM</t>
  </si>
  <si>
    <t>https://myiipea.com/media/etudiant/photo/WhatsApp_Image_2023-10-13_at_16.08.28.jpeg</t>
  </si>
  <si>
    <t>DRAL2012020001</t>
  </si>
  <si>
    <t>LADJI</t>
  </si>
  <si>
    <t>https://myiipea.com/media/etudiant/photo/WhatsApp_Image_2023-10-04_at_16.22.13.jpeg</t>
  </si>
  <si>
    <t>DRAK1004990001</t>
  </si>
  <si>
    <t>DRAMENA</t>
  </si>
  <si>
    <t>https://myiipea.com/media/etudiant/photo/WhatsApp_Image_2023-11-27_at_2.22.38_PM.jpeg</t>
  </si>
  <si>
    <t>DRAS2111020001</t>
  </si>
  <si>
    <t>DRAMERA</t>
  </si>
  <si>
    <t>SIGA KIAH</t>
  </si>
  <si>
    <t>https://myiipea.com/media/etudiant/photo/WhatsApp_Image_2023-10-09_at_17.24.55.jpeg</t>
  </si>
  <si>
    <t>DRES0503050001</t>
  </si>
  <si>
    <t>DREBO</t>
  </si>
  <si>
    <t>SERIDA NAOMI NANCY</t>
  </si>
  <si>
    <t>https://myiipea.com/media/etudiant/photo/WhatsApp_Image_2023-10-11_at_13.59.06.jpeg</t>
  </si>
  <si>
    <t>DRIG3006040001</t>
  </si>
  <si>
    <t>DRIGA</t>
  </si>
  <si>
    <t>GAHIE JEAN EMMANUEL</t>
  </si>
  <si>
    <t>https://myiipea.com/media/etudiant/photo/WhatsApp_Image_2023-10-13_at_17.47.44.jpeg</t>
  </si>
  <si>
    <t>DUBF1506040001</t>
  </si>
  <si>
    <t>DUBY</t>
  </si>
  <si>
    <t>FRANCK REGIS</t>
  </si>
  <si>
    <t>https://myiipea.com/media/etudiant/photo/WhatsApp_Image_2023-10-18_at_13.28.39.jpeg</t>
  </si>
  <si>
    <t>DZAA1702040001</t>
  </si>
  <si>
    <t>DZAKESSOU</t>
  </si>
  <si>
    <t>AMA EMMANUELLE</t>
  </si>
  <si>
    <t>https://myiipea.com/media/etudiant/photo/WhatsApp_Image_2023-09-29_at_18.00.38.jpeg</t>
  </si>
  <si>
    <t>EBAD1205050001</t>
  </si>
  <si>
    <t>EBA</t>
  </si>
  <si>
    <t>DJEDOU BRUNO</t>
  </si>
  <si>
    <t>https://myiipea.com/media/etudiant/photo/WhatsApp_Image_2023-10-13_at_16.10.39.jpeg</t>
  </si>
  <si>
    <t>EBRA0512040001</t>
  </si>
  <si>
    <t>EBROTIE</t>
  </si>
  <si>
    <t>AGBOMAN ANGE SYNTHYCHE</t>
  </si>
  <si>
    <t>https://myiipea.com/media/etudiant/photo/WhatsApp_Image_2023-10-28_at_13.26.33.jpeg</t>
  </si>
  <si>
    <t>EBYA0501050001</t>
  </si>
  <si>
    <t>EBY</t>
  </si>
  <si>
    <t>AMENAN MARIE-BELLE</t>
  </si>
  <si>
    <t>https://myiipea.com/media/etudiant/photo/WhatsApp_Image_2023-11-16_at_09_resized.png</t>
  </si>
  <si>
    <t>EBYY2802020001</t>
  </si>
  <si>
    <t>YAH HEDOXY</t>
  </si>
  <si>
    <t>https://myiipea.com/media/etudiant/photo/WhatsApp_Image_2023-10-03_at_11.14.56_AM_E4BEmu3.jpeg</t>
  </si>
  <si>
    <t>ECRE1601990001</t>
  </si>
  <si>
    <t>ECRISTIN</t>
  </si>
  <si>
    <t>EMMANUEL AIME</t>
  </si>
  <si>
    <t>https://myiipea.com/media/etudiant/photo/WhatsApp_Image_2023-11-02_at_09.24.16.jpeg</t>
  </si>
  <si>
    <t>EDEA0804040002</t>
  </si>
  <si>
    <t>EDE</t>
  </si>
  <si>
    <t>AKA ABA GRACE CECILE</t>
  </si>
  <si>
    <t>https://myiipea.com/media/etudiant/photo/WhatsApp_Image_2023-10-24_at_3.30.09_PM.jpeg</t>
  </si>
  <si>
    <t>EDIN0512020001</t>
  </si>
  <si>
    <t>EDI</t>
  </si>
  <si>
    <t>N'TAMON JEAN JAURES</t>
  </si>
  <si>
    <t>https://myiipea.com/media/etudiant/photo/WhatsApp_Image_2023-10-24_at_1.09.34_PM.jpeg</t>
  </si>
  <si>
    <t>EDOM0611010001</t>
  </si>
  <si>
    <t>EDOU</t>
  </si>
  <si>
    <t>MARCOS CREPIN</t>
  </si>
  <si>
    <t>https://myiipea.com/media/etudiant/photo/WhatsApp_Image_2023-10-18_at_11.49.07.jpeg</t>
  </si>
  <si>
    <t>EFFA0304040001</t>
  </si>
  <si>
    <t>EFFOUSSOU</t>
  </si>
  <si>
    <t>AFFOUA JULIETTE</t>
  </si>
  <si>
    <t>https://myiipea.com/media/etudiant/photo/WhatsApp_Image_2023-11-17_at_14.01.57.jpeg</t>
  </si>
  <si>
    <t>EGBJ0301050001</t>
  </si>
  <si>
    <t>EGBUNA</t>
  </si>
  <si>
    <t>JEDIDIAH SOMTOCHUKWU</t>
  </si>
  <si>
    <t>https://myiipea.com/media/etudiant/photo/photo_lrRPX46.jpg</t>
  </si>
  <si>
    <t>EGBS2606020001</t>
  </si>
  <si>
    <t>SAMUEL CHIMDIDU</t>
  </si>
  <si>
    <t>https://myiipea.com/media/etudiant/photo/CHIMDIDU.jpg</t>
  </si>
  <si>
    <t>EGNI1403040001</t>
  </si>
  <si>
    <t>EGNONNISSE</t>
  </si>
  <si>
    <t>INNOCENT CONSTANT</t>
  </si>
  <si>
    <t>https://myiipea.com/media/etudiant/photo/WhatsApp_Image_2023-10-23_at_09.39.31.jpeg</t>
  </si>
  <si>
    <t>EGUE1005020001</t>
  </si>
  <si>
    <t>EGUE</t>
  </si>
  <si>
    <t>ESSIS LASME CHRISTIAN EMMANUEL</t>
  </si>
  <si>
    <t>https://myiipea.com/media/etudiant/photo/WhatsApp_Image_2023-10-14_at_10.21.00.jpeg</t>
  </si>
  <si>
    <t>EHOD0312050001</t>
  </si>
  <si>
    <t>EHOMIN</t>
  </si>
  <si>
    <t>DAVID CHRIST MICHAEL</t>
  </si>
  <si>
    <t>https://myiipea.com/media/etudiant/photo/WhatsApp_Image_2023-10-11_at_11.55.58.jpeg</t>
  </si>
  <si>
    <t>EHON2011000001</t>
  </si>
  <si>
    <t>EHOULAN</t>
  </si>
  <si>
    <t>NOGBOU JUNIOR ELVIS JEROME</t>
  </si>
  <si>
    <t>https://myiipea.com/media/etudiant/photo/WhatsApp_Image_2023-11-14_at_11.33.49.jpeg</t>
  </si>
  <si>
    <t>EHOL0110040001</t>
  </si>
  <si>
    <t>EHOULI</t>
  </si>
  <si>
    <t>LOU ANNE-ESTHER</t>
  </si>
  <si>
    <t>https://myiipea.com/media/etudiant/photo/WhatsApp_Image_2023-10-13_at_3.31.30_PM.jpeg</t>
  </si>
  <si>
    <t>EHOA1010060002</t>
  </si>
  <si>
    <t>EHOUMAN</t>
  </si>
  <si>
    <t>AFFIA EMMA JESSICA</t>
  </si>
  <si>
    <t>https://myiipea.com/media/etudiant/photo/WhatsApp_Image_2023-10-30_at_14.05.01_KXrMoHp.jpeg</t>
  </si>
  <si>
    <t>EHOE2806030001</t>
  </si>
  <si>
    <t>EHOUMAN AKA NICOLAS</t>
  </si>
  <si>
    <t>https://myiipea.com/media/etudiant/photo/WhatsApp_Image_2023-10-20_at_13.14.54.jpeg</t>
  </si>
  <si>
    <t>EHOG0806040001</t>
  </si>
  <si>
    <t>GNANGON SANDRINE ESTHER</t>
  </si>
  <si>
    <t>https://myiipea.com/media/etudiant/photo/WhatsApp_Image_2023-10-05_at_09.43.02.jpeg</t>
  </si>
  <si>
    <t>EHOG0603000001</t>
  </si>
  <si>
    <t>GNANGOUAN LETITIA HERMINE</t>
  </si>
  <si>
    <t>https://myiipea.com/media/etudiant/photo/WhatsApp_Image_2023-10-24_at_13.15.21.jpeg</t>
  </si>
  <si>
    <t>EHOG0211050001</t>
  </si>
  <si>
    <t>GRACE EMMANUELLA</t>
  </si>
  <si>
    <t>https://myiipea.com/media/etudiant/photo/WhatsApp_Image_2023-10-09_at_16.06.52.jpeg</t>
  </si>
  <si>
    <t>EHOG1206040001</t>
  </si>
  <si>
    <t>EHOUNOU</t>
  </si>
  <si>
    <t>GRACE MAGUY SARAH</t>
  </si>
  <si>
    <t>https://myiipea.com/media/etudiant/photo/WhatsApp_Image_2023-11-02_at_11.51.13.jpeg</t>
  </si>
  <si>
    <t>EHOT0401020002</t>
  </si>
  <si>
    <t>EHOUO</t>
  </si>
  <si>
    <t>TCHIMANDAN KINGBA DAVID</t>
  </si>
  <si>
    <t>https://myiipea.com/media/etudiant/photo/WhatsApp_Image_2023-11-20_at_12.53.49_PM_1.jpeg</t>
  </si>
  <si>
    <t>EHOT0401050001</t>
  </si>
  <si>
    <t>TCHIMANDAN SIDJE GRACE-ESTHER</t>
  </si>
  <si>
    <t>https://myiipea.com/media/etudiant/photo/ee805a7a-bd0f-4cfc-a70e-cbab604ca96a_W73K3cY.jpeg</t>
  </si>
  <si>
    <t>EHUM2011060002</t>
  </si>
  <si>
    <t>EHU</t>
  </si>
  <si>
    <t>MANNOU CHRIST MARIE LYNN</t>
  </si>
  <si>
    <t>https://myiipea.com/media/etudiant/photo/WhatsApp_Image_2023-10-23_at_15.22.59_4_aeCcMT9.jpeg</t>
  </si>
  <si>
    <t>EHUN0905070001</t>
  </si>
  <si>
    <t>EHUI</t>
  </si>
  <si>
    <t>N'GORAN MARIE-CHRISTABELLE OMBELINE</t>
  </si>
  <si>
    <t>https://myiipea.com/media/etudiant/photo/WhatsApp_Image_2023-09-20_at_14.53.51.jpeg</t>
  </si>
  <si>
    <t>EHUO2004050001</t>
  </si>
  <si>
    <t>EHUIE</t>
  </si>
  <si>
    <t>ORIANE ANGE BEATRICE</t>
  </si>
  <si>
    <t>https://myiipea.com/media/etudiant/photo/WhatsApp_Image_2023-11-13_at_14.38.09.jpeg</t>
  </si>
  <si>
    <t>EJIP2306050001</t>
  </si>
  <si>
    <t>EJIKUNLE</t>
  </si>
  <si>
    <t>PRECIOUS ELIJAH</t>
  </si>
  <si>
    <t>https://myiipea.com/media/etudiant/photo/WhatsApp_Image_2023-10-02_at_09.55.48.jpeg</t>
  </si>
  <si>
    <t>EKOJ2305990001</t>
  </si>
  <si>
    <t>EKOU</t>
  </si>
  <si>
    <t>JUNIOR CHARLEMAGNE</t>
  </si>
  <si>
    <t>https://myiipea.com/media/etudiant/photo/WhatsApp_Image_2023-10-03_at_14.03.31.jpeg</t>
  </si>
  <si>
    <t>EKPM1301030001</t>
  </si>
  <si>
    <t>EKPINI</t>
  </si>
  <si>
    <t>MESSOU GRACE VICTORIA</t>
  </si>
  <si>
    <t>https://myiipea.com/media/etudiant/photo/1CED1F85-BF1C-4449-900D-EA887DA717F0_resized.png</t>
  </si>
  <si>
    <t>EKRA1109050001</t>
  </si>
  <si>
    <t>EKRA</t>
  </si>
  <si>
    <t>ADOU YAH CHARLENE</t>
  </si>
  <si>
    <t>https://myiipea.com/media/etudiant/photo/WhatsApp_Image_2023-10-06_at_10.00.41.jpeg</t>
  </si>
  <si>
    <t>EKRA2504030002</t>
  </si>
  <si>
    <t>AYA SARAH AXELLE MORELLE</t>
  </si>
  <si>
    <t>https://myiipea.com/media/etudiant/photo/WhatsApp_Image_2023-09-25_at_15.20.13_7qvr9T6.jpeg</t>
  </si>
  <si>
    <t>EKRK1005030001</t>
  </si>
  <si>
    <t>KANGA LEONTINE</t>
  </si>
  <si>
    <t>https://myiipea.com/media/etudiant/photo/WhatsApp_Image_2023-11-02_at_12.03.22.jpeg</t>
  </si>
  <si>
    <t>EKRK1206040001</t>
  </si>
  <si>
    <t>KONIN YAH ANAIS URIELLE</t>
  </si>
  <si>
    <t>https://myiipea.com/media/etudiant/photo/WhatsApp_Image_2023-09-25_at_14.43.22.jpeg</t>
  </si>
  <si>
    <t>EKRK2703040001</t>
  </si>
  <si>
    <t>KOUASSI FREDERIK EMMANUEL</t>
  </si>
  <si>
    <t>https://myiipea.com/media/etudiant/photo/WhatsApp_Image_2023-10-13_at_2.11.15_PM.jpeg</t>
  </si>
  <si>
    <t>EKRN0411040001</t>
  </si>
  <si>
    <t>NATTA LESLIE</t>
  </si>
  <si>
    <t>https://myiipea.com/media/etudiant/photo/WhatsApp_Image_2023-10-03_at_15.08.13.jpeg</t>
  </si>
  <si>
    <t>EKRY0103020001</t>
  </si>
  <si>
    <t>YAHA CLEMENCE</t>
  </si>
  <si>
    <t>https://myiipea.com/media/etudiant/photo/WhatsApp_Image_2023-11-06_at_12.40.14_1.jpeg</t>
  </si>
  <si>
    <t>ELAB2003980001</t>
  </si>
  <si>
    <t>ELADJI</t>
  </si>
  <si>
    <t>BAMBA FALIKOU</t>
  </si>
  <si>
    <t>https://myiipea.com/media/etudiant/photo/WhatsApp_Image_2023-10-10_at_08.54.28.jpeg</t>
  </si>
  <si>
    <t>ELLE0703030001</t>
  </si>
  <si>
    <t>ELLA</t>
  </si>
  <si>
    <t>ELISABETH AUDE-MARLENE</t>
  </si>
  <si>
    <t>https://myiipea.com/media/etudiant/photo/WhatsApp_Image_2023-10-03_at_17.31.16_1.jpeg</t>
  </si>
  <si>
    <t>ELOE2409040001</t>
  </si>
  <si>
    <t>ELOGNE</t>
  </si>
  <si>
    <t>EDIEMOU WOMA ELISABETH CYNTHIA</t>
  </si>
  <si>
    <t>https://myiipea.com/media/etudiant/photo/WhatsApp_Image_2023-09-25_%C3%A0_15.20.44.jpg</t>
  </si>
  <si>
    <t>ELOA2406050001</t>
  </si>
  <si>
    <t>ELOYE</t>
  </si>
  <si>
    <t>AMALAMAN TANOH AUDE MARION</t>
  </si>
  <si>
    <t>https://myiipea.com/media/etudiant/photo/WhatsApp_Image_2023-10-03_at_08.11.06.jpeg</t>
  </si>
  <si>
    <t>EMII2610040001</t>
  </si>
  <si>
    <t>EMIONWELE</t>
  </si>
  <si>
    <t>IBHA GBEMEN</t>
  </si>
  <si>
    <t>https://myiipea.com/media/etudiant/photo/WhatsApp_Image_2023-09-26_at_11.58.56.jpeg</t>
  </si>
  <si>
    <t>EMUG3010050001</t>
  </si>
  <si>
    <t>EMUMEJAYE</t>
  </si>
  <si>
    <t>GRACE ROSEMARY</t>
  </si>
  <si>
    <t>https://myiipea.com/media/etudiant/photo/WhatsApp_Image_2023-10-10_at_13.54.12.jpeg</t>
  </si>
  <si>
    <t>EPEB3101000001</t>
  </si>
  <si>
    <t>EPEKOU</t>
  </si>
  <si>
    <t>BENJAMIN ROLAND</t>
  </si>
  <si>
    <t>https://myiipea.com/media/etudiant/photo/WhatsApp_Image_2023-10-26_at_12.21.39.jpeg</t>
  </si>
  <si>
    <t>EPKM1809010001</t>
  </si>
  <si>
    <t>EPKARE</t>
  </si>
  <si>
    <t>MOUSSOUMA DEBORAH</t>
  </si>
  <si>
    <t>https://myiipea.com/media/etudiant/photo/WhatsApp_Image_2023-10-17_at_13.56.48.jpeg</t>
  </si>
  <si>
    <t>EPOD0302040001</t>
  </si>
  <si>
    <t>EPONON</t>
  </si>
  <si>
    <t>DOUNIA EMMANUELLA AMAH</t>
  </si>
  <si>
    <t>https://myiipea.com/media/etudiant/photo/WhatsApp_Image_2023-10-06_at_10.53.55.jpeg</t>
  </si>
  <si>
    <t>EPOE1504020001</t>
  </si>
  <si>
    <t>EHORA DAVID</t>
  </si>
  <si>
    <t>https://myiipea.com/media/etudiant/photo/WhatsApp_Image_2023-11-13_at_15.41.31.jpeg</t>
  </si>
  <si>
    <t>EROD2107000001</t>
  </si>
  <si>
    <t>EROA</t>
  </si>
  <si>
    <t>DJAHA CARINE CHIMENE</t>
  </si>
  <si>
    <t>https://myiipea.com/media/etudiant/photo/56c65956-2254-4f70-b548-475435052dea-removebg-preview.png</t>
  </si>
  <si>
    <t>ESSE0207000001</t>
  </si>
  <si>
    <t>ESSABA</t>
  </si>
  <si>
    <t>ERIC JUNIOR</t>
  </si>
  <si>
    <t>https://myiipea.com/media/etudiant/photo/WhatsApp_Image_2023-10-03_at_17.43.26.jpeg</t>
  </si>
  <si>
    <t>ESSA1212030001</t>
  </si>
  <si>
    <t>ESSAIHI</t>
  </si>
  <si>
    <t>AFFOUE PENIELLLE DORELLE</t>
  </si>
  <si>
    <t>https://myiipea.com/media/etudiant/photo/WhatsApp_Image_2023-10-12_at_10.49.10.jpeg</t>
  </si>
  <si>
    <t>ESSK1507050001</t>
  </si>
  <si>
    <t>ESSAN</t>
  </si>
  <si>
    <t>KOUAKOU EZECHIEL</t>
  </si>
  <si>
    <t>https://myiipea.com/media/etudiant/photo/WhatsApp_Image_2023-09-29_at_11.20.30.jpeg</t>
  </si>
  <si>
    <t>ESSY1512050001</t>
  </si>
  <si>
    <t>ESSIMEL</t>
  </si>
  <si>
    <t>YEHI GRACE JUDITH ESTELLE</t>
  </si>
  <si>
    <t>https://myiipea.com/media/etudiant/photo/WhatsApp_Image_2023-09-26_at_12.01.27.jpeg</t>
  </si>
  <si>
    <t>ESSY1512050002</t>
  </si>
  <si>
    <t>YOWEL MARIE ESTHER IMMACULEE</t>
  </si>
  <si>
    <t>https://myiipea.com/media/etudiant/photo/IMMACULEE.jpg</t>
  </si>
  <si>
    <t>ESSM2310050001</t>
  </si>
  <si>
    <t>ESSIN</t>
  </si>
  <si>
    <t>MELENE JEAN JAURES</t>
  </si>
  <si>
    <t>https://myiipea.com/media/etudiant/photo/WhatsApp_Image_2023-10-06_at_15.56.15.jpeg</t>
  </si>
  <si>
    <t>ESSE0505030001</t>
  </si>
  <si>
    <t>ESSIS</t>
  </si>
  <si>
    <t>ESMEL MELIOU MICHELLE CONCHITA</t>
  </si>
  <si>
    <t>https://myiipea.com/media/etudiant/photo/WhatsApp_Image_2023-10-05_at_13.11.29.jpeg</t>
  </si>
  <si>
    <t>ESSC2203060001</t>
  </si>
  <si>
    <t>ESSOH</t>
  </si>
  <si>
    <t>CHRIST LYVAN CORNEILLE</t>
  </si>
  <si>
    <t>https://myiipea.com/media/etudiant/photo/t%C3%A9l%C3%A9chargement_PmptM8K.png</t>
  </si>
  <si>
    <t>ESSY2505030001</t>
  </si>
  <si>
    <t>YEDESS HEGN ESS EMMANUEL</t>
  </si>
  <si>
    <t>https://myiipea.com/media/etudiant/photo/WhatsApp_Image_2023-09-29_at_10.01.03.jpeg</t>
  </si>
  <si>
    <t>ESSF1403020001</t>
  </si>
  <si>
    <t>ESSOUBO</t>
  </si>
  <si>
    <t>FATOU SEPHORA EMMANUELLE</t>
  </si>
  <si>
    <t>https://myiipea.com/media/etudiant/photo/WhatsApp_Image_2023-10-20_at_15.46.15.jpeg</t>
  </si>
  <si>
    <t>ETES2112030001</t>
  </si>
  <si>
    <t>ETEKRI</t>
  </si>
  <si>
    <t>STEPHANIE</t>
  </si>
  <si>
    <t>https://myiipea.com/media/etudiant/photo/WhatsApp_Image_2023-10-09_at_10.02.31.jpeg</t>
  </si>
  <si>
    <t>ETIN0908020001</t>
  </si>
  <si>
    <t>ETIEN</t>
  </si>
  <si>
    <t>N'GUESSAN RUFINE</t>
  </si>
  <si>
    <t>https://myiipea.com/media/etudiant/photo/WhatsApp_Image_2023-10-02_at_17.13.07.jpeg</t>
  </si>
  <si>
    <t>ETOP0104080001</t>
  </si>
  <si>
    <t>ETOWA</t>
  </si>
  <si>
    <t>PRAISE GODSPOWER</t>
  </si>
  <si>
    <t>https://myiipea.com/media/etudiant/photo/WhatsApp_Image_2023-10-31_at_12.58.05.jpeg</t>
  </si>
  <si>
    <t>ETTA1511010001</t>
  </si>
  <si>
    <t>ETTIEN</t>
  </si>
  <si>
    <t>AMANI DESIRE</t>
  </si>
  <si>
    <t>https://myiipea.com/media/etudiant/photo/WhatsApp_Image_2023-10-13_at_11.38.13.jpeg</t>
  </si>
  <si>
    <t>ETTA0602050002</t>
  </si>
  <si>
    <t>ANOH GUY ROLAND EMMANUEL</t>
  </si>
  <si>
    <t>https://myiipea.com/media/etudiant/photo/WhatsApp_Image_2023-09-21_%C3%A0_10.43.58.jpg</t>
  </si>
  <si>
    <t>ETTK2008010001</t>
  </si>
  <si>
    <t>KADY NICOLE</t>
  </si>
  <si>
    <t>https://myiipea.com/media/etudiant/photo/WhatsApp_Image_2023-10-17_at_13.24.31.jpeg</t>
  </si>
  <si>
    <t>ETTK2612030001</t>
  </si>
  <si>
    <t>KOUADIO HIPPOLYTE</t>
  </si>
  <si>
    <t>https://myiipea.com/media/etudiant/photo/WhatsApp_Image_2023-11-17_at_11.39.54.jpeg</t>
  </si>
  <si>
    <t>ETTP2305030001</t>
  </si>
  <si>
    <t>PAUL BARNABE</t>
  </si>
  <si>
    <t>https://myiipea.com/media/etudiant/photo/WhatsApp_Image_2023-10-11_at_15.34.45.jpeg</t>
  </si>
  <si>
    <t>EWUN1407030001</t>
  </si>
  <si>
    <t>EWUSSI</t>
  </si>
  <si>
    <t>N'GUESSAN JACQUELLINE LIA ESTHER</t>
  </si>
  <si>
    <t>https://myiipea.com/media/etudiant/photo/WhatsApp_Image_2023-09-29_at_12.48.26.jpeg</t>
  </si>
  <si>
    <t>EZAY0509040001</t>
  </si>
  <si>
    <t>EZALE</t>
  </si>
  <si>
    <t>YEMISSA ASSOBLA HOD ANNAELLE</t>
  </si>
  <si>
    <t>https://myiipea.com/media/etudiant/photo/WhatsApp_Image_2023-10-14_at_14.03.36.jpeg</t>
  </si>
  <si>
    <t>EZAN3009000001</t>
  </si>
  <si>
    <t>EZAN</t>
  </si>
  <si>
    <t>NIAMKE AMAN EMMANUEL</t>
  </si>
  <si>
    <t>https://myiipea.com/media/etudiant/photo/WhatsApp_Image_2023-10-24_at_15.57.35.jpeg</t>
  </si>
  <si>
    <t>FADA0301010001</t>
  </si>
  <si>
    <t>FADIGA</t>
  </si>
  <si>
    <t>ADJA MARIAM DOUBASS</t>
  </si>
  <si>
    <t>https://myiipea.com/media/etudiant/photo/WhatsApp_Image_2023-10-23_at_14.16.05.jpeg</t>
  </si>
  <si>
    <t>FAES2707020001</t>
  </si>
  <si>
    <t>FAE</t>
  </si>
  <si>
    <t>SEKANDA SIBELLE</t>
  </si>
  <si>
    <t>https://myiipea.com/media/etudiant/photo/WhatsApp_Image_2023-11-20_at_10.40.53.jpeg</t>
  </si>
  <si>
    <t>FAHS1812020001</t>
  </si>
  <si>
    <t>FAHE</t>
  </si>
  <si>
    <t>SEA ELFRIED ARMAND DESIRE</t>
  </si>
  <si>
    <t>https://myiipea.com/media/etudiant/photo/WhatsApp_Image_2023-10-13_at_12.04.55.jpeg</t>
  </si>
  <si>
    <t>FAIB1812990001</t>
  </si>
  <si>
    <t>FAINA</t>
  </si>
  <si>
    <t>BOINARIZIKI SIAKA</t>
  </si>
  <si>
    <t>https://myiipea.com/media/etudiant/photo/WhatsApp_Image_2023-11-29_at_09.11.07.jpeg</t>
  </si>
  <si>
    <t>FANH0104020001</t>
  </si>
  <si>
    <t>FANE</t>
  </si>
  <si>
    <t>HALASSANE REGIS DIMITRI</t>
  </si>
  <si>
    <t>https://myiipea.com/media/etudiant/photo/WhatsApp_Image_2023-11-30_at_4_resized.png</t>
  </si>
  <si>
    <t>FANB2110030001</t>
  </si>
  <si>
    <t>FANNY</t>
  </si>
  <si>
    <t>BAKARY JUNIOR</t>
  </si>
  <si>
    <t>https://myiipea.com/media/etudiant/photo/WhatsApp_Image_2023-10-06_at_10.18.35.jpeg</t>
  </si>
  <si>
    <t>FANF0409030001</t>
  </si>
  <si>
    <t>FATOUMATA YELLIE</t>
  </si>
  <si>
    <t>https://myiipea.com/media/etudiant/photo/WhatsApp_Image_2023-10-31_at_15.45.37.jpeg</t>
  </si>
  <si>
    <t>FANS3004040001</t>
  </si>
  <si>
    <t>https://myiipea.com/media/etudiant/photo/WhatsApp_Image_2023-10-03_at_15.17.28.jpeg</t>
  </si>
  <si>
    <t>FANY1410030001</t>
  </si>
  <si>
    <t>YEHAWORO BIBAH JEAN EMMANUEL</t>
  </si>
  <si>
    <t>https://myiipea.com/media/etudiant/photo/WhatsApp_Image_2023-09-28_at_18.04.43.jpeg</t>
  </si>
  <si>
    <t>FASK0705010001</t>
  </si>
  <si>
    <t>FASSIE</t>
  </si>
  <si>
    <t>KOUASSI KEVIN RICHARD</t>
  </si>
  <si>
    <t>https://myiipea.com/media/etudiant/photo/WhatsApp_Image_2023-11-20_at_13.16.01.jpeg</t>
  </si>
  <si>
    <t>FAYA0208040001</t>
  </si>
  <si>
    <t>FAYE</t>
  </si>
  <si>
    <t>ADY BROU MICHEL</t>
  </si>
  <si>
    <t>https://myiipea.com/media/etudiant/photo/t%C3%A9l%C3%A9charg%C3%A9_LDCDSyO.jpeg</t>
  </si>
  <si>
    <t>FAYC2003050001</t>
  </si>
  <si>
    <t>CHRIS PATERNE</t>
  </si>
  <si>
    <t>https://myiipea.com/media/etudiant/photo/WhatsApp_Image_2023-10-02_at_15.59.13.jpeg</t>
  </si>
  <si>
    <t>FAYR0107050001</t>
  </si>
  <si>
    <t>ROKHAYA JHAMILA</t>
  </si>
  <si>
    <t>https://myiipea.com/media/etudiant/photo/WhatsApp_Image_2023-09-29_at_11.12.01.jpeg</t>
  </si>
  <si>
    <t>FIEA2010010001</t>
  </si>
  <si>
    <t>FIENI</t>
  </si>
  <si>
    <t>AMA GRACE VICTOIRE</t>
  </si>
  <si>
    <t>https://myiipea.com/media/etudiant/photo/WhatsApp_Image_2023-10-16_at_3.16.49_PM.jpeg</t>
  </si>
  <si>
    <t>FIEB2311000001</t>
  </si>
  <si>
    <t>FIERO</t>
  </si>
  <si>
    <t>BERTIN</t>
  </si>
  <si>
    <t>https://myiipea.com/media/etudiant/photo/WhatsApp_Image_2023-10-11_at_13_resized.png</t>
  </si>
  <si>
    <t>FIOA2407020001</t>
  </si>
  <si>
    <t>FIOKPONOU</t>
  </si>
  <si>
    <t>AKOUVI GRACE ELISABETH FLEUR</t>
  </si>
  <si>
    <t>https://myiipea.com/media/etudiant/photo/WhatsApp_Image_2023-10-30_at_11.35.23.jpeg</t>
  </si>
  <si>
    <t>FODA0209020001</t>
  </si>
  <si>
    <t>FODJO</t>
  </si>
  <si>
    <t>ADJA MAELYS ELVIRE CARMEN</t>
  </si>
  <si>
    <t>https://myiipea.com/media/etudiant/photo/WhatsApp_Image_2023-09-28_at_08.34.06.jpeg</t>
  </si>
  <si>
    <t>FODN0303040001</t>
  </si>
  <si>
    <t>N'DA KOUADIO YVES</t>
  </si>
  <si>
    <t>https://myiipea.com/media/etudiant/photo/WhatsApp_Image_2023-10-03_at_13_resized.png</t>
  </si>
  <si>
    <t>FOFA2104020001</t>
  </si>
  <si>
    <t>FOFANA</t>
  </si>
  <si>
    <t>ABDEL ASTOU AFOUSSATA</t>
  </si>
  <si>
    <t>https://myiipea.com/media/etudiant/photo/FOFANA.jpg</t>
  </si>
  <si>
    <t>FOFA1211030001</t>
  </si>
  <si>
    <t>https://myiipea.com/media/etudiant/photo/WhatsApp_Image_2023-10-26_at_13.49.33.jpeg</t>
  </si>
  <si>
    <t>FOFA1707010001</t>
  </si>
  <si>
    <t>https://myiipea.com/media/etudiant/photo/WhatsApp_Image_2023-10-10_at_12.29.17.jpeg</t>
  </si>
  <si>
    <t>FOFA1002050001</t>
  </si>
  <si>
    <t>AFFOUSSIATA  ANTA SAMIRA</t>
  </si>
  <si>
    <t>https://myiipea.com/media/etudiant/photo/WhatsApp_Image_2023-10-23_at_16.00.32.jpeg</t>
  </si>
  <si>
    <t>FOFB1804040001</t>
  </si>
  <si>
    <t>BEN SOUHALO</t>
  </si>
  <si>
    <t>https://myiipea.com/media/etudiant/photo/WhatsApp_Image_2023-11-20_at_4.58.52_PM.jpeg</t>
  </si>
  <si>
    <t>FOFC2511010001</t>
  </si>
  <si>
    <t>CATHIE MARIE REINE</t>
  </si>
  <si>
    <t>https://myiipea.com/media/etudiant/photo/WhatsApp_Image_2023-11-17_at_10.39.52.jpeg</t>
  </si>
  <si>
    <t>FOFE0205030001</t>
  </si>
  <si>
    <t>ESSANE  FATIM</t>
  </si>
  <si>
    <t>https://myiipea.com/media/etudiant/photo/t%C3%A9l%C3%A9chargement_eiXzlKe.png</t>
  </si>
  <si>
    <t>FOFF0811030001</t>
  </si>
  <si>
    <t>FANDA</t>
  </si>
  <si>
    <t>https://myiipea.com/media/etudiant/photo/WhatsApp_Image_2023-11-13_at_1.46.13_PM.jpeg</t>
  </si>
  <si>
    <t>FOFF2702050001</t>
  </si>
  <si>
    <t>FAOUZYA ZAINAB</t>
  </si>
  <si>
    <t>https://myiipea.com/media/etudiant/photo/WhatsApp_Image_2023-10-06_at_14.37.45.jpeg</t>
  </si>
  <si>
    <t>FOFF0205050001</t>
  </si>
  <si>
    <t>FATOUMATA BINTOU</t>
  </si>
  <si>
    <t>https://myiipea.com/media/etudiant/photo/WhatsApp_Image_2023-11-13_at_4.39.40_PM.jpeg</t>
  </si>
  <si>
    <t>FOFH0810040002</t>
  </si>
  <si>
    <t>https://myiipea.com/media/etudiant/photo/WhatsApp_Image_2023-09-29_at_13_resized.png</t>
  </si>
  <si>
    <t>FOFK0312040002</t>
  </si>
  <si>
    <t>KOURA</t>
  </si>
  <si>
    <t>https://myiipea.com/media/etudiant/photo/WhatsApp_Image_2023-10-27_at_10.06.40_1_JQdmXxr.jpeg</t>
  </si>
  <si>
    <t>FOFM0110020001</t>
  </si>
  <si>
    <t>https://myiipea.com/media/etudiant/photo/WhatsApp_Image_2023-10-23_at_11.12.03.jpeg</t>
  </si>
  <si>
    <t>FOFM0303040001</t>
  </si>
  <si>
    <t>https://myiipea.com/media/etudiant/photo/WhatsApp_Image_2023-10-20_at_12.18.22.jpeg</t>
  </si>
  <si>
    <t>FOFM1404040001</t>
  </si>
  <si>
    <t>MATAGALY YASMINE</t>
  </si>
  <si>
    <t>https://myiipea.com/media/etudiant/photo/WhatsApp_Image_2023-10-27_at_13.06.58.jpeg</t>
  </si>
  <si>
    <t>FOFM2010010001</t>
  </si>
  <si>
    <t>MEYRICK</t>
  </si>
  <si>
    <t>https://myiipea.com/media/etudiant/photo/WhatsApp_Image_2023-11-13_at_11.03.08.jpeg</t>
  </si>
  <si>
    <t>FOFM1309030001</t>
  </si>
  <si>
    <t>MOHAMED KATAHONAKOU</t>
  </si>
  <si>
    <t>https://myiipea.com/media/etudiant/photo/WhatsApp_Image_2023-10-05_at_15.07.19.jpeg</t>
  </si>
  <si>
    <t>FOFM3012020001</t>
  </si>
  <si>
    <t>MOUSTAPHA BEN INZA</t>
  </si>
  <si>
    <t>https://myiipea.com/media/etudiant/photo/WhatsApp_Image_2023-11-14_at_15.18.30.jpeg</t>
  </si>
  <si>
    <t>FOFN2610030001</t>
  </si>
  <si>
    <t>NAKARIDJA NELLY DARA</t>
  </si>
  <si>
    <t>https://myiipea.com/media/etudiant/photo/WhatsApp_Image_2023-10-16_at_17.46.32.jpeg</t>
  </si>
  <si>
    <t>FOFN2604050001</t>
  </si>
  <si>
    <t>NASSI</t>
  </si>
  <si>
    <t>https://myiipea.com/media/etudiant/photo/WhatsApp_Image_2023-10-10_at_12.51.30.jpeg</t>
  </si>
  <si>
    <t>FOFN1912020001</t>
  </si>
  <si>
    <t>NOFERIMA MURIELLE</t>
  </si>
  <si>
    <t>https://myiipea.com/media/etudiant/photo/239422487_405915444207421_8131329350063382999_n_ZykDQ84.jpg</t>
  </si>
  <si>
    <t>FOFP3009010001</t>
  </si>
  <si>
    <t>PEONAMPEYA MARIE-LINE</t>
  </si>
  <si>
    <t>https://myiipea.com/media/etudiant/photo/Logo_EMATECH_o8oSXSU.png</t>
  </si>
  <si>
    <t>FOFS2402060001</t>
  </si>
  <si>
    <t>https://myiipea.com/media/etudiant/photo/WhatsApp_Image_2023-10-04_at_16.35.47.jpeg</t>
  </si>
  <si>
    <t>FOFT0905020001</t>
  </si>
  <si>
    <t>TANOU SALIFOU AZIZ</t>
  </si>
  <si>
    <t>https://myiipea.com/media/etudiant/photo/WhatsApp_Image_2023-10-13_at_11.09.41.jpeg</t>
  </si>
  <si>
    <t>FOFY1512030001</t>
  </si>
  <si>
    <t>YAYA</t>
  </si>
  <si>
    <t>https://myiipea.com/media/etudiant/photo/WhatsApp_Image_2023-10-02_at_7.39.58_PM.jpeg</t>
  </si>
  <si>
    <t>FOFZ0304030001</t>
  </si>
  <si>
    <t>ZEYNAB HAFSATOU SAMYRA</t>
  </si>
  <si>
    <t>https://myiipea.com/media/etudiant/photo/WhatsApp_Image_2023-09-29_at_18.18.28.jpeg</t>
  </si>
  <si>
    <t>FOFK0605020001</t>
  </si>
  <si>
    <t>FOFIE</t>
  </si>
  <si>
    <t>KOUADIO SERGE</t>
  </si>
  <si>
    <t>https://myiipea.com/media/etudiant/photo/WhatsApp_Image_2023-10-09_at_4.37.32_PM.jpeg</t>
  </si>
  <si>
    <t>FOMY1801020001</t>
  </si>
  <si>
    <t>FOMBA</t>
  </si>
  <si>
    <t>https://myiipea.com/media/etudiant/photo/WhatsApp_Image_2023-10-26_at_13.29.56.jpeg</t>
  </si>
  <si>
    <t>FONS2310030001</t>
  </si>
  <si>
    <t>FONHON</t>
  </si>
  <si>
    <t>SIEHI WILFRIED</t>
  </si>
  <si>
    <t>https://myiipea.com/media/etudiant/photo/WhatsApp_Image_2023-10-05_at_10.52.51.jpeg</t>
  </si>
  <si>
    <t>FRAB2402020001</t>
  </si>
  <si>
    <t>FRAN</t>
  </si>
  <si>
    <t>BAHOO STEPHANE</t>
  </si>
  <si>
    <t>https://myiipea.com/media/etudiant/photo/WhatsApp_Image_2023-10-18_at_12.14.03.jpeg</t>
  </si>
  <si>
    <t>FRYK1711040001</t>
  </si>
  <si>
    <t>FRY</t>
  </si>
  <si>
    <t>KOUAKOU FRANCK EMMANUEL</t>
  </si>
  <si>
    <t>https://myiipea.com/media/etudiant/photo/WhatsApp_Image_2023-10-17_at_09.55.03.jpeg</t>
  </si>
  <si>
    <t>GABE1202030001</t>
  </si>
  <si>
    <t>GABA</t>
  </si>
  <si>
    <t>EMMANUEL TRESOR</t>
  </si>
  <si>
    <t>https://myiipea.com/media/etudiant/photo/WhatsApp_Image_2023-09-26_at_16.27.43.jpeg</t>
  </si>
  <si>
    <t>GADE2804030001</t>
  </si>
  <si>
    <t>GADJI</t>
  </si>
  <si>
    <t>EMMANUEL</t>
  </si>
  <si>
    <t>https://myiipea.com/media/etudiant/photo/WhatsApp_Image_2023-10-16_at_10.22.57.jpeg</t>
  </si>
  <si>
    <t>GADT0401020001</t>
  </si>
  <si>
    <t>GADO</t>
  </si>
  <si>
    <t>TIMMONS LOUIS LOSSEV</t>
  </si>
  <si>
    <t>https://myiipea.com/media/etudiant/photo/WhatsApp_Image_2023-09-26_at_14.06.49.jpeg</t>
  </si>
  <si>
    <t>GAGB0206040001</t>
  </si>
  <si>
    <t>GAGNIE</t>
  </si>
  <si>
    <t>BLEANA GRACE</t>
  </si>
  <si>
    <t>https://myiipea.com/media/etudiant/photo/WhatsApp_Image_2023-10-11_at_11.41.53.jpeg</t>
  </si>
  <si>
    <t>GAHK1612020001</t>
  </si>
  <si>
    <t>GAHIE</t>
  </si>
  <si>
    <t>KOKO DEBORAH</t>
  </si>
  <si>
    <t>https://myiipea.com/media/etudiant/photo/WhatsApp_Image_2023-09-29_at_18.28.03.jpeg</t>
  </si>
  <si>
    <t>GAHD0506010001</t>
  </si>
  <si>
    <t>GAHUE</t>
  </si>
  <si>
    <t>DJEME GRACE</t>
  </si>
  <si>
    <t>https://myiipea.com/media/etudiant/photo/WhatsApp_Image_2023-10-13_at_16.16.43.jpeg</t>
  </si>
  <si>
    <t>GAKM2706070001</t>
  </si>
  <si>
    <t>GAKOU</t>
  </si>
  <si>
    <t>https://myiipea.com/media/etudiant/photo/WhatsApp_Image_2023-10-24_at_4.55.19_PM.jpeg</t>
  </si>
  <si>
    <t>GALA0105060001</t>
  </si>
  <si>
    <t>GALLEY</t>
  </si>
  <si>
    <t>ADZO DONWOGAMADE HOLIVIANE</t>
  </si>
  <si>
    <t>https://myiipea.com/media/etudiant/photo/WhatsApp_Image_2023-10-12_at_11.49.04.jpeg</t>
  </si>
  <si>
    <t>GAMO1010040001</t>
  </si>
  <si>
    <t>GAMA</t>
  </si>
  <si>
    <t>OZOUO MADELEINE</t>
  </si>
  <si>
    <t>https://myiipea.com/media/etudiant/photo/WhatsApp_Image_2023-11-02_at_14.46.32.jpeg</t>
  </si>
  <si>
    <t>GANB0101010001</t>
  </si>
  <si>
    <t>GANA</t>
  </si>
  <si>
    <t>BOUREIMA</t>
  </si>
  <si>
    <t>https://myiipea.com/media/etudiant/photo/WhatsApp_Image_2023-11-28_at_11.08.09.jpeg</t>
  </si>
  <si>
    <t>GANH2906000001</t>
  </si>
  <si>
    <t>GANAME</t>
  </si>
  <si>
    <t>HAROUNA</t>
  </si>
  <si>
    <t>https://myiipea.com/media/etudiant/photo/WhatsApp_Image_2023-10-30_at_6.27.44_PM.jpeg</t>
  </si>
  <si>
    <t>GANM2104030001</t>
  </si>
  <si>
    <t>GANEMTORE</t>
  </si>
  <si>
    <t>MARIE PACQUES</t>
  </si>
  <si>
    <t>https://myiipea.com/media/etudiant/photo/WhatsApp_Image_2023-10-10_at_18.42.47_1.jpeg</t>
  </si>
  <si>
    <t>GANP1104040001</t>
  </si>
  <si>
    <t>GANHIE</t>
  </si>
  <si>
    <t>PRINCESSE LOIS</t>
  </si>
  <si>
    <t>https://myiipea.com/media/etudiant/photo/WhatsApp_Image_2023-10-31_at_08.59.55.jpeg</t>
  </si>
  <si>
    <t>GASW2803010001</t>
  </si>
  <si>
    <t>GASAMBE</t>
  </si>
  <si>
    <t>WOROKIATOU</t>
  </si>
  <si>
    <t>https://myiipea.com/media/etudiant/photo/WhatsApp_Image_2023-10-03_at_15.27.11.jpeg</t>
  </si>
  <si>
    <t>GAUS0101040001</t>
  </si>
  <si>
    <t>GAURY</t>
  </si>
  <si>
    <t>SERGES EMMANUEL</t>
  </si>
  <si>
    <t>https://myiipea.com/media/etudiant/photo/WhatsApp_Image_2023-10-23_at_14.44.55.jpeg</t>
  </si>
  <si>
    <t>GAUA1510970001</t>
  </si>
  <si>
    <t>GAUZE</t>
  </si>
  <si>
    <t>ANABELLE GOGUY</t>
  </si>
  <si>
    <t>https://myiipea.com/media/etudiant/photo/WhatsApp_Image_2023-10-02_at_2.14.58_PM.jpeg</t>
  </si>
  <si>
    <t>GAZF0510010001</t>
  </si>
  <si>
    <t>GAZOUA</t>
  </si>
  <si>
    <t>FAGNIDI HYPOILITE</t>
  </si>
  <si>
    <t>https://myiipea.com/media/etudiant/photo/WhatsApp_Image_2023-10-19_at_15.28.54.jpeg</t>
  </si>
  <si>
    <t>GBAA0703030001</t>
  </si>
  <si>
    <t>GBADAMOSI</t>
  </si>
  <si>
    <t>AISATU IYABO</t>
  </si>
  <si>
    <t>https://myiipea.com/media/etudiant/photo/WhatsApp_Image_2023-10-02_at_16.14.24.jpeg</t>
  </si>
  <si>
    <t>GBAM2810010001</t>
  </si>
  <si>
    <t>GBADIE</t>
  </si>
  <si>
    <t>MARIE-ANGE MIREILLE NONHON</t>
  </si>
  <si>
    <t>https://myiipea.com/media/etudiant/photo/WhatsApp_Image_2023-10-12_at_11.26.56.jpeg</t>
  </si>
  <si>
    <t>GBAS1007040001</t>
  </si>
  <si>
    <t>GBAETTI LOU</t>
  </si>
  <si>
    <t>SIALINAN DEBORAH ESTHER</t>
  </si>
  <si>
    <t>https://myiipea.com/media/etudiant/photo/WhatsApp_Image_2023-10-04_at_15.07.23.jpeg</t>
  </si>
  <si>
    <t>GBAA1502040001</t>
  </si>
  <si>
    <t>GBAGBA</t>
  </si>
  <si>
    <t>ATTO BROU MORINE HOLLANDE</t>
  </si>
  <si>
    <t>https://myiipea.com/media/etudiant/photo/WhatsApp_Image_2023-09-28_at_10.32.22.jpeg</t>
  </si>
  <si>
    <t>GBAB0505050001</t>
  </si>
  <si>
    <t>GBAGUIDI</t>
  </si>
  <si>
    <t>BEDE JERLI BRYAN</t>
  </si>
  <si>
    <t>https://myiipea.com/media/etudiant/photo/WhatsApp_Image_2023-10-04_at_16.19.50.jpeg</t>
  </si>
  <si>
    <t>GBAK0806060001</t>
  </si>
  <si>
    <t>GBAH</t>
  </si>
  <si>
    <t>KOUE DOUA GRACE</t>
  </si>
  <si>
    <t>https://myiipea.com/media/etudiant/photo/WhatsApp_Image_2023-10-02_at_17.05.45.jpeg</t>
  </si>
  <si>
    <t>GBAL1508020002</t>
  </si>
  <si>
    <t>GBAHI</t>
  </si>
  <si>
    <t>LYNDA CHRISTIANA</t>
  </si>
  <si>
    <t>https://myiipea.com/media/etudiant/photo/WhatsApp_Image_2023-10-05_at_10.36.43_VgD0iS8.jpeg</t>
  </si>
  <si>
    <t>GBAK3004060001</t>
  </si>
  <si>
    <t>GBAHO</t>
  </si>
  <si>
    <t>KELATE GRACE EMMANUELLA</t>
  </si>
  <si>
    <t>https://myiipea.com/media/etudiant/photo/WhatsApp_Image_2023-10-14_at_09.17.27.jpeg</t>
  </si>
  <si>
    <t>GBAY0310030001</t>
  </si>
  <si>
    <t>GBAKA</t>
  </si>
  <si>
    <t>YOBOU VAROL</t>
  </si>
  <si>
    <t>https://myiipea.com/media/etudiant/photo/WhatsApp_Image_2023-10-05_at_11.17.52.jpeg</t>
  </si>
  <si>
    <t>GBAY1810010001</t>
  </si>
  <si>
    <t>YOHOU</t>
  </si>
  <si>
    <t>https://myiipea.com/media/etudiant/photo/WhatsApp_Image_2023-10-03_at_12.58.58.jpeg</t>
  </si>
  <si>
    <t>GBAA2509020001</t>
  </si>
  <si>
    <t>GBAKO</t>
  </si>
  <si>
    <t>AFFOUA NADEGE JESSICA EMMANUELLA</t>
  </si>
  <si>
    <t>https://myiipea.com/media/etudiant/photo/WhatsApp_Image_2023-10-02_at_17.06.23.jpeg</t>
  </si>
  <si>
    <t>GBAA0203040002</t>
  </si>
  <si>
    <t>GBALE</t>
  </si>
  <si>
    <t>ABOUSSOU</t>
  </si>
  <si>
    <t>https://myiipea.com/media/etudiant/photo/WhatsApp_Image_2023-09-28_at_16.22.38.jpeg</t>
  </si>
  <si>
    <t>GBAE3010020001</t>
  </si>
  <si>
    <t>ESTHER ELISEE</t>
  </si>
  <si>
    <t>https://myiipea.com/media/etudiant/photo/239422487_405915444207421_8131329350063382999_n_awfisyu.jpg</t>
  </si>
  <si>
    <t>GBAZ2511040001</t>
  </si>
  <si>
    <t>ZADI JUNIOR</t>
  </si>
  <si>
    <t>https://myiipea.com/media/etudiant/photo/WhatsApp_Image_2023-10-12_at_11.32.29_AM.jpeg</t>
  </si>
  <si>
    <t>GBAG0212040001</t>
  </si>
  <si>
    <t>GBALLOU</t>
  </si>
  <si>
    <t>GRACE REBECCA</t>
  </si>
  <si>
    <t>https://myiipea.com/media/etudiant/photo/WhatsApp_Image_2023-11-24_at_15.53.54.jpeg</t>
  </si>
  <si>
    <t>GBAR1803060001</t>
  </si>
  <si>
    <t>RUTH EMMANUELLA</t>
  </si>
  <si>
    <t>https://myiipea.com/media/etudiant/photo/WhatsApp_Image_2023-10-02_at_17.15.03.jpeg</t>
  </si>
  <si>
    <t>GBAB1305070001</t>
  </si>
  <si>
    <t>GBALOA</t>
  </si>
  <si>
    <t>BIAGNE JEAN PHILIPPE SCOTT</t>
  </si>
  <si>
    <t>https://myiipea.com/media/etudiant/photo/WhatsApp_Image_2023-09-28_at_15.07.59.jpeg</t>
  </si>
  <si>
    <t>GBAL1905010001</t>
  </si>
  <si>
    <t>GBALOU</t>
  </si>
  <si>
    <t>LAH DIANE LEATICIA</t>
  </si>
  <si>
    <t>https://myiipea.com/media/etudiant/photo/WhatsApp_Image_2023-10-04_at_14_resized.png</t>
  </si>
  <si>
    <t>GBAE0302000001</t>
  </si>
  <si>
    <t>GBAMOU</t>
  </si>
  <si>
    <t>ELVIS</t>
  </si>
  <si>
    <t>https://myiipea.com/media/etudiant/photo/WhatsApp_Image_2023-10-03_at_10.51.03.jpeg</t>
  </si>
  <si>
    <t>GBAM0607030001</t>
  </si>
  <si>
    <t>GBANE</t>
  </si>
  <si>
    <t>MORY MARIUS MANUEL</t>
  </si>
  <si>
    <t>https://myiipea.com/media/etudiant/photo/WhatsApp_Image_2023-10-03_at_09.45.32.jpeg</t>
  </si>
  <si>
    <t>GBAM0612030001</t>
  </si>
  <si>
    <t>GBANMIN</t>
  </si>
  <si>
    <t>MOHOU CHRIST</t>
  </si>
  <si>
    <t>https://myiipea.com/media/etudiant/photo/WhatsApp_Image_2023-10-03_at_08.43.14.jpeg</t>
  </si>
  <si>
    <t>GABT0201060001</t>
  </si>
  <si>
    <t>GBAO</t>
  </si>
  <si>
    <t>TOATOHM CLAUDE LEVIS VIANNEY</t>
  </si>
  <si>
    <t>https://myiipea.com/media/etudiant/photo/WhatsApp_Image_2023-10-20_at_10.20.20.jpeg</t>
  </si>
  <si>
    <t>GBAZ0409030001</t>
  </si>
  <si>
    <t>ZRAKEUWON ANGE GRACE</t>
  </si>
  <si>
    <t>https://myiipea.com/media/etudiant/photo/WhatsApp_Image_2023-10-20_at_10.20.04.jpeg</t>
  </si>
  <si>
    <t>GBAA2005060001</t>
  </si>
  <si>
    <t>GBAPE</t>
  </si>
  <si>
    <t>ANGE LAETITIA ANDY</t>
  </si>
  <si>
    <t>https://myiipea.com/media/etudiant/photo/WhatsApp_Image_2023-11-07_at_10.15.31.jpeg</t>
  </si>
  <si>
    <t>GBAD2806030001</t>
  </si>
  <si>
    <t>GBATO</t>
  </si>
  <si>
    <t>DJEGBA GRACE PRISCILLE</t>
  </si>
  <si>
    <t>https://myiipea.com/media/etudiant/photo/WhatsApp_Image_2023-10-03_at_14.21.53.jpeg</t>
  </si>
  <si>
    <t>GBAR0811020001</t>
  </si>
  <si>
    <t>REMI-ANDRE PAX KUO HUA</t>
  </si>
  <si>
    <t>https://myiipea.com/media/etudiant/photo/WhatsApp_Image_2023-11-07_at_14.33.34.jpeg</t>
  </si>
  <si>
    <t>GBAT1205050001</t>
  </si>
  <si>
    <t>TICKA BOHONUN JEAN MARIE PHILIPPE</t>
  </si>
  <si>
    <t>https://myiipea.com/media/etudiant/photo/WhatsApp_Image_2023-10-06_at_16.44.29.jpeg</t>
  </si>
  <si>
    <t>GBEM0701060001</t>
  </si>
  <si>
    <t>GBEAKA</t>
  </si>
  <si>
    <t>MONSENAN EPIPHANIE</t>
  </si>
  <si>
    <t>https://myiipea.com/media/etudiant/photo/WhatsApp_Image_2023-10-13_at_10.45.05_AM.jpeg</t>
  </si>
  <si>
    <t>GBEO2810030001</t>
  </si>
  <si>
    <t>GBEDJI</t>
  </si>
  <si>
    <t>OTE CHADRAC</t>
  </si>
  <si>
    <t>https://myiipea.com/media/etudiant/photo/WhatsApp_Image_2023-11-16_at_15.26.50.jpeg</t>
  </si>
  <si>
    <t>GBED1906040001</t>
  </si>
  <si>
    <t>GBEI</t>
  </si>
  <si>
    <t>DAZEHE URIELLE YASMINE</t>
  </si>
  <si>
    <t>https://myiipea.com/media/etudiant/photo/WhatsApp_Image_2023-10-25_at_12.58.21.jpeg</t>
  </si>
  <si>
    <t>GBED2001020001</t>
  </si>
  <si>
    <t>GBENOU</t>
  </si>
  <si>
    <t>DOSSOU SERGE</t>
  </si>
  <si>
    <t>https://myiipea.com/media/etudiant/photo/WhatsApp_Image_2023-10-02_at_4_resized.png</t>
  </si>
  <si>
    <t>GBET0608010001</t>
  </si>
  <si>
    <t>GBENZA</t>
  </si>
  <si>
    <t>TE NGOUGNON ADONIS MARTIAL</t>
  </si>
  <si>
    <t>https://myiipea.com/media/etudiant/photo/WhatsApp_Image_2023-10-18_at_1.47.45_PM.jpeg</t>
  </si>
  <si>
    <t>GBET0110050001</t>
  </si>
  <si>
    <t>GBERI</t>
  </si>
  <si>
    <t>TANIA ALEXISE</t>
  </si>
  <si>
    <t>https://myiipea.com/media/etudiant/photo/WhatsApp_Image_2023-09-29_at_11.55.09.jpeg</t>
  </si>
  <si>
    <t>GBED2702020001</t>
  </si>
  <si>
    <t>GBESSANE</t>
  </si>
  <si>
    <t>DAPEA MARIE-PAULE</t>
  </si>
  <si>
    <t>https://myiipea.com/media/etudiant/photo/WhatsApp_Image_2023-10-12_at_12.45.15.jpeg</t>
  </si>
  <si>
    <t>GBES0210050005</t>
  </si>
  <si>
    <t>GBEZIKE</t>
  </si>
  <si>
    <t>SALLEA EMMANUELLA</t>
  </si>
  <si>
    <t>https://myiipea.com/media/etudiant/photo/WhatsApp_Image_2023-10-23_at_15.22.59_7_hAzE3Nm.jpeg</t>
  </si>
  <si>
    <t>GBLS1702040001</t>
  </si>
  <si>
    <t>GBLEUH</t>
  </si>
  <si>
    <t>SATA LETITIA MELANIE</t>
  </si>
  <si>
    <t>https://myiipea.com/media/etudiant/photo/WhatsApp_Image_2023-10-17_at_10.37.14.jpeg</t>
  </si>
  <si>
    <t>GBLF1510020001</t>
  </si>
  <si>
    <t>GBLEUTY</t>
  </si>
  <si>
    <t>FABIEN</t>
  </si>
  <si>
    <t>https://myiipea.com/media/etudiant/photo/WhatsApp_Image_2023-10-11_at_09.50.33.jpeg</t>
  </si>
  <si>
    <t>GBOJ2210030001</t>
  </si>
  <si>
    <t>GBOBIA</t>
  </si>
  <si>
    <t>JORES JONAS DIMITRI</t>
  </si>
  <si>
    <t>https://myiipea.com/media/etudiant/photo/WhatsApp_Image_2023-10-23_at_15.16.21.jpeg</t>
  </si>
  <si>
    <t>GBOE0512040001</t>
  </si>
  <si>
    <t>GBOCHO</t>
  </si>
  <si>
    <t>EKOMBA GRACE ESPERANCE</t>
  </si>
  <si>
    <t>https://myiipea.com/media/etudiant/photo/WhatsApp_Image_2023-10-06_at_11.29.13.jpeg</t>
  </si>
  <si>
    <t>GBOG2103030001</t>
  </si>
  <si>
    <t>GBODJO</t>
  </si>
  <si>
    <t>GNAHOUA JEAN YVES</t>
  </si>
  <si>
    <t>https://myiipea.com/media/etudiant/photo/WhatsApp_Image_2023-10-03_at_11.14.56_AM_fwXjEqv.jpeg</t>
  </si>
  <si>
    <t>GBOD3011020001</t>
  </si>
  <si>
    <t>GBODOU</t>
  </si>
  <si>
    <t>DABEU MARTHE LAURIS</t>
  </si>
  <si>
    <t>https://myiipea.com/media/etudiant/photo/WhatsApp_Image_2023-10-26_at_09.31.53.jpeg</t>
  </si>
  <si>
    <t>GBOA1806060001</t>
  </si>
  <si>
    <t>GBOE</t>
  </si>
  <si>
    <t>AGNES STEPHANIE</t>
  </si>
  <si>
    <t>https://myiipea.com/media/etudiant/photo/WhatsApp_Image_2023-10-05_at_11.14.01.jpeg</t>
  </si>
  <si>
    <t>GBOG2009000001</t>
  </si>
  <si>
    <t>GBOGOU</t>
  </si>
  <si>
    <t>GABA TYCHIQUE</t>
  </si>
  <si>
    <t>https://myiipea.com/media/etudiant/photo/WhatsApp_Image_2023-10-10_at_13.29.46.jpeg</t>
  </si>
  <si>
    <t>GBOG2004000001</t>
  </si>
  <si>
    <t>GRACE ESTHER OLIEBA</t>
  </si>
  <si>
    <t>https://myiipea.com/media/etudiant/photo/WhatsApp_Image_2023-10-05_at_13.15.55_1.jpeg</t>
  </si>
  <si>
    <t>GBOM1702060001</t>
  </si>
  <si>
    <t>GBOHOU</t>
  </si>
  <si>
    <t>MICHAELLE PRINCESSE TRINITE</t>
  </si>
  <si>
    <t>https://myiipea.com/media/etudiant/photo/WhatsApp_Image_2023-09-28_at_13.59.34.jpeg</t>
  </si>
  <si>
    <t>GBOK2006050001</t>
  </si>
  <si>
    <t>GBOKO</t>
  </si>
  <si>
    <t>KOBENAN OLIVIER</t>
  </si>
  <si>
    <t>https://myiipea.com/media/etudiant/photo/WhatsApp_Image_2023-10-02_at_10_resized.png</t>
  </si>
  <si>
    <t>GBOL2107040001</t>
  </si>
  <si>
    <t>LEVY MARSHALL</t>
  </si>
  <si>
    <t>https://myiipea.com/media/etudiant/photo/WhatsApp_Image_2023-09-19_at_15.29.35.jpeg</t>
  </si>
  <si>
    <t>GBOP3009030001</t>
  </si>
  <si>
    <t>POUA MARLYNE LETICIA</t>
  </si>
  <si>
    <t>https://myiipea.com/media/etudiant/photo/WhatsApp_Image_2023-10-26_at_09_resized.png</t>
  </si>
  <si>
    <t>GBOS1008020001</t>
  </si>
  <si>
    <t>SYNTHIA DEGRE</t>
  </si>
  <si>
    <t>https://myiipea.com/media/etudiant/photo/WhatsApp_Image_2023-10-26_at_10.59.46.jpeg</t>
  </si>
  <si>
    <t>GBOZ0611020001</t>
  </si>
  <si>
    <t>GBOROUH</t>
  </si>
  <si>
    <t>ZADI BEN URIEL</t>
  </si>
  <si>
    <t>https://myiipea.com/media/etudiant/photo/WhatsApp_Image_2023-10-17_at_12.30.47.jpeg</t>
  </si>
  <si>
    <t>GBOT0101020001</t>
  </si>
  <si>
    <t>GBOZE</t>
  </si>
  <si>
    <t>TOH JUNIOR</t>
  </si>
  <si>
    <t>https://myiipea.com/media/etudiant/photo/WhatsApp_Image_2023-09-29_at_13.58.36.jpeg</t>
  </si>
  <si>
    <t>GBRB1809010001</t>
  </si>
  <si>
    <t>GBRIKE</t>
  </si>
  <si>
    <t>BANY CLAUDE CHARDEN TRESOR</t>
  </si>
  <si>
    <t>https://myiipea.com/media/etudiant/photo/WhatsApp_Image_2023-11-10_at_1.54.55_PM.jpeg</t>
  </si>
  <si>
    <t>GLAM1810020001</t>
  </si>
  <si>
    <t>GLAI</t>
  </si>
  <si>
    <t>MARIAMA YASMINE</t>
  </si>
  <si>
    <t>https://myiipea.com/media/etudiant/photo/WhatsApp_Image_2023-10-17_at_11.44.49.jpeg</t>
  </si>
  <si>
    <t>GLAY2402050001</t>
  </si>
  <si>
    <t>GLAOU</t>
  </si>
  <si>
    <t>YANN JUNIOR</t>
  </si>
  <si>
    <t>https://myiipea.com/media/etudiant/photo/WhatsApp_Image_2023-10-16_at_16.39.45.jpeg</t>
  </si>
  <si>
    <t>GLAN1902040001</t>
  </si>
  <si>
    <t>GLAROU</t>
  </si>
  <si>
    <t>NAFISSOU DANIELLE ESSEMONE</t>
  </si>
  <si>
    <t>https://myiipea.com/media/etudiant/photo/WhatsApp_Image_2023-10-06_at_10_resized.png</t>
  </si>
  <si>
    <t>GLES1404060001</t>
  </si>
  <si>
    <t>GLELE</t>
  </si>
  <si>
    <t>SENAN JESSICA</t>
  </si>
  <si>
    <t>https://myiipea.com/media/etudiant/photo/WhatsApp_Image_2023-10-13_at_12.53.52.jpeg</t>
  </si>
  <si>
    <t>GLIO0105030001</t>
  </si>
  <si>
    <t>GLITI</t>
  </si>
  <si>
    <t>OZIAS ELIAKIM</t>
  </si>
  <si>
    <t>https://myiipea.com/media/etudiant/photo/WhatsApp_Image_2023-10-12_at_18.28.06.jpeg</t>
  </si>
  <si>
    <t>GLOA1407980001</t>
  </si>
  <si>
    <t>GLOH</t>
  </si>
  <si>
    <t>AUREOLE LAVANIAH</t>
  </si>
  <si>
    <t>https://myiipea.com/media/etudiant/photo/WhatsApp_Image_2023-11-21_at_15.14.34.jpeg</t>
  </si>
  <si>
    <t>GNAG2704000001</t>
  </si>
  <si>
    <t>GNABRO</t>
  </si>
  <si>
    <t>GOGO ANGE JAURES</t>
  </si>
  <si>
    <t>https://myiipea.com/media/etudiant/photo/GOGO.jpg</t>
  </si>
  <si>
    <t>GNAA2306030001</t>
  </si>
  <si>
    <t>GNACOMENE</t>
  </si>
  <si>
    <t>AGBI ANGE TRESOR</t>
  </si>
  <si>
    <t>https://myiipea.com/media/etudiant/photo/WhatsApp_Image_2023-09-29_at_17.24.31.jpeg</t>
  </si>
  <si>
    <t>GNAD3009000001</t>
  </si>
  <si>
    <t>GNADJA</t>
  </si>
  <si>
    <t>DAVID EVARISTE KEVIN</t>
  </si>
  <si>
    <t>https://myiipea.com/media/etudiant/photo/WhatsApp_Image_2023-11-16_at_13.19.06.jpeg</t>
  </si>
  <si>
    <t>GNAI1908010001</t>
  </si>
  <si>
    <t>IPKO EUDES JACOB</t>
  </si>
  <si>
    <t>https://myiipea.com/media/etudiant/photo/WhatsApp_Image_2023-10-30_at_13.50.56.jpeg</t>
  </si>
  <si>
    <t>GNAD1312020001</t>
  </si>
  <si>
    <t>GNAGBO</t>
  </si>
  <si>
    <t>DJEDJE GERODE DERRICK</t>
  </si>
  <si>
    <t>https://myiipea.com/media/etudiant/photo/WhatsApp_Image_2023-10-31_at_09.51.59.jpeg</t>
  </si>
  <si>
    <t>GNAD2106050001</t>
  </si>
  <si>
    <t>DJOUKOU LYDIA MELIANE</t>
  </si>
  <si>
    <t>https://myiipea.com/media/etudiant/photo/WhatsApp_Image_2023-11-06_at_10.11.55.jpeg</t>
  </si>
  <si>
    <t>GNAG3107030001</t>
  </si>
  <si>
    <t>GNAKOURI EMMANUEL</t>
  </si>
  <si>
    <t>https://myiipea.com/media/etudiant/photo/WhatsApp_Image_2023-09-29_at_11.01.30.jpeg</t>
  </si>
  <si>
    <t>GNAL0404030001</t>
  </si>
  <si>
    <t>LOLI GRACE</t>
  </si>
  <si>
    <t>https://myiipea.com/media/etudiant/photo/WhatsApp_Image_2023-10-09_at_16.57.21.jpeg</t>
  </si>
  <si>
    <t>GNAW1410040001</t>
  </si>
  <si>
    <t>WOSSAN COLETTE ROXANE</t>
  </si>
  <si>
    <t>https://myiipea.com/media/etudiant/photo/WhatsApp_Image_2023-10-04_at_17.50.17.jpeg</t>
  </si>
  <si>
    <t>GNAA2711040001</t>
  </si>
  <si>
    <t>GNAGNE</t>
  </si>
  <si>
    <t>AGNES ANGE LOREL</t>
  </si>
  <si>
    <t>https://myiipea.com/media/etudiant/photo/WhatsApp_Image_2023-11-20_at_10.40.22.jpeg</t>
  </si>
  <si>
    <t>GNAV0810040002</t>
  </si>
  <si>
    <t>GNAGO</t>
  </si>
  <si>
    <t>VANESSA ELIANE</t>
  </si>
  <si>
    <t>https://myiipea.com/media/etudiant/photo/WhatsApp_Image_2023-10-10_at_13.37.29_XVzmBDW.jpeg</t>
  </si>
  <si>
    <t>GNAW0510990001</t>
  </si>
  <si>
    <t>https://myiipea.com/media/etudiant/photo/WhatsApp_Image_2023-11-23_at_4.47.57_PM.jpeg</t>
  </si>
  <si>
    <t>GNAZ2711010001</t>
  </si>
  <si>
    <t>ZABRI BLEBO MARIE YVONNE</t>
  </si>
  <si>
    <t>https://myiipea.com/media/etudiant/photo/WhatsApp_Image_2023-11-23_at_3.39.52_PM.jpeg</t>
  </si>
  <si>
    <t>GNAL1404040001</t>
  </si>
  <si>
    <t>GNAGOUI</t>
  </si>
  <si>
    <t>LAGA EMMA ESTHER</t>
  </si>
  <si>
    <t>https://myiipea.com/media/etudiant/photo/WhatsApp_Image_2023-10-10_at_16.59.13.jpeg</t>
  </si>
  <si>
    <t>GNAA1006030001</t>
  </si>
  <si>
    <t>GNAGRA</t>
  </si>
  <si>
    <t>AWAHON ANGE LORREINE</t>
  </si>
  <si>
    <t>https://myiipea.com/media/etudiant/photo/WhatsApp_Image_2023-09-29_at_18.01.26.jpeg</t>
  </si>
  <si>
    <t>GNAA2112050001</t>
  </si>
  <si>
    <t>GNAHORE</t>
  </si>
  <si>
    <t>ANGE PATRICK</t>
  </si>
  <si>
    <t>https://myiipea.com/media/etudiant/photo/WhatsApp_Image_2023-10-13_at_10.40.56.jpeg</t>
  </si>
  <si>
    <t>GNAL1010020001</t>
  </si>
  <si>
    <t>LOBA SAMUEL</t>
  </si>
  <si>
    <t>https://myiipea.com/media/etudiant/photo/WhatsApp_Image_2023-10-11_at_15.54.40.jpeg</t>
  </si>
  <si>
    <t>GNAN0906050001</t>
  </si>
  <si>
    <t>NERI JOHANNA ESLI MARCELLE</t>
  </si>
  <si>
    <t>https://myiipea.com/media/etudiant/photo/GNAHORE.jpg</t>
  </si>
  <si>
    <t>GNAC2604040001</t>
  </si>
  <si>
    <t>GNAHOUA</t>
  </si>
  <si>
    <t>CHRISTOPHE EMMANUEL</t>
  </si>
  <si>
    <t>https://myiipea.com/media/etudiant/photo/WhatsApp_Image_2023-10-17_at_11.40.36_AM.jpeg</t>
  </si>
  <si>
    <t>GNAC1201060001</t>
  </si>
  <si>
    <t>CORCHER KETURA EMILIE</t>
  </si>
  <si>
    <t>https://myiipea.com/media/etudiant/photo/WhatsApp_Image_2023-10-03_at_12.38.29.jpeg</t>
  </si>
  <si>
    <t>GNAD3009030001</t>
  </si>
  <si>
    <t>DAGOU CYRILLE</t>
  </si>
  <si>
    <t>https://myiipea.com/media/etudiant/photo/WhatsApp_Image_2023-10-12_at_15.28.57.jpeg</t>
  </si>
  <si>
    <t>GNAL0308020001</t>
  </si>
  <si>
    <t>LEHI ELISABETH</t>
  </si>
  <si>
    <t>https://myiipea.com/media/etudiant/photo/WhatsApp_Image_2023-11-17_at_15.27.21.jpeg</t>
  </si>
  <si>
    <t>GNAP1402040001</t>
  </si>
  <si>
    <t>GNAKOU</t>
  </si>
  <si>
    <t>PAULE SARAH GNIMA</t>
  </si>
  <si>
    <t>https://myiipea.com/media/etudiant/photo/WhatsApp_Image_2023-09-25_at_09.23.37.jpeg</t>
  </si>
  <si>
    <t>GNAE2011050001</t>
  </si>
  <si>
    <t>GNALOKO</t>
  </si>
  <si>
    <t>ELYSEE</t>
  </si>
  <si>
    <t>https://myiipea.com/media/etudiant/photo/C1293A19-6FA8-4136-B4C2-5D9B1570A2BE_resized.png</t>
  </si>
  <si>
    <t>GNAK2904050001</t>
  </si>
  <si>
    <t>GNAMALO</t>
  </si>
  <si>
    <t>KOFFI ARTHUR FAURE</t>
  </si>
  <si>
    <t>https://myiipea.com/media/etudiant/photo/WhatsApp_Image_2023-10-23_at_5.00.12_PM.jpeg</t>
  </si>
  <si>
    <t>GNAS2010000001</t>
  </si>
  <si>
    <t>GNAMBA</t>
  </si>
  <si>
    <t>SAUHI PIERRE YVON BENJAMIN</t>
  </si>
  <si>
    <t>https://myiipea.com/media/etudiant/photo/WhatsApp_Image_2023-10-18_at_15.05.19.jpeg</t>
  </si>
  <si>
    <t>GNAM2807010002</t>
  </si>
  <si>
    <t>GNAMBE</t>
  </si>
  <si>
    <t>MOUNOU SAMSON</t>
  </si>
  <si>
    <t>https://myiipea.com/media/etudiant/photo/WhatsApp_Image_2023-10-04_at_6.21.08_PM.jpeg</t>
  </si>
  <si>
    <t>GNAA0711010001</t>
  </si>
  <si>
    <t>GNAMIEN</t>
  </si>
  <si>
    <t>AMANI GRACE AURELA</t>
  </si>
  <si>
    <t>https://myiipea.com/media/etudiant/photo/WhatsApp_Image_2023-10-26_at_16.24.54.jpeg</t>
  </si>
  <si>
    <t>GNAK0706030001</t>
  </si>
  <si>
    <t>GNAMINI</t>
  </si>
  <si>
    <t>KOUASSINAN FATIM ARIANE</t>
  </si>
  <si>
    <t>https://myiipea.com/media/etudiant/photo/WhatsApp_Image_2023-10-04_at_11.39.21.jpeg</t>
  </si>
  <si>
    <t>GNAA1705050002</t>
  </si>
  <si>
    <t>GNAMKE</t>
  </si>
  <si>
    <t>AKA MAGNE MARIE-AVIGAIL</t>
  </si>
  <si>
    <t>https://myiipea.com/media/etudiant/photo/WhatsApp_Image_2023-10-03_at_13.40.16.jpeg</t>
  </si>
  <si>
    <t>GNAA1705050001</t>
  </si>
  <si>
    <t>AKA TENA MARIE JEMIMA</t>
  </si>
  <si>
    <t>https://myiipea.com/media/etudiant/photo/WhatsApp_Image_2023-10-03_at_13.39.54.jpeg</t>
  </si>
  <si>
    <t>GNAA2411050001</t>
  </si>
  <si>
    <t>GNAMOU</t>
  </si>
  <si>
    <t>AMENAN SARA OLIVIA</t>
  </si>
  <si>
    <t>https://myiipea.com/media/etudiant/photo/unnamed-2_YMuFtS0.png</t>
  </si>
  <si>
    <t>GNAG2506020001</t>
  </si>
  <si>
    <t>GNANAGO</t>
  </si>
  <si>
    <t>GNAKO MARC-EMMANUEL</t>
  </si>
  <si>
    <t>https://myiipea.com/media/etudiant/photo/ee805a7a-bd0f-4cfc-a70e-cbab604ca96a_N2nnAQQ.jpeg</t>
  </si>
  <si>
    <t>GNAM1601050002</t>
  </si>
  <si>
    <t>GNANGO</t>
  </si>
  <si>
    <t>MORREL ANGE MICHEL</t>
  </si>
  <si>
    <t>https://myiipea.com/media/etudiant/photo/WhatsApp_Image_2023-11-02_at_16.04.48_yiTPu1f.jpeg</t>
  </si>
  <si>
    <t>GNAV0112020001</t>
  </si>
  <si>
    <t>VIRGILE YVES PATRICK</t>
  </si>
  <si>
    <t>https://myiipea.com/media/etudiant/photo/Logo_EMATECH_cY3q65D.png</t>
  </si>
  <si>
    <t>GNAE2211020001</t>
  </si>
  <si>
    <t>GNANGON</t>
  </si>
  <si>
    <t>EFFI CHRIST MILANE</t>
  </si>
  <si>
    <t>https://myiipea.com/media/etudiant/photo/WhatsApp_Image_2023-11-10_at_4.36.17_PM.jpeg</t>
  </si>
  <si>
    <t>GNAA2205030001</t>
  </si>
  <si>
    <t>GNANKOU</t>
  </si>
  <si>
    <t>ABOUA CHRYS YANN JOEL</t>
  </si>
  <si>
    <t>https://myiipea.com/media/etudiant/photo/WhatsApp_Image_2023-11-17_at_1.25.24_PM.jpeg</t>
  </si>
  <si>
    <t>GNAA1411020001</t>
  </si>
  <si>
    <t>ADJOUA ANGE KEVINE</t>
  </si>
  <si>
    <t>https://myiipea.com/media/etudiant/photo/WhatsApp_Image_2023-11-09_at_12.33.34.jpeg</t>
  </si>
  <si>
    <t>GNAA3007040001</t>
  </si>
  <si>
    <t>GNANUI</t>
  </si>
  <si>
    <t>ANNE GRACE</t>
  </si>
  <si>
    <t>https://myiipea.com/media/etudiant/photo/0fa9140e-768c-4df9-bf17-ba2fd734d1fc-removebg-preview.png</t>
  </si>
  <si>
    <t>GNAT1305030001</t>
  </si>
  <si>
    <t>GNANZOU</t>
  </si>
  <si>
    <t>TENAH ESPERANCE GRACE</t>
  </si>
  <si>
    <t>https://myiipea.com/media/etudiant/photo/WhatsApp_Image_2023-10-27_at_3.31.57_PM.jpeg</t>
  </si>
  <si>
    <t>GNAE1511030002</t>
  </si>
  <si>
    <t>GNAORE</t>
  </si>
  <si>
    <t>EMMANUELLE PELILET ROSINE</t>
  </si>
  <si>
    <t>https://myiipea.com/media/etudiant/photo/WhatsApp_Image_2023-10-16_at_18.16.08_7AJ3SEb.jpeg</t>
  </si>
  <si>
    <t>GNAA2207040001</t>
  </si>
  <si>
    <t>GNAWE</t>
  </si>
  <si>
    <t>ANGE BERENGER SAINT-CYR</t>
  </si>
  <si>
    <t>https://myiipea.com/media/etudiant/photo/8a90a030-d240-49b1-94be-89e47afc2c37-removebg-preview.png</t>
  </si>
  <si>
    <t>GNAB1812050001</t>
  </si>
  <si>
    <t>GNAZEGNON</t>
  </si>
  <si>
    <t>BODJI ALEX CEDRIC</t>
  </si>
  <si>
    <t>https://myiipea.com/media/etudiant/photo/WhatsApp_Image_2023-09-28_at_10.49.55.jpeg</t>
  </si>
  <si>
    <t>GNER1407030001</t>
  </si>
  <si>
    <t>GNENE</t>
  </si>
  <si>
    <t>ROXANE JENNIFER</t>
  </si>
  <si>
    <t>https://myiipea.com/media/etudiant/photo/WhatsApp_Image_2023-10-26_at_15.17.34.jpeg</t>
  </si>
  <si>
    <t>GNEA0607030001</t>
  </si>
  <si>
    <t>GNESSO</t>
  </si>
  <si>
    <t>AMAH LUCRESSE ELISABETH</t>
  </si>
  <si>
    <t>https://myiipea.com/media/etudiant/photo/WhatsApp_Image_2023-10-13_at_17.09.03.jpeg</t>
  </si>
  <si>
    <t>GNEK1808030001</t>
  </si>
  <si>
    <t>GNEYA</t>
  </si>
  <si>
    <t>KELLY D'AVILA</t>
  </si>
  <si>
    <t>https://myiipea.com/media/etudiant/photo/WhatsApp_Image_2023-10-16_at_16.59.23.jpeg</t>
  </si>
  <si>
    <t>GNET2712020001</t>
  </si>
  <si>
    <t>GNEZZERE</t>
  </si>
  <si>
    <t>TEBILY DIAMANT JEAN CLAUDE EVRA</t>
  </si>
  <si>
    <t>https://myiipea.com/media/etudiant/photo/WhatsApp_Image_2023-10-05_at_12.21.37.jpeg</t>
  </si>
  <si>
    <t>GNIS1308040001</t>
  </si>
  <si>
    <t>GNIMIHOU</t>
  </si>
  <si>
    <t>SIBIRI</t>
  </si>
  <si>
    <t>https://myiipea.com/media/etudiant/photo/WhatsApp_Image_2023-10-30_at_14.37.00.jpeg</t>
  </si>
  <si>
    <t>GNOM2001030001</t>
  </si>
  <si>
    <t>GNOBELE</t>
  </si>
  <si>
    <t>MAKOU YVES DAVID</t>
  </si>
  <si>
    <t>https://myiipea.com/media/etudiant/photo/WhatsApp_Image_2023-10-05_at_13_resized_okBPuWR.png</t>
  </si>
  <si>
    <t>GNOA2101000001</t>
  </si>
  <si>
    <t>GNOHUI</t>
  </si>
  <si>
    <t>ANGE WILFRIED ROMARIC</t>
  </si>
  <si>
    <t>https://myiipea.com/media/etudiant/photo/WhatsApp_Image_2023-11-29_at_12.19.00_PM.jpeg</t>
  </si>
  <si>
    <t>GNOZ1612040001</t>
  </si>
  <si>
    <t>GNOTHO</t>
  </si>
  <si>
    <t>ZOMADRE ESTHER</t>
  </si>
  <si>
    <t>https://myiipea.com/media/etudiant/photo/WhatsApp_Image_2023-10-19_at_13.13.25.jpeg</t>
  </si>
  <si>
    <t>GNOG0105040001</t>
  </si>
  <si>
    <t>GNOUGNOU</t>
  </si>
  <si>
    <t>GRACE LEILA</t>
  </si>
  <si>
    <t>https://myiipea.com/media/etudiant/photo/WhatsApp_Image_2023-10-02_at_19.06.41.jpeg</t>
  </si>
  <si>
    <t>GNOC1411030001</t>
  </si>
  <si>
    <t>GNOUHOU</t>
  </si>
  <si>
    <t>CHRISTIANE</t>
  </si>
  <si>
    <t>https://myiipea.com/media/etudiant/photo/WhatsApp_Image_2023-11-06_at_11.48.53.jpeg</t>
  </si>
  <si>
    <t>GNOD1904030001</t>
  </si>
  <si>
    <t>GNOUKOURY</t>
  </si>
  <si>
    <t>DAIHON MARIE PASCALE</t>
  </si>
  <si>
    <t>https://myiipea.com/media/etudiant/photo/WhatsApp_Image_2023-10-20_at_11.12.32.jpeg</t>
  </si>
  <si>
    <t>GOAM2708010001</t>
  </si>
  <si>
    <t>GOA</t>
  </si>
  <si>
    <t>MARIE CONSTANTE</t>
  </si>
  <si>
    <t>https://myiipea.com/media/etudiant/photo/WhatsApp_Image_2023-11-17_at_12.39.55_PM.jpeg</t>
  </si>
  <si>
    <t>GOAO2108040001</t>
  </si>
  <si>
    <t>OBEH ANAYA MARIE-ORNELLA</t>
  </si>
  <si>
    <t>https://myiipea.com/media/etudiant/photo/83f486cf-60ee-48d8-b51b-b3c6a654c5f3-removebg-preview.png</t>
  </si>
  <si>
    <t>GOBP0111040001</t>
  </si>
  <si>
    <t>GOBA</t>
  </si>
  <si>
    <t>PRAMET LINE AUDREY ELVIRA</t>
  </si>
  <si>
    <t>https://myiipea.com/media/etudiant/photo/WhatsApp_Image_2023-10-24_at_14.29.35.jpeg</t>
  </si>
  <si>
    <t>GOBA1212000001</t>
  </si>
  <si>
    <t>GOBOU</t>
  </si>
  <si>
    <t>ALBAN AARON DYLANE</t>
  </si>
  <si>
    <t>https://myiipea.com/media/etudiant/photo/WhatsApp_Image_2023-10-26_at_11.51.55.jpeg</t>
  </si>
  <si>
    <t>GODJ1202010001</t>
  </si>
  <si>
    <t>GODAI</t>
  </si>
  <si>
    <t>JEAN CEDRICK</t>
  </si>
  <si>
    <t>https://myiipea.com/media/etudiant/photo/WhatsApp_Image_2023-10-02_at_3_resized.png</t>
  </si>
  <si>
    <t>GODM0101990001</t>
  </si>
  <si>
    <t>GODE</t>
  </si>
  <si>
    <t>MARIE-CLEMENCE</t>
  </si>
  <si>
    <t>https://myiipea.com/media/etudiant/photo/WhatsApp_Image_2023-10-24_at_12.51.23.jpeg</t>
  </si>
  <si>
    <t>GODD1804030001</t>
  </si>
  <si>
    <t>GODI</t>
  </si>
  <si>
    <t>DJIRABOU AYA PAULE PASCAL EUNICE</t>
  </si>
  <si>
    <t>https://myiipea.com/media/etudiant/photo/WhatsApp_Image_2023-10-02_at_14.11.56.jpeg</t>
  </si>
  <si>
    <t>GODT0112000001</t>
  </si>
  <si>
    <t>TIEMELE THOMAS EMMANUEL DESIRE</t>
  </si>
  <si>
    <t>https://myiipea.com/media/etudiant/photo/WhatsApp_Image_2023-10-17_at_13.54.52.jpeg</t>
  </si>
  <si>
    <t>GODE0409040001</t>
  </si>
  <si>
    <t>GODO</t>
  </si>
  <si>
    <t>https://myiipea.com/media/etudiant/photo/WhatsApp_Image_2023-10-03_at_15.53.11.jpeg</t>
  </si>
  <si>
    <t>GOGP0802080001</t>
  </si>
  <si>
    <t>GOGBEU</t>
  </si>
  <si>
    <t>PRINCE</t>
  </si>
  <si>
    <t>https://myiipea.com/media/etudiant/photo/WhatsApp_Image_2023-10-02_at_15.26.47.jpeg</t>
  </si>
  <si>
    <t>GOGD2010050001</t>
  </si>
  <si>
    <t>GOGO</t>
  </si>
  <si>
    <t>DIEUDONNE ARISTIDE</t>
  </si>
  <si>
    <t>https://myiipea.com/media/etudiant/photo/WhatsApp_Image_2023-10-16_at_15.38.05.jpeg</t>
  </si>
  <si>
    <t>GOGR1512000001</t>
  </si>
  <si>
    <t>RODRIGUE THEODORE DJAZE</t>
  </si>
  <si>
    <t>https://myiipea.com/media/etudiant/photo/WhatsApp_Image_2023-10-02_at_5.17.54_PM.jpeg</t>
  </si>
  <si>
    <t>GOGA0212030001</t>
  </si>
  <si>
    <t>GOGOUA</t>
  </si>
  <si>
    <t>AWA OKLA MARIE-ANGE</t>
  </si>
  <si>
    <t>https://myiipea.com/media/etudiant/photo/WhatsApp_Image_2023-10-30_at_16.07.27.jpeg</t>
  </si>
  <si>
    <t>GOGI1711040001</t>
  </si>
  <si>
    <t>IPO DESIREE DEBORAT</t>
  </si>
  <si>
    <t>https://myiipea.com/media/etudiant/photo/WhatsApp_Image_2023-10-11_at_14.32.09.jpeg</t>
  </si>
  <si>
    <t>GOGI2505020001</t>
  </si>
  <si>
    <t>IPO GAMA CHRIST EZECHIEL</t>
  </si>
  <si>
    <t>https://myiipea.com/media/etudiant/photo/t%C3%A9l%C3%A9chargement_IlIKRDZ.png</t>
  </si>
  <si>
    <t>GOHB1612010001</t>
  </si>
  <si>
    <t>GOH</t>
  </si>
  <si>
    <t>BI ANGE TRESOR MINAI</t>
  </si>
  <si>
    <t>https://myiipea.com/media/etudiant/photo/WhatsApp_Image_2023-10-18_at_14.21.19.jpeg</t>
  </si>
  <si>
    <t>GOHL0510040001</t>
  </si>
  <si>
    <t>LOU TINAN GRACE OLIVIA</t>
  </si>
  <si>
    <t>https://myiipea.com/media/etudiant/photo/WhatsApp_Image_2023-10-04_at_10.34.08.jpeg</t>
  </si>
  <si>
    <t>GOHL0105000001</t>
  </si>
  <si>
    <t>GOHI</t>
  </si>
  <si>
    <t>LOU BOTTY SOPHIE MELAINE OLGA</t>
  </si>
  <si>
    <t>https://myiipea.com/media/etudiant/photo/WhatsApp_Image_2023-10-23_at_14.44.55_55ZFdXm.jpeg</t>
  </si>
  <si>
    <t>GOHL1101030001</t>
  </si>
  <si>
    <t>LOUHE THIO GRACE MARIE LAURE</t>
  </si>
  <si>
    <t>https://myiipea.com/media/etudiant/photo/WhatsApp_Image_2023-10-30_at_11.56.25.jpeg</t>
  </si>
  <si>
    <t>GOHM1301010001</t>
  </si>
  <si>
    <t>GOHO</t>
  </si>
  <si>
    <t>MELAINE MONNEKA</t>
  </si>
  <si>
    <t>https://myiipea.com/media/etudiant/photo/WhatsApp_Image_2023-10-11_at_11.35.26.jpeg</t>
  </si>
  <si>
    <t>GOHY2312090001</t>
  </si>
  <si>
    <t>GOHOUNGO</t>
  </si>
  <si>
    <t>YOHANN CHARLES EMMANUEL</t>
  </si>
  <si>
    <t>https://myiipea.com/media/etudiant/photo/WhatsApp_Image_2023-11-22_at_4.08.16_PM.jpeg</t>
  </si>
  <si>
    <t>GOKT1512020001</t>
  </si>
  <si>
    <t>GOKON</t>
  </si>
  <si>
    <t>TOUHAN GRACE DELAURE</t>
  </si>
  <si>
    <t>https://myiipea.com/media/etudiant/photo/WhatsApp_Image_2023-11-16_at_13.19.44.jpeg</t>
  </si>
  <si>
    <t>GOLN2105000001</t>
  </si>
  <si>
    <t>GOLI</t>
  </si>
  <si>
    <t>N'GUESSAN  ARISTIDE</t>
  </si>
  <si>
    <t>https://myiipea.com/media/etudiant/photo/WhatsApp_Image_2023-11-07_at_10.43.34.jpeg</t>
  </si>
  <si>
    <t>GOLA2107040002</t>
  </si>
  <si>
    <t>GOLLY</t>
  </si>
  <si>
    <t>AMENAN RUTH BEKANBIE</t>
  </si>
  <si>
    <t>https://myiipea.com/media/etudiant/photo/WhatsApp_Image_2023-09-28_at_16.26.08.jpeg</t>
  </si>
  <si>
    <t>GOMD2903030001</t>
  </si>
  <si>
    <t>GOMON</t>
  </si>
  <si>
    <t>DANHO EUGENIE AMETHYSTE</t>
  </si>
  <si>
    <t>https://myiipea.com/media/etudiant/photo/WhatsApp_Image_2023-09-25_at_15.09.43.jpeg</t>
  </si>
  <si>
    <t>GOMZ0709050001</t>
  </si>
  <si>
    <t>GOMPOU</t>
  </si>
  <si>
    <t>ZOUAKA REINE REBECCA</t>
  </si>
  <si>
    <t>https://myiipea.com/media/etudiant/photo/WhatsApp_Image_2023-09-29_at_14.28.37.jpeg</t>
  </si>
  <si>
    <t>GONS1503060001</t>
  </si>
  <si>
    <t>GONDO</t>
  </si>
  <si>
    <t>SEIBA JEAN-EUDES</t>
  </si>
  <si>
    <t>https://myiipea.com/media/etudiant/photo/WhatsApp_Image_2023-10-02_at_15.23.18.jpeg</t>
  </si>
  <si>
    <t>GONA2810020001</t>
  </si>
  <si>
    <t>GONE</t>
  </si>
  <si>
    <t>AKOUA LESLI SIMONE</t>
  </si>
  <si>
    <t>https://myiipea.com/media/etudiant/photo/WhatsApp_Image_2023-10-04_at_13.57.02.jpeg</t>
  </si>
  <si>
    <t>GONE0112020001</t>
  </si>
  <si>
    <t>EDENE JOELLE</t>
  </si>
  <si>
    <t>https://myiipea.com/media/etudiant/photo/WhatsApp_Image_2023-10-09_at_15.05.07.jpeg</t>
  </si>
  <si>
    <t>GONZ0606060001</t>
  </si>
  <si>
    <t>GONETRIN</t>
  </si>
  <si>
    <t>ZOUZOU ZATA EMMANUEL</t>
  </si>
  <si>
    <t>https://myiipea.com/media/etudiant/photo/WhatsApp_Image_2023-10-13_at_15.06.44_PR8QFSq.jpeg</t>
  </si>
  <si>
    <t>GONZ2101060001</t>
  </si>
  <si>
    <t>GONLADIEU</t>
  </si>
  <si>
    <t>ZRANKEUWOU</t>
  </si>
  <si>
    <t>https://myiipea.com/media/etudiant/photo/WhatsApp_Image_2023-09-26_at_16.47.59.jpeg</t>
  </si>
  <si>
    <t>GONZ3103060001</t>
  </si>
  <si>
    <t>GONTY</t>
  </si>
  <si>
    <t>ZAH EUNICE</t>
  </si>
  <si>
    <t>https://myiipea.com/media/etudiant/photo/WhatsApp_Image_2023-10-05_at_19.25.36.jpeg</t>
  </si>
  <si>
    <t>GOOB1304040001</t>
  </si>
  <si>
    <t>GOORE</t>
  </si>
  <si>
    <t>BI FOUATI YANN MICHAEL</t>
  </si>
  <si>
    <t>https://myiipea.com/media/etudiant/photo/WhatsApp_Image_2023-10-04_at_09.07.32.jpeg</t>
  </si>
  <si>
    <t>GORB2902040001</t>
  </si>
  <si>
    <t>GORE</t>
  </si>
  <si>
    <t>BI DJA EMMANUEL</t>
  </si>
  <si>
    <t>https://myiipea.com/media/etudiant/photo/WhatsApp_Image_2023-09-28_at_16.49.54.jpeg</t>
  </si>
  <si>
    <t>GORR1211020001</t>
  </si>
  <si>
    <t>GORO</t>
  </si>
  <si>
    <t>RAINATOU MAMA</t>
  </si>
  <si>
    <t>https://myiipea.com/media/etudiant/photo/WhatsApp_Image_2023-11-21_at_11.18.08.jpeg</t>
  </si>
  <si>
    <t>GOSA2809020001</t>
  </si>
  <si>
    <t>GOSSE</t>
  </si>
  <si>
    <t>AFFOUE ANGE EMMANUELA</t>
  </si>
  <si>
    <t>https://myiipea.com/media/etudiant/photo/WhatsApp_Image_2023-10-24_at_10.02.29.jpeg</t>
  </si>
  <si>
    <t>GOSN2607010001</t>
  </si>
  <si>
    <t>NAHOUNOU ARIEL JONATHAN</t>
  </si>
  <si>
    <t>https://myiipea.com/media/etudiant/photo/WhatsApp_Image_2023-10-16_at_13.18.28.jpeg</t>
  </si>
  <si>
    <t>GOSA1610000001</t>
  </si>
  <si>
    <t>GOSSOU</t>
  </si>
  <si>
    <t>ADJOUA EDWIGE ORNELIA</t>
  </si>
  <si>
    <t>https://myiipea.com/media/etudiant/photo/WhatsApp_Image_2023-10-03_at_11.35.09_AM.jpeg</t>
  </si>
  <si>
    <t>GOTL1504060001</t>
  </si>
  <si>
    <t>GOTA</t>
  </si>
  <si>
    <t>LOU YOUNAN MARIE</t>
  </si>
  <si>
    <t>https://myiipea.com/media/etudiant/photo/WhatsApp_Image_2023-10-03_at_12.23.22.jpeg</t>
  </si>
  <si>
    <t>GOUB2207030001</t>
  </si>
  <si>
    <t>GOU</t>
  </si>
  <si>
    <t>BAYARD MARC-ELYSEE</t>
  </si>
  <si>
    <t>https://myiipea.com/media/etudiant/photo/WhatsApp_Image_2023-10-25_at_14.17.47.jpeg</t>
  </si>
  <si>
    <t>GOUA1403030001</t>
  </si>
  <si>
    <t>GOUDE</t>
  </si>
  <si>
    <t>ADISSEHONRON NELLY CHRISTELLE LEILAS</t>
  </si>
  <si>
    <t>https://myiipea.com/media/etudiant/photo/WhatsApp_Image_2023-10-12_at_13.07.08.jpeg</t>
  </si>
  <si>
    <t>GOUD1709050001</t>
  </si>
  <si>
    <t>GOUEDJI</t>
  </si>
  <si>
    <t>DJOUANGOU ALFRED</t>
  </si>
  <si>
    <t>https://myiipea.com/media/etudiant/photo/WhatsApp_Image_2023-09-14_at_14.17.12.jpeg</t>
  </si>
  <si>
    <t>GOUT2411030001</t>
  </si>
  <si>
    <t>GOUEM</t>
  </si>
  <si>
    <t>https://myiipea.com/media/etudiant/photo/WhatsApp_Image_2023-10-02_at_18.37.56.jpeg</t>
  </si>
  <si>
    <t>GOUK2309020001</t>
  </si>
  <si>
    <t>GOUENE</t>
  </si>
  <si>
    <t>KONAN ORSTINE</t>
  </si>
  <si>
    <t>https://myiipea.com/media/etudiant/photo/WhatsApp_Image_2023-10-03_at_16.49.10.jpeg</t>
  </si>
  <si>
    <t>GOUM0204020001</t>
  </si>
  <si>
    <t>GOUESSE</t>
  </si>
  <si>
    <t>MAWA SANDRINE</t>
  </si>
  <si>
    <t>https://myiipea.com/media/etudiant/photo/WhatsApp_Image_2023-10-12_at_11.05.38.jpeg</t>
  </si>
  <si>
    <t>GOUS1605030001</t>
  </si>
  <si>
    <t>GOUEU</t>
  </si>
  <si>
    <t>SADIA GBE CEDRIC</t>
  </si>
  <si>
    <t>https://myiipea.com/media/etudiant/photo/WhatsApp_Image_2023-10-06_at_5_resized.png</t>
  </si>
  <si>
    <t>GOUA2009000001</t>
  </si>
  <si>
    <t>GOUNABOU</t>
  </si>
  <si>
    <t>APEWE BONIFACE</t>
  </si>
  <si>
    <t>https://myiipea.com/media/etudiant/photo/WhatsApp_Image_2023-10-20_at_13.45.32.jpeg</t>
  </si>
  <si>
    <t>GOUB0106020001</t>
  </si>
  <si>
    <t>GOURI</t>
  </si>
  <si>
    <t>BI MAHON PRINCE EULOGE</t>
  </si>
  <si>
    <t>https://myiipea.com/media/etudiant/photo/WhatsApp_Image_2023-11-20_at_12.14.44.jpeg</t>
  </si>
  <si>
    <t>GOZK2812040001</t>
  </si>
  <si>
    <t>GOZE</t>
  </si>
  <si>
    <t>KEDMA ESTHER</t>
  </si>
  <si>
    <t>https://myiipea.com/media/etudiant/photo/WhatsApp_Image_2023-09-28_%C3%A0_11.35.28.jpg</t>
  </si>
  <si>
    <t>GRAC2204060001</t>
  </si>
  <si>
    <t>GRAH</t>
  </si>
  <si>
    <t>CINDY EMMANUELLA</t>
  </si>
  <si>
    <t>https://myiipea.com/media/etudiant/photo/WhatsApp_Image_2023-10-04_at_15.06.44.jpeg</t>
  </si>
  <si>
    <t>GRAH1512020001</t>
  </si>
  <si>
    <t>HERVIN MAYOR</t>
  </si>
  <si>
    <t>https://myiipea.com/media/etudiant/photo/WhatsApp_Image_2023-10-16_at_15.46.53.jpeg</t>
  </si>
  <si>
    <t>GRAY1304020001</t>
  </si>
  <si>
    <t>YEDAGNE CLAUDE MANUEL</t>
  </si>
  <si>
    <t>https://myiipea.com/media/etudiant/photo/WhatsApp_Image_2023-11-13_at_12.27.13.jpeg</t>
  </si>
  <si>
    <t>GRAA1105080001</t>
  </si>
  <si>
    <t>GRAHOUAN</t>
  </si>
  <si>
    <t>ARON MARC AUREL</t>
  </si>
  <si>
    <t>https://myiipea.com/media/etudiant/photo/WhatsApp_Image_2023-10-26_at_12_resized.png</t>
  </si>
  <si>
    <t>GRAA2001030001</t>
  </si>
  <si>
    <t>GRAMBOUTE</t>
  </si>
  <si>
    <t>AICHATA</t>
  </si>
  <si>
    <t>https://myiipea.com/media/etudiant/photo/WhatsApp_Image_2023-09-29_at_09.50.20.jpeg</t>
  </si>
  <si>
    <t>GRAN0703020001</t>
  </si>
  <si>
    <t>NAMINATA</t>
  </si>
  <si>
    <t>https://myiipea.com/media/etudiant/photo/WhatsApp_Image_2023-11-16_at_14.13.30.jpeg</t>
  </si>
  <si>
    <t>GRAY2710010001</t>
  </si>
  <si>
    <t>https://myiipea.com/media/etudiant/photo/WhatsApp_Image_2023-11-06_at_11.06.13.jpeg</t>
  </si>
  <si>
    <t>GRID0204080001</t>
  </si>
  <si>
    <t>GRIE</t>
  </si>
  <si>
    <t>DAVID YOTHAN</t>
  </si>
  <si>
    <t>https://myiipea.com/media/etudiant/photo/WhatsApp_Image_2023-09-26_at_13.59.37.jpeg</t>
  </si>
  <si>
    <t>GRIE1905050001</t>
  </si>
  <si>
    <t>GRISSIGNON</t>
  </si>
  <si>
    <t>ELIE</t>
  </si>
  <si>
    <t>https://myiipea.com/media/etudiant/photo/WhatsApp_Image_2023-11-28_at_12.05.38.jpeg</t>
  </si>
  <si>
    <t>GROA2007010001</t>
  </si>
  <si>
    <t>GROUPESSIE</t>
  </si>
  <si>
    <t>ANASTHASIE MAKONI AMI</t>
  </si>
  <si>
    <t>https://myiipea.com/media/etudiant/photo/WhatsApp_Image_2023-11-06_at_16.49.49.jpeg</t>
  </si>
  <si>
    <t>GUEE2507990001</t>
  </si>
  <si>
    <t>GUEBO</t>
  </si>
  <si>
    <t>ELISEE JEAN-YVES</t>
  </si>
  <si>
    <t>https://myiipea.com/media/etudiant/photo/WhatsApp_Image_2023-09-29_at_13.47.09.jpeg</t>
  </si>
  <si>
    <t>GUEA1110050001</t>
  </si>
  <si>
    <t>GUEDE</t>
  </si>
  <si>
    <t>ANNE ROXANE VALENTINE</t>
  </si>
  <si>
    <t>https://myiipea.com/media/etudiant/photo/VALENTINE.jpg</t>
  </si>
  <si>
    <t>GUED2204030001</t>
  </si>
  <si>
    <t>DEBORA LILIANE VICTOIRE</t>
  </si>
  <si>
    <t>https://myiipea.com/media/etudiant/photo/WhatsApp_Image_2023-10-20_at_4.37.54_PM.jpeg</t>
  </si>
  <si>
    <t>GUEL0406030001</t>
  </si>
  <si>
    <t>LIKANET  SARAH AURELIA</t>
  </si>
  <si>
    <t>https://myiipea.com/media/etudiant/photo/WhatsApp_Image_2023-11-06_at_1.18.20_PM.jpeg</t>
  </si>
  <si>
    <t>GUES0111990001</t>
  </si>
  <si>
    <t>SEPHORA</t>
  </si>
  <si>
    <t>https://myiipea.com/media/etudiant/photo/WhatsApp_Image_2023-10-09_at_12.04.17_PM.jpeg</t>
  </si>
  <si>
    <t>GUEE0501050001</t>
  </si>
  <si>
    <t>TANAN ELVIRA</t>
  </si>
  <si>
    <t>https://myiipea.com/media/etudiant/photo/WhatsApp_Image_2023-11-30_at_3.39.08_PM.jpeg</t>
  </si>
  <si>
    <t>GUEN1010030001</t>
  </si>
  <si>
    <t>GUEHA</t>
  </si>
  <si>
    <t>NOUNAN MARINA DANIELLE</t>
  </si>
  <si>
    <t>https://myiipea.com/media/etudiant/photo/WhatsApp_Image_2023-10-03_at_14.20.40.jpeg</t>
  </si>
  <si>
    <t>GUEA0112040001</t>
  </si>
  <si>
    <t>GUEHI</t>
  </si>
  <si>
    <t>ADELAIDE</t>
  </si>
  <si>
    <t>https://myiipea.com/media/etudiant/photo/WhatsApp_Image_2023-11-04_at_10.33.27.jpeg</t>
  </si>
  <si>
    <t>GUEA1310020001</t>
  </si>
  <si>
    <t>ANGE CHRIST MANUEL</t>
  </si>
  <si>
    <t>https://myiipea.com/media/etudiant/photo/WhatsApp_Image_2023-11-27_at_16.51.43.jpeg</t>
  </si>
  <si>
    <t>GUEG2904040001</t>
  </si>
  <si>
    <t>GUELASSA CREOLA INES-D'AVILA</t>
  </si>
  <si>
    <t>https://myiipea.com/media/etudiant/photo/WhatsApp_Image_2023-10-24_at_14.10.24.jpeg</t>
  </si>
  <si>
    <t>GUEP2609050001</t>
  </si>
  <si>
    <t>PRESCILLA IMEKA LAURINE</t>
  </si>
  <si>
    <t>https://myiipea.com/media/etudiant/photo/WhatsApp_Image_2023-11-02_at_6.18.13_PM.jpeg</t>
  </si>
  <si>
    <t>GUER0308040001</t>
  </si>
  <si>
    <t>RABET ANGE LAURENCE</t>
  </si>
  <si>
    <t>https://myiipea.com/media/etudiant/photo/WhatsApp_Image_2023-10-10_at_09.18.57.jpeg</t>
  </si>
  <si>
    <t>GUEY0309060001</t>
  </si>
  <si>
    <t>YALI PAOLA VINCIANE ABRIS</t>
  </si>
  <si>
    <t>https://myiipea.com/media/etudiant/photo/WhatsApp_Image_2023-10-05_at_14.12.42.jpeg</t>
  </si>
  <si>
    <t>GUEA0508040001</t>
  </si>
  <si>
    <t>GUEI</t>
  </si>
  <si>
    <t>ANGE GUEASSELA</t>
  </si>
  <si>
    <t>https://myiipea.com/media/etudiant/photo/WhatsApp_Image_2023-10-04_at_11.31.43_AM.jpeg</t>
  </si>
  <si>
    <t>GUEB1710050001</t>
  </si>
  <si>
    <t>BOSSIA SARAH STEPHANIE CHRISTELLE</t>
  </si>
  <si>
    <t>https://myiipea.com/media/etudiant/photo/WhatsApp_Image_2023-10-10_at_14.50.58.jpeg</t>
  </si>
  <si>
    <t>GUEC1010040001</t>
  </si>
  <si>
    <t>CARELLE EMMANUELLA</t>
  </si>
  <si>
    <t>https://myiipea.com/media/etudiant/photo/WhatsApp_Image_2023-09-26_at_15.09.40.jpeg</t>
  </si>
  <si>
    <t>GUEG1401020001</t>
  </si>
  <si>
    <t>GNOMBLEHI AMOS</t>
  </si>
  <si>
    <t>https://myiipea.com/media/etudiant/photo/AMOS.jpg</t>
  </si>
  <si>
    <t>GUEP2111050001</t>
  </si>
  <si>
    <t>POUGNONWE ELIE</t>
  </si>
  <si>
    <t>https://myiipea.com/media/etudiant/photo/WhatsApp_Image_2023-10-02_at_09.56.07.jpeg</t>
  </si>
  <si>
    <t>GUER0601040001</t>
  </si>
  <si>
    <t>RAISSA IRENE</t>
  </si>
  <si>
    <t>https://myiipea.com/media/etudiant/photo/WhatsApp_Image_2023-09-29_at_17.08.01.jpeg</t>
  </si>
  <si>
    <t>GUEN0202060001</t>
  </si>
  <si>
    <t>GUEKE</t>
  </si>
  <si>
    <t>NIMBA AKREBIE GRACE DIVINE</t>
  </si>
  <si>
    <t>https://myiipea.com/media/etudiant/photo/WhatsApp_Image_2023-10-03_at_10.39.29.jpeg</t>
  </si>
  <si>
    <t>GUED0101020001</t>
  </si>
  <si>
    <t>GUENE</t>
  </si>
  <si>
    <t>https://myiipea.com/media/etudiant/photo/WhatsApp_Image_2023-10-30_at_11.24.39.jpeg</t>
  </si>
  <si>
    <t>GUEI0101970001</t>
  </si>
  <si>
    <t>ISSOUFOU</t>
  </si>
  <si>
    <t>https://myiipea.com/media/etudiant/photo/WhatsApp_Image_2023-10-23_at_10.00.05.jpeg</t>
  </si>
  <si>
    <t>GUEN0502050001</t>
  </si>
  <si>
    <t>GUENEMON</t>
  </si>
  <si>
    <t>NOUMANDET YASMINE CORALIE</t>
  </si>
  <si>
    <t>https://myiipea.com/media/etudiant/photo/WhatsApp_Image_2023-10-03_at_08.44.30.jpeg</t>
  </si>
  <si>
    <t>GUEA0410060001</t>
  </si>
  <si>
    <t>GUEPIE</t>
  </si>
  <si>
    <t>ALLATE GINETTE ORNELLA</t>
  </si>
  <si>
    <t>https://myiipea.com/media/etudiant/photo/WhatsApp_Image_2023-10-04_at_13.19.43.jpeg</t>
  </si>
  <si>
    <t>GUEA2206010002</t>
  </si>
  <si>
    <t>GUEPIER</t>
  </si>
  <si>
    <t>AYA DORGELENE</t>
  </si>
  <si>
    <t>https://myiipea.com/media/etudiant/photo/WhatsApp_Image_2023-10-09_at_11.50.32_AM.jpeg</t>
  </si>
  <si>
    <t>GUEA1202040001</t>
  </si>
  <si>
    <t>GUESSONE</t>
  </si>
  <si>
    <t>ADISSA</t>
  </si>
  <si>
    <t>https://myiipea.com/media/etudiant/photo/WhatsApp_Image_2023-09-28_at_14.50.23.jpeg</t>
  </si>
  <si>
    <t>GUED2110050001</t>
  </si>
  <si>
    <t>GUEU</t>
  </si>
  <si>
    <t>DION EMMANUELLA BERENICE</t>
  </si>
  <si>
    <t>https://myiipea.com/media/etudiant/photo/WhatsApp_Image_2023-10-10_at_09.51.47.jpeg</t>
  </si>
  <si>
    <t>GUES2501050001</t>
  </si>
  <si>
    <t>SEVERINE GRACE ORLANE</t>
  </si>
  <si>
    <t>https://myiipea.com/media/etudiant/photo/WhatsApp_Image_2023-10-27_at_13.06.38.jpeg</t>
  </si>
  <si>
    <t>GUEY2408040001</t>
  </si>
  <si>
    <t>YEUGUIMAN YASMINE</t>
  </si>
  <si>
    <t>https://myiipea.com/media/etudiant/photo/WhatsApp_Image_2023-10-07_at_12.55.16.jpeg</t>
  </si>
  <si>
    <t>GUEZ1707030001</t>
  </si>
  <si>
    <t>ZLAMPEUBO SYLVAIN</t>
  </si>
  <si>
    <t>https://myiipea.com/media/etudiant/photo/WhatsApp_Image_2023-10-19_at_11.13.39.jpeg</t>
  </si>
  <si>
    <t>GUIS1010010001</t>
  </si>
  <si>
    <t>GUI</t>
  </si>
  <si>
    <t>SAHON NONE ANGE</t>
  </si>
  <si>
    <t>https://myiipea.com/media/etudiant/photo/WhatsApp_Image_2023-10-12_at_16.58.04.jpeg</t>
  </si>
  <si>
    <t>GUIA1604010001</t>
  </si>
  <si>
    <t>GUIBE</t>
  </si>
  <si>
    <t>ANGE AUDREY MURIEL</t>
  </si>
  <si>
    <t>https://myiipea.com/media/etudiant/photo/WhatsApp_Image_2023-10-20_at_1.09.10_PM.jpeg</t>
  </si>
  <si>
    <t>GUIP0112040001</t>
  </si>
  <si>
    <t>PAUL JOSEPH</t>
  </si>
  <si>
    <t>https://myiipea.com/media/etudiant/photo/photo_v9qwzQZ.jpg</t>
  </si>
  <si>
    <t>GUIS2708020001</t>
  </si>
  <si>
    <t>GUIBLEHI</t>
  </si>
  <si>
    <t>SEMAHOAN ANGE OLIVIA</t>
  </si>
  <si>
    <t>https://myiipea.com/media/etudiant/photo/WhatsApp_Image_2023-09-28_at_18.23.12.jpeg</t>
  </si>
  <si>
    <t>GUIE2907010001</t>
  </si>
  <si>
    <t>GUIELI</t>
  </si>
  <si>
    <t>EMMANUELLA ERICKA</t>
  </si>
  <si>
    <t>https://myiipea.com/media/etudiant/photo/WhatsApp_Image_2023-10-05_at_11.23.38.jpeg</t>
  </si>
  <si>
    <t>GUIE2103030001</t>
  </si>
  <si>
    <t>GUIGUI</t>
  </si>
  <si>
    <t>ESTHER ANGE</t>
  </si>
  <si>
    <t>https://myiipea.com/media/etudiant/photo/WhatsApp_Image_2023-10-06_at_11.52.23.jpeg</t>
  </si>
  <si>
    <t>GUIN2412030001</t>
  </si>
  <si>
    <t>N'GUESSAN PHILIPPE JUNIOR</t>
  </si>
  <si>
    <t>https://myiipea.com/media/etudiant/photo/WhatsApp_Image_2023-11-10_at_12.55.43_PM.jpeg</t>
  </si>
  <si>
    <t>GUIJ2809010001</t>
  </si>
  <si>
    <t>GUIKAN</t>
  </si>
  <si>
    <t>JEAN ENOCK</t>
  </si>
  <si>
    <t>https://myiipea.com/media/etudiant/photo/WhatsApp_Image_2023-10-24_at_6.07.22_PM.jpeg</t>
  </si>
  <si>
    <t>GUID1111020001</t>
  </si>
  <si>
    <t>GUILAHOUX</t>
  </si>
  <si>
    <t>DOUA LOUIS DIEUDONNE</t>
  </si>
  <si>
    <t>https://myiipea.com/media/etudiant/photo/WhatsApp_Image_2023-10-02_at_09.14.51.jpeg</t>
  </si>
  <si>
    <t>GUIK1010020001</t>
  </si>
  <si>
    <t>GUINA</t>
  </si>
  <si>
    <t>KOMY ANICET</t>
  </si>
  <si>
    <t>https://myiipea.com/media/etudiant/photo/WhatsApp_Image_2023-10-30_at_12.52.51.jpeg</t>
  </si>
  <si>
    <t>GUIA1705050001</t>
  </si>
  <si>
    <t>GUIRA</t>
  </si>
  <si>
    <t>https://myiipea.com/media/etudiant/photo/WhatsApp_Image_2023-10-02_at_15.21.43.jpeg</t>
  </si>
  <si>
    <t>GUIS0209020002</t>
  </si>
  <si>
    <t>GUIRE</t>
  </si>
  <si>
    <t>SONIA ELISE</t>
  </si>
  <si>
    <t>https://myiipea.com/media/etudiant/photo/WhatsApp_Image_2023-10-13_at_12.31.52_PM.jpeg</t>
  </si>
  <si>
    <t>GUIT3004050001</t>
  </si>
  <si>
    <t>GUIROUA</t>
  </si>
  <si>
    <t>TRYPHENE ELLA</t>
  </si>
  <si>
    <t>https://myiipea.com/media/etudiant/photo/WhatsApp_Image_2023-10-06_at_11.43.15.jpeg</t>
  </si>
  <si>
    <t>GUIA3001030001</t>
  </si>
  <si>
    <t>GUISSE</t>
  </si>
  <si>
    <t>AISSATA</t>
  </si>
  <si>
    <t>https://myiipea.com/media/etudiant/photo/WhatsApp_Image_2023-11-09_at_12.34.04.jpeg</t>
  </si>
  <si>
    <t>GUIS2702010001</t>
  </si>
  <si>
    <t>GUITHEHI</t>
  </si>
  <si>
    <t>SIA BLESSON ARISTIDE</t>
  </si>
  <si>
    <t>https://myiipea.com/media/etudiant/photo/WhatsApp_Image_2023-10-12_at_10.27.41.jpeg</t>
  </si>
  <si>
    <t>GUIK0811050001</t>
  </si>
  <si>
    <t>GUIZA</t>
  </si>
  <si>
    <t>KAHOUA DAVID ISRAEL</t>
  </si>
  <si>
    <t>https://myiipea.com/media/etudiant/photo/WhatsApp_Image_2023-10-11_at_11.42.40.jpeg</t>
  </si>
  <si>
    <t>HABM0101000001</t>
  </si>
  <si>
    <t>HABA</t>
  </si>
  <si>
    <t>MAN EMMA</t>
  </si>
  <si>
    <t>https://myiipea.com/media/etudiant/photo/WhatsApp_Image_2023-11-27_at_12.32.32_PM.jpeg</t>
  </si>
  <si>
    <t>HADK2706040001</t>
  </si>
  <si>
    <t>HADDAD</t>
  </si>
  <si>
    <t>KOUASSI ANNE-LISE DELIA ANAIS</t>
  </si>
  <si>
    <t>https://myiipea.com/media/etudiant/photo/WhatsApp_Image_2023-09-26_at_09.59.37.jpeg</t>
  </si>
  <si>
    <t>HAIC3105040001</t>
  </si>
  <si>
    <t>HAIDARA</t>
  </si>
  <si>
    <t>CHEICK HAMADOU TIDIANE</t>
  </si>
  <si>
    <t>https://myiipea.com/media/etudiant/photo/TIDIANE.jpg</t>
  </si>
  <si>
    <t>HAIN1409030001</t>
  </si>
  <si>
    <t>N'DEYE FATOU</t>
  </si>
  <si>
    <t>https://myiipea.com/media/etudiant/photo/WhatsApp_Image_2023-10-02_at_09.28.07.jpeg</t>
  </si>
  <si>
    <t>HAMM1712020001</t>
  </si>
  <si>
    <t>HAMISU</t>
  </si>
  <si>
    <t>MOHAMED KABIR</t>
  </si>
  <si>
    <t>https://myiipea.com/media/etudiant/photo/WhatsApp_Image_2023-11-08_at_15.02.34.jpeg</t>
  </si>
  <si>
    <t>HARM0605050001</t>
  </si>
  <si>
    <t>HARCROWN</t>
  </si>
  <si>
    <t>MEFIA GRACE STEPHANIE</t>
  </si>
  <si>
    <t>https://myiipea.com/media/etudiant/photo/WhatsApp_Image_2023-09-26_at_12.00.00.jpeg</t>
  </si>
  <si>
    <t>HATK1203030001</t>
  </si>
  <si>
    <t>HATO</t>
  </si>
  <si>
    <t>KOKOU JUSTIN</t>
  </si>
  <si>
    <t>https://myiipea.com/media/etudiant/photo/WhatsApp_Image_2023-11-16_at_11.38.25.jpeg</t>
  </si>
  <si>
    <t>HEBS2809010001</t>
  </si>
  <si>
    <t>HEBELAMOU</t>
  </si>
  <si>
    <t>SIBAKPAYE</t>
  </si>
  <si>
    <t>https://myiipea.com/media/etudiant/photo/WhatsApp_Image_2023-10-13_at_16.55.46.jpeg</t>
  </si>
  <si>
    <t>HIED1810030001</t>
  </si>
  <si>
    <t>HIEN</t>
  </si>
  <si>
    <t>DJINDIFITE MARIE-LINE ANGE</t>
  </si>
  <si>
    <t>https://myiipea.com/media/etudiant/photo/WhatsApp_Image_2023-10-16_at_11.31.33.jpeg</t>
  </si>
  <si>
    <t>HIEE0401050002</t>
  </si>
  <si>
    <t>ERY FELICITE</t>
  </si>
  <si>
    <t>https://myiipea.com/media/etudiant/photo/WhatsApp_Image_2023-10-04_at_12.19.57.jpeg</t>
  </si>
  <si>
    <t>HIEG0108030001</t>
  </si>
  <si>
    <t>GARY ANGE GEMIMA</t>
  </si>
  <si>
    <t>https://myiipea.com/media/etudiant/photo/WhatsApp_Image_2023-10-24_at_14.48.19.jpeg</t>
  </si>
  <si>
    <t>HIEM1803060001</t>
  </si>
  <si>
    <t>MARIE BERENICE FLORA</t>
  </si>
  <si>
    <t>https://myiipea.com/media/etudiant/photo/WhatsApp_Image_2023-10-26_at_13.29.42.jpeg</t>
  </si>
  <si>
    <t>HIES0101040001</t>
  </si>
  <si>
    <t>SIE NARCISSE</t>
  </si>
  <si>
    <t>https://myiipea.com/media/etudiant/photo/WhatsApp_Image_2023-10-30_at_13.16.33.jpeg</t>
  </si>
  <si>
    <t>HIES2910040001</t>
  </si>
  <si>
    <t>SIE SEYDOU</t>
  </si>
  <si>
    <t>https://myiipea.com/media/etudiant/photo/WhatsApp_Image_2023-10-05_at_15.08.25.jpeg</t>
  </si>
  <si>
    <t>HIEV1502020001</t>
  </si>
  <si>
    <t>VALENTINE</t>
  </si>
  <si>
    <t>https://myiipea.com/media/etudiant/photo/WhatsApp_Image_2023-10-12_at_5.38.23_PM.jpeg</t>
  </si>
  <si>
    <t>HILD2203040001</t>
  </si>
  <si>
    <t>HILI</t>
  </si>
  <si>
    <t>DIMBEYA ROMARIC</t>
  </si>
  <si>
    <t>https://myiipea.com/media/etudiant/photo/WhatsApp_Image_2023-10-02_at_09.53.56.jpeg</t>
  </si>
  <si>
    <t>HILP2310040001</t>
  </si>
  <si>
    <t>PONAPEWA AHOU FABIOLA</t>
  </si>
  <si>
    <t>https://myiipea.com/media/etudiant/photo/WhatsApp_Image_2023-11-17_at_17.10.32.jpeg</t>
  </si>
  <si>
    <t>HILD0111010001</t>
  </si>
  <si>
    <t>HILOU</t>
  </si>
  <si>
    <t>DJARIATA</t>
  </si>
  <si>
    <t>https://myiipea.com/media/etudiant/photo/WhatsApp_Image_2023-10-11_at_16.53.51.jpeg</t>
  </si>
  <si>
    <t>HING0306000001</t>
  </si>
  <si>
    <t>HINO</t>
  </si>
  <si>
    <t>GUY DELES</t>
  </si>
  <si>
    <t>https://myiipea.com/media/etudiant/photo/WhatsApp_Image_2023-10-05_at_11.49.34_AM.jpeg</t>
  </si>
  <si>
    <t>HIVB1104020001</t>
  </si>
  <si>
    <t>HIVA</t>
  </si>
  <si>
    <t>BI HIVA FRANCK DONALD</t>
  </si>
  <si>
    <t>https://myiipea.com/media/etudiant/photo/WhatsApp_Image_2023-10-19_at_14.24.25.jpeg</t>
  </si>
  <si>
    <t>HOLA2603040001</t>
  </si>
  <si>
    <t>HOLONYO</t>
  </si>
  <si>
    <t>AFI LARISSA</t>
  </si>
  <si>
    <t>https://myiipea.com/media/etudiant/photo/WhatsApp_Image_2023-09-29_at_13.27.32.jpeg</t>
  </si>
  <si>
    <t>HONA2511030001</t>
  </si>
  <si>
    <t>HONKOU</t>
  </si>
  <si>
    <t>ABLA CATHERINE</t>
  </si>
  <si>
    <t>https://myiipea.com/media/etudiant/photo/WhatsApp_Image_2023-10-02_at_7.38.48_PM.jpeg</t>
  </si>
  <si>
    <t>HONE0101050001</t>
  </si>
  <si>
    <t>HONNY</t>
  </si>
  <si>
    <t>EVELYNE DEBORAH</t>
  </si>
  <si>
    <t>https://myiipea.com/media/etudiant/photo/WhatsApp_Image_2023-10-02_at_18.39.07.jpeg</t>
  </si>
  <si>
    <t>HOUM3105000001</t>
  </si>
  <si>
    <t>HOSSOU</t>
  </si>
  <si>
    <t>MARIE RYKIEL ANGELIQUE</t>
  </si>
  <si>
    <t>https://myiipea.com/media/etudiant/photo/WhatsApp_Image_2023-10-12_at_11.09.02.jpeg</t>
  </si>
  <si>
    <t>HOUJ1912020001</t>
  </si>
  <si>
    <t>HOUEDJISSI</t>
  </si>
  <si>
    <t>JEAN DAVID EMMANUEL</t>
  </si>
  <si>
    <t>https://myiipea.com/media/etudiant/photo/WhatsApp_Image_2023-10-28_at_13.06.50.jpeg</t>
  </si>
  <si>
    <t>HOUO0603030001</t>
  </si>
  <si>
    <t>ONETRO GRRACE MORELLE NANCY</t>
  </si>
  <si>
    <t>https://myiipea.com/media/etudiant/photo/WhatsApp_Image_2023-10-06_at_6.44.04_PM.jpeg</t>
  </si>
  <si>
    <t>HOUD0711040001</t>
  </si>
  <si>
    <t>HOUGA</t>
  </si>
  <si>
    <t>DE GAULLY N'DOUA ANGE CARELLE</t>
  </si>
  <si>
    <t>https://myiipea.com/media/etudiant/photo/WhatsApp_Image_2023-10-02_at_16_resized.png</t>
  </si>
  <si>
    <t>HOUM1711000001</t>
  </si>
  <si>
    <t>HOUIBLEHON</t>
  </si>
  <si>
    <t>MARC-EMMANUEL</t>
  </si>
  <si>
    <t>https://myiipea.com/media/etudiant/photo/WhatsApp_Image_2023-10-04_at_15.22.07.jpeg</t>
  </si>
  <si>
    <t>HOUK0411030001</t>
  </si>
  <si>
    <t>HOULA</t>
  </si>
  <si>
    <t>KOUADIO CHARLES JEAN PHILIPPE</t>
  </si>
  <si>
    <t>https://myiipea.com/media/etudiant/photo/WhatsApp_Image_2023-10-06_at_11.24.29_1.jpeg</t>
  </si>
  <si>
    <t>HOUG0702050001</t>
  </si>
  <si>
    <t>HOUNDESSEDO</t>
  </si>
  <si>
    <t>GRACE LYDIA</t>
  </si>
  <si>
    <t>https://myiipea.com/media/etudiant/photo/WhatsApp_Image_2023-10-17_at_13.45.54_1.jpeg</t>
  </si>
  <si>
    <t>HOUA1701030001</t>
  </si>
  <si>
    <t>HOUNKANLI</t>
  </si>
  <si>
    <t>AFFI ROSALINE</t>
  </si>
  <si>
    <t>https://myiipea.com/media/etudiant/photo/IIPEA2_rqil3Ub.jpeg</t>
  </si>
  <si>
    <t>HOUA1211980001</t>
  </si>
  <si>
    <t>HOUNKPEKPIN</t>
  </si>
  <si>
    <t>AKOUEVI ANNE BEATRICE</t>
  </si>
  <si>
    <t>https://myiipea.com/media/etudiant/photo/WhatsApp_Image_2023-11-07_at_15.51.44.jpeg</t>
  </si>
  <si>
    <t>HOUN1510000001</t>
  </si>
  <si>
    <t>HOUNMENOU</t>
  </si>
  <si>
    <t>NOUNAGNON GHISLAIN</t>
  </si>
  <si>
    <t>https://myiipea.com/media/etudiant/photo/WhatsApp_Image_2023-10-17_at_12.20.20.jpeg</t>
  </si>
  <si>
    <t>HOUT2811040001</t>
  </si>
  <si>
    <t>HOUPHOUET</t>
  </si>
  <si>
    <t>THAN MARVEL</t>
  </si>
  <si>
    <t>https://myiipea.com/media/etudiant/photo/WhatsApp_Image_2023-11-16_at_2.01.37_PM.jpeg</t>
  </si>
  <si>
    <t>HOUA0305040001</t>
  </si>
  <si>
    <t>HOUSSOU</t>
  </si>
  <si>
    <t>AMLAN MARIE RACHELLE</t>
  </si>
  <si>
    <t>https://myiipea.com/media/etudiant/photo/WhatsApp_Image_2023-10-05_at_16.29.50.jpeg</t>
  </si>
  <si>
    <t>IDDD1302020001</t>
  </si>
  <si>
    <t>IDDE</t>
  </si>
  <si>
    <t>DJIBRIL VALENTIN</t>
  </si>
  <si>
    <t>https://myiipea.com/media/etudiant/photo/WhatsApp_Image_2023-10-27_at_15.32.32.jpeg</t>
  </si>
  <si>
    <t>ILBS0101010001</t>
  </si>
  <si>
    <t>ILBOUDO</t>
  </si>
  <si>
    <t>https://myiipea.com/media/etudiant/photo/WhatsApp_Image_2023-10-18_at_10.00.00.jpeg</t>
  </si>
  <si>
    <t>ILBW0501040001</t>
  </si>
  <si>
    <t>WINDINDE ENOC</t>
  </si>
  <si>
    <t>https://myiipea.com/media/etudiant/photo/WhatsApp_Image_2023-09-28_at_17_resized.png</t>
  </si>
  <si>
    <t>ILBC1204040001</t>
  </si>
  <si>
    <t>ILBOUDOU</t>
  </si>
  <si>
    <t>https://myiipea.com/media/etudiant/photo/WhatsApp_Image_2023-10-10_at_09.30.46.jpeg</t>
  </si>
  <si>
    <t>INAB1510040001</t>
  </si>
  <si>
    <t>INAN</t>
  </si>
  <si>
    <t>BOYA ANAIS ORPHEE</t>
  </si>
  <si>
    <t>https://myiipea.com/media/etudiant/photo/WhatsApp_Image_2023-10-12_at_13.47.55.jpeg</t>
  </si>
  <si>
    <t>INET2011000001</t>
  </si>
  <si>
    <t>INEKA</t>
  </si>
  <si>
    <t>TOH ARTHUR</t>
  </si>
  <si>
    <t>https://myiipea.com/media/etudiant/photo/WhatsApp_Image_2023-10-27_at_09.59.14.jpeg</t>
  </si>
  <si>
    <t>IRAM3009030001</t>
  </si>
  <si>
    <t>IRA</t>
  </si>
  <si>
    <t>https://myiipea.com/media/etudiant/photo/WhatsApp_Image_2023-10-03_at_11.55.43.jpeg</t>
  </si>
  <si>
    <t>IREG0303050001</t>
  </si>
  <si>
    <t>IRE</t>
  </si>
  <si>
    <t>GRAMICHE PHOEBE OCEANE HOULAYMATOU</t>
  </si>
  <si>
    <t>https://myiipea.com/media/etudiant/photo/WhatsApp_Image_2023-10-10_at_2.41.24_PM.jpeg</t>
  </si>
  <si>
    <t>IRIA0408040001</t>
  </si>
  <si>
    <t>IRIE</t>
  </si>
  <si>
    <t>ANGENOR GUY STEPHANE</t>
  </si>
  <si>
    <t>https://myiipea.com/media/etudiant/photo/WhatsApp_Image_2023-10-03_at_14.45.11.jpeg</t>
  </si>
  <si>
    <t>IRIB0101020001</t>
  </si>
  <si>
    <t>BI GOH WILLIAMS</t>
  </si>
  <si>
    <t>https://myiipea.com/media/etudiant/photo/WhatsApp_Image_2023-11-20_at_2.14.56_PM.jpeg</t>
  </si>
  <si>
    <t>IRIB1204020001</t>
  </si>
  <si>
    <t>BI TA LOU GRACE DIVINE</t>
  </si>
  <si>
    <t>https://myiipea.com/media/etudiant/photo/WhatsApp_Image_2023-11-06_at_15.34.54.jpeg</t>
  </si>
  <si>
    <t>IRIL0905040001</t>
  </si>
  <si>
    <t>LOU BONAN AUDREY ALEXANDRA ELISABETH</t>
  </si>
  <si>
    <t>https://myiipea.com/media/etudiant/photo/WhatsApp_Image_2023-11-13_at_11.02.40.jpeg</t>
  </si>
  <si>
    <t>IRIL0810030001</t>
  </si>
  <si>
    <t>LOU FOUANAN SAMIRA MARLYNE</t>
  </si>
  <si>
    <t>https://myiipea.com/media/etudiant/photo/WhatsApp_Image_2023-10-25_at_10.09.58_yBvlkpE.jpeg</t>
  </si>
  <si>
    <t>IRIZ2208020001</t>
  </si>
  <si>
    <t>LOU IRIE ZAHITI JOSIANE</t>
  </si>
  <si>
    <t>https://myiipea.com/media/etudiant/photo/WhatsApp_Image_2023-09-26_at_12.31.33.jpeg</t>
  </si>
  <si>
    <t>ISMA1008060001</t>
  </si>
  <si>
    <t>ADO FATOUMATA</t>
  </si>
  <si>
    <t>https://myiipea.com/media/etudiant/photo/WhatsApp_Image_2023-10-04_at_13.18.50.jpeg</t>
  </si>
  <si>
    <t>ISSB1106010001</t>
  </si>
  <si>
    <t>BONI AFFOUA</t>
  </si>
  <si>
    <t>https://myiipea.com/media/etudiant/photo/WhatsApp_Image_2023-11-13_at_12.46.00.jpeg</t>
  </si>
  <si>
    <t>ISSM1308980001</t>
  </si>
  <si>
    <t>MARIAM TAHA ELISABETH</t>
  </si>
  <si>
    <t>https://myiipea.com/media/etudiant/photo/WhatsApp_Image_2023-10-03_at_17.31.50.jpeg</t>
  </si>
  <si>
    <t>ISSY0904060001</t>
  </si>
  <si>
    <t>YOBOUANE KOUAKOU HASSANE</t>
  </si>
  <si>
    <t>https://myiipea.com/media/etudiant/photo/WhatsApp_Image_2023-10-05_at_13.29.14.jpeg</t>
  </si>
  <si>
    <t>ISSA2512010001</t>
  </si>
  <si>
    <t>ISSIA</t>
  </si>
  <si>
    <t>ABDOUL RAHIM</t>
  </si>
  <si>
    <t>https://myiipea.com/media/etudiant/photo/WhatsApp_Image_2023-09-20_at_09.45.35.jpeg</t>
  </si>
  <si>
    <t>JEAP1907040001</t>
  </si>
  <si>
    <t>JEAN PIERRE BERGER</t>
  </si>
  <si>
    <t>NAOMI</t>
  </si>
  <si>
    <t>https://myiipea.com/media/etudiant/photo/WhatsApp_Image_2023-10-12_at_11.28.01.jpeg</t>
  </si>
  <si>
    <t>JICL0308010001</t>
  </si>
  <si>
    <t>JICHI</t>
  </si>
  <si>
    <t>LEYLA</t>
  </si>
  <si>
    <t>https://myiipea.com/media/etudiant/photo/WhatsApp_Image_2023-10-06_at_09.45.14.jpeg</t>
  </si>
  <si>
    <t>JHOL2306890001</t>
  </si>
  <si>
    <t>JOHNSON</t>
  </si>
  <si>
    <t>LETITIA NADA HARRIET</t>
  </si>
  <si>
    <t>https://myiipea.com/media/etudiant/photo/WhatsApp_Image_2023-11-02_at_1.19.56_PM_1.jpeg</t>
  </si>
  <si>
    <t>JOLZ0503040001</t>
  </si>
  <si>
    <t>JOLY</t>
  </si>
  <si>
    <t>ZLANGBA GRACE</t>
  </si>
  <si>
    <t>https://myiipea.com/media/etudiant/photo/WhatsApp_Image_2023-10-02_at_15.25.10.jpeg</t>
  </si>
  <si>
    <t>JULK3006950001</t>
  </si>
  <si>
    <t>JULIEN</t>
  </si>
  <si>
    <t>KOUAME KOUAKOU MARTIAL</t>
  </si>
  <si>
    <t>https://myiipea.com/media/etudiant/photo/WhatsApp_Image_2023-09-29_at_17.33.18.jpeg</t>
  </si>
  <si>
    <t>KABD1104030001</t>
  </si>
  <si>
    <t>KABA</t>
  </si>
  <si>
    <t>DIAKITE CHEICK</t>
  </si>
  <si>
    <t>https://myiipea.com/media/etudiant/photo/WhatsApp_Image_2023-11-16_at_14.57.54.jpeg</t>
  </si>
  <si>
    <t>KABF1009230001</t>
  </si>
  <si>
    <t>FANTA BALKISS</t>
  </si>
  <si>
    <t>https://myiipea.com/media/etudiant/photo/WhatsApp_Image_2023-10-13_at_14.30.44.jpeg</t>
  </si>
  <si>
    <t>KABF1305010001</t>
  </si>
  <si>
    <t>https://myiipea.com/media/etudiant/photo/WhatsApp_Image_2023-11-06_at_14.15.18.jpeg</t>
  </si>
  <si>
    <t>KABS1109960001</t>
  </si>
  <si>
    <t>SANSY</t>
  </si>
  <si>
    <t>https://myiipea.com/media/etudiant/photo/WhatsApp_Image_2023-10-26_at_12.54.29.jpeg</t>
  </si>
  <si>
    <t>KABA1601010001</t>
  </si>
  <si>
    <t>KABLAN</t>
  </si>
  <si>
    <t>ADJOUA MARIE BELLE</t>
  </si>
  <si>
    <t>https://myiipea.com/media/etudiant/photo/WhatsApp_Image_2023-10-25_at_12.42.00.jpeg</t>
  </si>
  <si>
    <t>KABA1207040001</t>
  </si>
  <si>
    <t>AMAN JUDITH ANDREA</t>
  </si>
  <si>
    <t>https://myiipea.com/media/etudiant/photo/WhatsApp_Image_2023-10-16_at_14.28.17.jpeg</t>
  </si>
  <si>
    <t>KABH1112010002</t>
  </si>
  <si>
    <t>HANS EVAN</t>
  </si>
  <si>
    <t>https://myiipea.com/media/etudiant/photo/WhatsApp_Image_2023-10-27_at_09.58.32_bPq7JWO.jpeg</t>
  </si>
  <si>
    <t>KABA1109010002</t>
  </si>
  <si>
    <t>KABLANKAN</t>
  </si>
  <si>
    <t>AMON CHRIST-JARDEL</t>
  </si>
  <si>
    <t>https://myiipea.com/media/etudiant/photo/WhatsApp_Image_2023-10-30_at_16.24.56.jpeg</t>
  </si>
  <si>
    <t>KABM1511050001</t>
  </si>
  <si>
    <t>KABORE</t>
  </si>
  <si>
    <t>https://myiipea.com/media/etudiant/photo/WhatsApp_Image_2023-10-04_at_14.28.55.jpeg</t>
  </si>
  <si>
    <t>KABM2510010001</t>
  </si>
  <si>
    <t>https://myiipea.com/media/etudiant/photo/WhatsApp_Image_2023-10-06_at_11.43.40.jpeg</t>
  </si>
  <si>
    <t>KABR0604030001</t>
  </si>
  <si>
    <t>https://myiipea.com/media/etudiant/photo/WhatsApp_Image_2023-10-21_at_1.17.22_PM.jpeg</t>
  </si>
  <si>
    <t>KABA0209030001</t>
  </si>
  <si>
    <t>KABRAN</t>
  </si>
  <si>
    <t>ALLOU BLA SIDNEY CELIA BELLE</t>
  </si>
  <si>
    <t>https://myiipea.com/media/etudiant/photo/WhatsApp_Image_2023-10-19_at_4.28.12_PM.jpeg</t>
  </si>
  <si>
    <t>KACA1311050001</t>
  </si>
  <si>
    <t>KACOU</t>
  </si>
  <si>
    <t>ABOYA  ANGE BEATRICE AMOUR</t>
  </si>
  <si>
    <t>https://myiipea.com/media/etudiant/photo/WhatsApp_Image_2023-11-07_at_1.39.47_PM.jpeg</t>
  </si>
  <si>
    <t>KACA1205040001</t>
  </si>
  <si>
    <t>AMANI MARIA ELVIRA</t>
  </si>
  <si>
    <t>https://myiipea.com/media/etudiant/photo/WhatsApp_Image_2023-10-23_at_2.40.17_PM.jpeg</t>
  </si>
  <si>
    <t>KACA2106030001</t>
  </si>
  <si>
    <t>AMANLAN ANNY MURIELLE</t>
  </si>
  <si>
    <t>https://myiipea.com/media/etudiant/photo/WhatsApp_Image_2023-10-11_at_16.27.00.jpeg</t>
  </si>
  <si>
    <t>KACB2911040001</t>
  </si>
  <si>
    <t>BOMO AUDE FABIOLA SAFIR</t>
  </si>
  <si>
    <t>https://myiipea.com/media/etudiant/photo/WhatsApp_Image_2023-11-08_at_12.22.07_PM.jpeg</t>
  </si>
  <si>
    <t>KACE3011010001</t>
  </si>
  <si>
    <t>EHUI ANDRE</t>
  </si>
  <si>
    <t>https://myiipea.com/media/etudiant/photo/239422487_405915444207421_8131329350063382999_n_pbEVvpg.jpg</t>
  </si>
  <si>
    <t>KACE2207000001</t>
  </si>
  <si>
    <t>EVA AYA KAN ANTOINETTE JOHANE</t>
  </si>
  <si>
    <t>https://myiipea.com/media/etudiant/photo/WhatsApp_Image_2023-11-29_at_1.53.36_PM.jpeg</t>
  </si>
  <si>
    <t>KACK2312030001</t>
  </si>
  <si>
    <t>KASSI JEAN EMMANUEL</t>
  </si>
  <si>
    <t>https://myiipea.com/media/etudiant/photo/WhatsApp_Image_2023-10-03_at_14.00.58.jpeg</t>
  </si>
  <si>
    <t>KACP0703000001</t>
  </si>
  <si>
    <t>PATRICK JUNIOR</t>
  </si>
  <si>
    <t>https://myiipea.com/media/etudiant/photo/WhatsApp_Image_2023-11-13_at_15.41.15.jpeg</t>
  </si>
  <si>
    <t>KACG0903030001</t>
  </si>
  <si>
    <t>KACOUTCHI</t>
  </si>
  <si>
    <t>GNAMIEN SEM JOEL</t>
  </si>
  <si>
    <t>https://myiipea.com/media/etudiant/photo/WhatsApp_Image_2023-11-17_at_11.22.58.jpeg</t>
  </si>
  <si>
    <t>KADY1209000001</t>
  </si>
  <si>
    <t>KADIO</t>
  </si>
  <si>
    <t>YAH ANGE MARIE-JOELLE</t>
  </si>
  <si>
    <t>https://myiipea.com/media/etudiant/photo/WhatsApp_Image_2023-10-11_at_13.05.04.jpeg</t>
  </si>
  <si>
    <t>KADE0210030001</t>
  </si>
  <si>
    <t>KADJA</t>
  </si>
  <si>
    <t>EUNICE KARELL</t>
  </si>
  <si>
    <t>https://myiipea.com/media/etudiant/photo/WhatsApp_Image_2023-10-04_at_19.38.12.jpeg</t>
  </si>
  <si>
    <t>KADM2808040001</t>
  </si>
  <si>
    <t>MARIE-MICHELE BIENVENUE EKOILA</t>
  </si>
  <si>
    <t>https://myiipea.com/media/etudiant/photo/WhatsApp_Image_2023-10-05_at_14.29.02.jpeg</t>
  </si>
  <si>
    <t>KADW0207040001</t>
  </si>
  <si>
    <t>WOSSAN GLORIA MAGDALENIA MARIA DANIELLA</t>
  </si>
  <si>
    <t>https://myiipea.com/media/etudiant/photo/WhatsApp_Image_2023-09-21_at_16.55.28.jpeg</t>
  </si>
  <si>
    <t>KADA0307060001</t>
  </si>
  <si>
    <t>KADJERI</t>
  </si>
  <si>
    <t>AKISSI  DORIANE GEORGES</t>
  </si>
  <si>
    <t>https://myiipea.com/media/etudiant/photo/WhatsApp_Image_2023-11-13_at_12.13.22.jpeg</t>
  </si>
  <si>
    <t>KADW1510060001</t>
  </si>
  <si>
    <t>KADJI</t>
  </si>
  <si>
    <t>WADOU ORIANNE</t>
  </si>
  <si>
    <t>https://myiipea.com/media/etudiant/photo/WhatsApp_Image_2023-10-04_at_16.10.39.jpeg</t>
  </si>
  <si>
    <t>KODA2505040001</t>
  </si>
  <si>
    <t>KADJO</t>
  </si>
  <si>
    <t>ALLOUA RUTH HERMINE</t>
  </si>
  <si>
    <t>https://myiipea.com/media/etudiant/photo/WhatsApp_Image_2023-10-13_at_17.19.50.jpeg</t>
  </si>
  <si>
    <t>KADA2904980001</t>
  </si>
  <si>
    <t>AMON SYNTYNCHE PRISCA</t>
  </si>
  <si>
    <t>https://myiipea.com/media/etudiant/photo/WhatsApp_Image_2023-11-27_at_11.53.04_AM.jpeg</t>
  </si>
  <si>
    <t>KADK2211050001</t>
  </si>
  <si>
    <t>https://myiipea.com/media/etudiant/photo/WhatsApp_Image_2023-10-18_at_2.57.49_PM.jpeg</t>
  </si>
  <si>
    <t>KADO1512030001</t>
  </si>
  <si>
    <t>ORELIA ASSE DELAVY</t>
  </si>
  <si>
    <t>https://myiipea.com/media/etudiant/photo/WhatsApp_Image_2023-10-19_at_11.34.53_AM.jpeg</t>
  </si>
  <si>
    <t>KADR0902050001</t>
  </si>
  <si>
    <t>RAISSA AMANDINE ODILE AMOAN</t>
  </si>
  <si>
    <t>https://myiipea.com/media/etudiant/photo/WhatsApp_Image_2023-10-10_at_15.08.39.jpeg</t>
  </si>
  <si>
    <t>KADS3112030001</t>
  </si>
  <si>
    <t>SOBA SAPHIRA SERAPHINE</t>
  </si>
  <si>
    <t>https://myiipea.com/media/etudiant/photo/WhatsApp_Image_2023-10-02_at_14.34.30.jpeg</t>
  </si>
  <si>
    <t>KAFW0306000001</t>
  </si>
  <si>
    <t>KAFANDO</t>
  </si>
  <si>
    <t>WINDRABO ABOUBACAR ALASSANE JUNIOR</t>
  </si>
  <si>
    <t>https://myiipea.com/media/etudiant/photo/WhatsApp_Image_2023-10-05_at_5.17.50_PM.jpeg</t>
  </si>
  <si>
    <t>KAHD1412020001</t>
  </si>
  <si>
    <t>KAHE</t>
  </si>
  <si>
    <t>DRE ANGE WILFRIED</t>
  </si>
  <si>
    <t>https://myiipea.com/media/etudiant/photo/WhatsApp_Image_2023-10-16_at_11.48.21.jpeg</t>
  </si>
  <si>
    <t>KAHN0905050001</t>
  </si>
  <si>
    <t>KAHI</t>
  </si>
  <si>
    <t>NYAMIEN MAN ELYSEE PACOME</t>
  </si>
  <si>
    <t>https://myiipea.com/media/etudiant/photo/WhatsApp_Image_2023-10-02_at_18.39.45.jpeg</t>
  </si>
  <si>
    <t>KAHP2009030001</t>
  </si>
  <si>
    <t>KAHIBA</t>
  </si>
  <si>
    <t>PRINCE JUNIOR</t>
  </si>
  <si>
    <t>https://myiipea.com/media/etudiant/photo/WhatsApp_Image_2023-10-11_at_14.47.57.jpeg</t>
  </si>
  <si>
    <t>KAKA1410030001</t>
  </si>
  <si>
    <t>KAKOU</t>
  </si>
  <si>
    <t>ATTA YANN MEXANT</t>
  </si>
  <si>
    <t>https://myiipea.com/media/etudiant/photo/WhatsApp_Image_2023-10-03_at_11.14.56_AM_21tt0Y6.jpeg</t>
  </si>
  <si>
    <t>KAKE0112020001</t>
  </si>
  <si>
    <t>ESSIS ANGE MELAINE</t>
  </si>
  <si>
    <t>https://myiipea.com/media/etudiant/photo/WhatsApp_Image_2023-10-09_at_12.40.06.jpeg</t>
  </si>
  <si>
    <t>KAKK0911050001</t>
  </si>
  <si>
    <t>KERENE EBENEZER</t>
  </si>
  <si>
    <t>https://myiipea.com/media/etudiant/photo/WhatsApp_Image_2023-10-04_at_12.19.42_PM.jpeg</t>
  </si>
  <si>
    <t>KALB1002050001</t>
  </si>
  <si>
    <t>KALLET</t>
  </si>
  <si>
    <t>BIALY ANNICOU ANNE CECILE FATIMA</t>
  </si>
  <si>
    <t>https://myiipea.com/media/etudiant/photo/WhatsApp_Image_2023-09-26_at_12.00.47.jpeg</t>
  </si>
  <si>
    <t>KALD1712050001</t>
  </si>
  <si>
    <t>KALLIE</t>
  </si>
  <si>
    <t>DEMEL CHRISTIAN SEM</t>
  </si>
  <si>
    <t>https://myiipea.com/media/etudiant/photo/WhatsApp_Image_2023-10-02_at_09.51.25.jpeg</t>
  </si>
  <si>
    <t>KAMD0411030001</t>
  </si>
  <si>
    <t>KAMAGATE</t>
  </si>
  <si>
    <t>https://myiipea.com/media/etudiant/photo/WhatsApp_Image_2023-11-07_at_5.13.08_PM.jpeg</t>
  </si>
  <si>
    <t>KAMK2311010001</t>
  </si>
  <si>
    <t>KADER</t>
  </si>
  <si>
    <t>https://myiipea.com/media/etudiant/photo/239422487_405915444207421_8131329350063382999_n_FJIforx.jpg</t>
  </si>
  <si>
    <t>KAMK2001020001</t>
  </si>
  <si>
    <t>KOUSSOUHA</t>
  </si>
  <si>
    <t>https://myiipea.com/media/etudiant/photo/WhatsApp_Image_2023-10-20_at_11.05.44.jpeg</t>
  </si>
  <si>
    <t>KAMM1410020001</t>
  </si>
  <si>
    <t>https://myiipea.com/media/etudiant/photo/kamagate.jpg</t>
  </si>
  <si>
    <t>KAMN1104030001</t>
  </si>
  <si>
    <t>NAFANA</t>
  </si>
  <si>
    <t>https://myiipea.com/media/etudiant/photo/WhatsApp_Image_2023-09-18_at_16.20.35.jpeg</t>
  </si>
  <si>
    <t>KAMN1512040001</t>
  </si>
  <si>
    <t>NOURA FATIM</t>
  </si>
  <si>
    <t>https://myiipea.com/media/etudiant/photo/WhatsApp_Image_2023-10-09_at_6.01.19_PM.jpeg</t>
  </si>
  <si>
    <t>KAMS2302020001</t>
  </si>
  <si>
    <t>https://myiipea.com/media/etudiant/photo/WhatsApp_Image_2023-11-07_at_12.40.31.jpeg</t>
  </si>
  <si>
    <t>KAMA1003000001</t>
  </si>
  <si>
    <t>KAMARA</t>
  </si>
  <si>
    <t>AFFOUE MYRIAM</t>
  </si>
  <si>
    <t>https://myiipea.com/media/etudiant/photo/WhatsApp_Image_2023-11-16_at_15.55.10.jpeg</t>
  </si>
  <si>
    <t>KAMM1201020001</t>
  </si>
  <si>
    <t>https://myiipea.com/media/etudiant/photo/WhatsApp_Image_2023-10-09_at_14.09.13.jpeg</t>
  </si>
  <si>
    <t>KAMN1603050001</t>
  </si>
  <si>
    <t>NAN DJENEBA</t>
  </si>
  <si>
    <t>https://myiipea.com/media/etudiant/photo/IMG_9209_resized.png</t>
  </si>
  <si>
    <t>KAMO2012030001</t>
  </si>
  <si>
    <t>https://myiipea.com/media/etudiant/photo/WhatsApp_Image_2023-10-23_at_14.16.30.jpeg</t>
  </si>
  <si>
    <t>KAMP1503000001</t>
  </si>
  <si>
    <t>PENAGNAMBAN RICHARD</t>
  </si>
  <si>
    <t>https://myiipea.com/media/etudiant/photo/WhatsApp_Image_2023-10-13_at_18.15.06.jpeg</t>
  </si>
  <si>
    <t>KAMB2804050001</t>
  </si>
  <si>
    <t>KAMBIRE</t>
  </si>
  <si>
    <t>BEKANTY IVANE MOREL</t>
  </si>
  <si>
    <t>https://myiipea.com/media/etudiant/photo/WhatsApp_Image_2023-09-28_at_13.51.14.jpeg</t>
  </si>
  <si>
    <t>KAMB0104020001</t>
  </si>
  <si>
    <t>BOIKOUN PAUL</t>
  </si>
  <si>
    <t>https://myiipea.com/media/etudiant/photo/IMG_9255_resized.png</t>
  </si>
  <si>
    <t>KAMD0101030001</t>
  </si>
  <si>
    <t>DISSOTE</t>
  </si>
  <si>
    <t>https://myiipea.com/media/etudiant/photo/WhatsApp_Image_2023-11-06_at_10.49.04.jpeg</t>
  </si>
  <si>
    <t>KAMM2804030001</t>
  </si>
  <si>
    <t>MARIE-INES</t>
  </si>
  <si>
    <t>https://myiipea.com/media/etudiant/photo/WhatsApp_Image_2023-10-16_at_12.23.08.jpeg</t>
  </si>
  <si>
    <t>KAMO1101000001</t>
  </si>
  <si>
    <t>OLLO ABOU</t>
  </si>
  <si>
    <t>https://myiipea.com/media/etudiant/photo/WhatsApp_Image_2023-11-13_at_11.02.19.jpeg</t>
  </si>
  <si>
    <t>KAMA0608040001</t>
  </si>
  <si>
    <t>KAMBOU</t>
  </si>
  <si>
    <t>AIME BENJAMIN</t>
  </si>
  <si>
    <t>https://myiipea.com/media/etudiant/photo/WhatsApp_Image_2023-10-11_at_09.50.12.jpeg</t>
  </si>
  <si>
    <t>KAMD1412050001</t>
  </si>
  <si>
    <t>DJALA JESSICA INES</t>
  </si>
  <si>
    <t>https://myiipea.com/media/etudiant/photo/WhatsApp_Image_2023-10-04_at_6.02.37_PM.jpeg</t>
  </si>
  <si>
    <t>KAMS2712980001</t>
  </si>
  <si>
    <t>SIE FABRICE</t>
  </si>
  <si>
    <t>https://myiipea.com/media/etudiant/photo/WhatsApp_Image_2023-11-27_at_16.51.58.jpeg</t>
  </si>
  <si>
    <t>KAMA1704970001</t>
  </si>
  <si>
    <t>KAMBRI</t>
  </si>
  <si>
    <t>ANICETTE</t>
  </si>
  <si>
    <t>https://myiipea.com/media/etudiant/photo/WhatsApp_Image_2023-09-18_at_17.54.23.jpeg</t>
  </si>
  <si>
    <t>KAMC0802040001</t>
  </si>
  <si>
    <t>KAME</t>
  </si>
  <si>
    <t>CHRIST EMMANUEL</t>
  </si>
  <si>
    <t>https://myiipea.com/media/etudiant/photo/WhatsApp_Image_2023-10-02_at_3.36.13_PM.jpeg</t>
  </si>
  <si>
    <t>KAMT2501030001</t>
  </si>
  <si>
    <t>KAMGOUM</t>
  </si>
  <si>
    <t>TCHOUTA ARNOLD</t>
  </si>
  <si>
    <t>https://myiipea.com/media/etudiant/photo/ee805a7a-bd0f-4cfc-a70e-cbab604ca96a_yeqQZlR.jpeg</t>
  </si>
  <si>
    <t>KAMA0402030001</t>
  </si>
  <si>
    <t>KAMISSOKO</t>
  </si>
  <si>
    <t>AXELLE HURIELLE</t>
  </si>
  <si>
    <t>https://myiipea.com/media/etudiant/photo/WhatsApp_Image_2023-10-04_at_16.18.16.jpeg</t>
  </si>
  <si>
    <t>KANN0801020001</t>
  </si>
  <si>
    <t>KANATA</t>
  </si>
  <si>
    <t>https://myiipea.com/media/etudiant/photo/WhatsApp_Image_2023-10-19_at_11.45.09.jpeg</t>
  </si>
  <si>
    <t>KANM1107000001</t>
  </si>
  <si>
    <t>KANATE</t>
  </si>
  <si>
    <t>MAHIYATA</t>
  </si>
  <si>
    <t>https://myiipea.com/media/etudiant/photo/WhatsApp_Image_2023-11-22_at_09.28.03.jpeg</t>
  </si>
  <si>
    <t>KANS0305050001</t>
  </si>
  <si>
    <t>SOPHIA RAIDA</t>
  </si>
  <si>
    <t>https://myiipea.com/media/etudiant/photo/IIPEA_ZVWPvtF.jpg</t>
  </si>
  <si>
    <t>KANN0101030001</t>
  </si>
  <si>
    <t>KANE</t>
  </si>
  <si>
    <t>NAN DOUWE JANVIER</t>
  </si>
  <si>
    <t>https://myiipea.com/media/etudiant/photo/WhatsApp_Image_2023-10-11_at_6_resized.png</t>
  </si>
  <si>
    <t>KANA0611990001</t>
  </si>
  <si>
    <t>KANGA</t>
  </si>
  <si>
    <t>AFFOUE YOLANDE</t>
  </si>
  <si>
    <t>https://myiipea.com/media/etudiant/photo/unnamed-2_Ec1qih3_resized_resized_resized.png</t>
  </si>
  <si>
    <t>KANA1603020001</t>
  </si>
  <si>
    <t>ANOUMOU SEPHORA VICTOIRE</t>
  </si>
  <si>
    <t>https://myiipea.com/media/etudiant/photo/WhatsApp_Image_2023-10-26_at_12.16.44.jpeg</t>
  </si>
  <si>
    <t>KANB0706050001</t>
  </si>
  <si>
    <t>BEKANVIHE BORIS</t>
  </si>
  <si>
    <t>https://myiipea.com/media/etudiant/photo/WhatsApp_Image_2023-10-03_at_15.04.02.jpeg</t>
  </si>
  <si>
    <t>KANK2702010001</t>
  </si>
  <si>
    <t>KOFFI FRANCOIS</t>
  </si>
  <si>
    <t>https://myiipea.com/media/etudiant/photo/WhatsApp_Image_2023-11-16_at_13.20.27.jpeg</t>
  </si>
  <si>
    <t>KANM0510030001</t>
  </si>
  <si>
    <t>MEA FLAVIEN JUNIOR</t>
  </si>
  <si>
    <t>https://myiipea.com/media/etudiant/photo/WhatsApp_Image_2023-10-13_at_12.22.18.jpeg</t>
  </si>
  <si>
    <t>KANN1512020001</t>
  </si>
  <si>
    <t>N'GUESSAN KOUASSI ALFRED</t>
  </si>
  <si>
    <t>https://myiipea.com/media/etudiant/photo/ALFRED.jpg</t>
  </si>
  <si>
    <t>KAND0709010001</t>
  </si>
  <si>
    <t>KANGAH</t>
  </si>
  <si>
    <t>DIARRA AMI</t>
  </si>
  <si>
    <t>https://myiipea.com/media/etudiant/photo/WhatsApp_Image_2023-10-16_at_15.46.29.jpeg</t>
  </si>
  <si>
    <t>KANU1408010001</t>
  </si>
  <si>
    <t>URIELLE MARIE ADJOUHA AUDREY</t>
  </si>
  <si>
    <t>https://myiipea.com/media/etudiant/photo/WhatsApp_Image_2023-10-11_at_10.31.51.jpeg</t>
  </si>
  <si>
    <t>KANY0604010001</t>
  </si>
  <si>
    <t>YAO THIERRY</t>
  </si>
  <si>
    <t>https://myiipea.com/media/etudiant/photo/WhatsApp_Image_2023-09-22_at_10.00.43.jpeg</t>
  </si>
  <si>
    <t>KAND1802040001</t>
  </si>
  <si>
    <t>KANSAYE</t>
  </si>
  <si>
    <t>DJENEBA IAN</t>
  </si>
  <si>
    <t>https://myiipea.com/media/etudiant/photo/WhatsApp_Image_2023-11-07_at_11.14.28_AM.jpeg</t>
  </si>
  <si>
    <t>KANA1805020001</t>
  </si>
  <si>
    <t>KANTE</t>
  </si>
  <si>
    <t>ASSANE JUNIOR</t>
  </si>
  <si>
    <t>https://myiipea.com/media/etudiant/photo/WhatsApp_Image_2023-10-30_at_09.21.07.jpeg</t>
  </si>
  <si>
    <t>KANR0712010001</t>
  </si>
  <si>
    <t>https://myiipea.com/media/etudiant/photo/WhatsApp_Image_2023-10-06_at_2_resized.png</t>
  </si>
  <si>
    <t>KANY0207020001</t>
  </si>
  <si>
    <t>KANZIE</t>
  </si>
  <si>
    <t>YHERI MAIMOUNA</t>
  </si>
  <si>
    <t>https://myiipea.com/media/etudiant/photo/WhatsApp_Image_2023-10-09_at_10.31.17.jpeg</t>
  </si>
  <si>
    <t>KAOT2311020001</t>
  </si>
  <si>
    <t>KAOUO</t>
  </si>
  <si>
    <t>TEMONNAHIN DESIREE</t>
  </si>
  <si>
    <t>https://myiipea.com/media/etudiant/photo/WhatsApp_Image_2023-10-05_at_11.55.52.jpeg</t>
  </si>
  <si>
    <t>KAPJ2109030001</t>
  </si>
  <si>
    <t>KAPEU</t>
  </si>
  <si>
    <t>JOSUE DIHE CARL EMMANUEL</t>
  </si>
  <si>
    <t>https://myiipea.com/media/etudiant/photo/WhatsApp_Image_2023-09-29_at_11.20.53.jpeg</t>
  </si>
  <si>
    <t>KOPK3110020001</t>
  </si>
  <si>
    <t>KOUHONLY WILLIS</t>
  </si>
  <si>
    <t>https://myiipea.com/media/etudiant/photo/WhatsApp_Image_2023-11-21_at_4.46.50_PM.jpeg</t>
  </si>
  <si>
    <t>KAPN2306040001</t>
  </si>
  <si>
    <t>KAPIE</t>
  </si>
  <si>
    <t>NADOUA GRACE MURIELLE</t>
  </si>
  <si>
    <t>https://myiipea.com/media/etudiant/photo/WhatsApp_Image_2023-10-20_at_1.52.37_PM.jpeg</t>
  </si>
  <si>
    <t>KABM2206010001</t>
  </si>
  <si>
    <t>KARABOUE</t>
  </si>
  <si>
    <t>MARIAM LIDY</t>
  </si>
  <si>
    <t>https://myiipea.com/media/etudiant/photo/WhatsApp_Image_2023-11-13_at_3.57.14_PM.jpeg</t>
  </si>
  <si>
    <t>KARA0812990001</t>
  </si>
  <si>
    <t>KARAMOKO</t>
  </si>
  <si>
    <t>https://myiipea.com/media/etudiant/photo/WhatsApp_Image_2023-10-25_at_10.09.58.jpeg</t>
  </si>
  <si>
    <t>KARA3005060001</t>
  </si>
  <si>
    <t>ADAMAN</t>
  </si>
  <si>
    <t>https://myiipea.com/media/etudiant/photo/WhatsApp_Image_2023-09-28_at_11.46.50.jpeg</t>
  </si>
  <si>
    <t>KARD2506040001</t>
  </si>
  <si>
    <t>https://myiipea.com/media/etudiant/photo/WhatsApp_Image_2023-10-03_at_15.41.18.jpeg</t>
  </si>
  <si>
    <t>KASA0803040001</t>
  </si>
  <si>
    <t>KASSI</t>
  </si>
  <si>
    <t>AFFIAN MARIE EMMANUELLA</t>
  </si>
  <si>
    <t>https://myiipea.com/media/etudiant/photo/WhatsApp_Image_2023-10-09_at_15.11.37.jpeg</t>
  </si>
  <si>
    <t>KASA2807020001</t>
  </si>
  <si>
    <t>APIE DENISE EDINA</t>
  </si>
  <si>
    <t>https://myiipea.com/media/etudiant/photo/WhatsApp_Image_2023-10-05_at_2.23.24_PM.jpeg</t>
  </si>
  <si>
    <t>KASB0907050001</t>
  </si>
  <si>
    <t>BAPOUKAN JEANNE D'ARC</t>
  </si>
  <si>
    <t>https://myiipea.com/media/etudiant/photo/WhatsApp_Image_2023-10-06_at_11_resized.png</t>
  </si>
  <si>
    <t>KATA2108980001</t>
  </si>
  <si>
    <t>KATCHIFE</t>
  </si>
  <si>
    <t>AFFOUA CHRISTINE</t>
  </si>
  <si>
    <t>https://myiipea.com/media/etudiant/photo/WhatsApp_Image_2023-10-19_at_16.36.20.jpeg</t>
  </si>
  <si>
    <t>KATE1107030001</t>
  </si>
  <si>
    <t>KATE</t>
  </si>
  <si>
    <t>EMMANUEL LOIS LAURANT</t>
  </si>
  <si>
    <t>https://myiipea.com/media/etudiant/photo/WhatsApp_Image_2023-10-14_at_10.54.16.jpeg</t>
  </si>
  <si>
    <t>KAUA0412990001</t>
  </si>
  <si>
    <t>KAUDJIS</t>
  </si>
  <si>
    <t>ASSI PEGGY WILFRIED</t>
  </si>
  <si>
    <t>https://myiipea.com/media/etudiant/photo/WhatsApp_Image_2023-10-09_at_17.32.46.jpeg</t>
  </si>
  <si>
    <t>KEGM0608010001</t>
  </si>
  <si>
    <t>KEGNAN</t>
  </si>
  <si>
    <t>MOZOU DORGELES</t>
  </si>
  <si>
    <t>https://myiipea.com/media/etudiant/photo/WhatsApp_Image_2023-09-29_at_16.00.16.jpeg</t>
  </si>
  <si>
    <t>KEHA2806040001</t>
  </si>
  <si>
    <t>KEHOUN</t>
  </si>
  <si>
    <t>ANGE TRESOR SEPHORA</t>
  </si>
  <si>
    <t>https://myiipea.com/media/etudiant/photo/WhatsApp_Image_2023-09-15_at_14.29.58.jpeg</t>
  </si>
  <si>
    <t>KEIS2012020001</t>
  </si>
  <si>
    <t>KEIDE</t>
  </si>
  <si>
    <t>SEANDJE GHISLAIN</t>
  </si>
  <si>
    <t>https://myiipea.com/media/etudiant/photo/WhatsApp_Image_2023-10-13_at_15.55.14.jpeg</t>
  </si>
  <si>
    <t>KEIA1803060001</t>
  </si>
  <si>
    <t>KEITA</t>
  </si>
  <si>
    <t>ABDOUL KARIM</t>
  </si>
  <si>
    <t>https://myiipea.com/media/etudiant/photo/WhatsApp_Image_2023-10-12_at_17.11.04.jpeg</t>
  </si>
  <si>
    <t>KEIA0209990001</t>
  </si>
  <si>
    <t>AFOUSSATOU ALAMAKO</t>
  </si>
  <si>
    <t>https://myiipea.com/media/etudiant/photo/WhatsApp_Image_2023-10-10_at_10_resized.png</t>
  </si>
  <si>
    <t>KEIA2807030001</t>
  </si>
  <si>
    <t>ANNA MAIMOUNA</t>
  </si>
  <si>
    <t>https://myiipea.com/media/etudiant/photo/86784899-3329-4519-8FD0-6BAE7F3D7D98_resized.png</t>
  </si>
  <si>
    <t>KEIA2207020001</t>
  </si>
  <si>
    <t>https://myiipea.com/media/etudiant/photo/WhatsApp_Image_2023-10-04_at_11.07.41.jpeg</t>
  </si>
  <si>
    <t>KEIA3105020001</t>
  </si>
  <si>
    <t>AZIZA MAÏMOUNA</t>
  </si>
  <si>
    <t>https://myiipea.com/media/etudiant/photo/WhatsApp_Image_2023-11-23_at_4.22.28_PM.jpeg</t>
  </si>
  <si>
    <t>KEID0102030001</t>
  </si>
  <si>
    <t>https://myiipea.com/media/etudiant/photo/WhatsApp_Image_2023-11-07_at_11.43.56.jpeg</t>
  </si>
  <si>
    <t>KEII3001010001</t>
  </si>
  <si>
    <t>https://myiipea.com/media/etudiant/photo/WhatsApp_Image_2023-11-20_at_6.33.51_PM.jpeg</t>
  </si>
  <si>
    <t>KEIK2205040001</t>
  </si>
  <si>
    <t>KABORE OUSMANE MIKAEL FRANCOIS DE-SALES</t>
  </si>
  <si>
    <t>https://myiipea.com/media/etudiant/photo/WhatsApp_Image_2023-10-12_at_15.52.52.jpeg</t>
  </si>
  <si>
    <t>KEIM2904060001</t>
  </si>
  <si>
    <t>MARIA BRAVO</t>
  </si>
  <si>
    <t>https://myiipea.com/media/etudiant/photo/239422487_405915444207421_8131329350063382999_n_Z7SA3F5.jpg</t>
  </si>
  <si>
    <t>KEIN3105020001</t>
  </si>
  <si>
    <t>NASSIRA MAMAH</t>
  </si>
  <si>
    <t>https://myiipea.com/media/etudiant/photo/WhatsApp_Image_2023-11-23_at_4.22.41_PM.jpeg</t>
  </si>
  <si>
    <t>KEIS0311010001</t>
  </si>
  <si>
    <t>https://myiipea.com/media/etudiant/photo/WhatsApp_Image_2023-10-04_at_11.02.08.jpeg</t>
  </si>
  <si>
    <t>KEIT0310040001</t>
  </si>
  <si>
    <t>TATA MOUSSOKOURA</t>
  </si>
  <si>
    <t>https://myiipea.com/media/etudiant/photo/WhatsApp_Image_2023-11-10_at_10.00.27.jpeg</t>
  </si>
  <si>
    <t>KELK1210020001</t>
  </si>
  <si>
    <t>KELA</t>
  </si>
  <si>
    <t>KOMLA WILFRIED</t>
  </si>
  <si>
    <t>https://myiipea.com/media/etudiant/photo/IIPEA_OXeqfIl.jpg</t>
  </si>
  <si>
    <t>KELK2511020001</t>
  </si>
  <si>
    <t>KELI</t>
  </si>
  <si>
    <t>KELLY ANNE</t>
  </si>
  <si>
    <t>https://myiipea.com/media/etudiant/photo/WhatsApp_Image_2023-11-27_at_14.55.15.jpeg</t>
  </si>
  <si>
    <t>KEND0102030002</t>
  </si>
  <si>
    <t>KENA</t>
  </si>
  <si>
    <t>DJOLO MARIE-MAEVA LIKA</t>
  </si>
  <si>
    <t>https://myiipea.com/media/etudiant/photo/IIPEA_byE7NgD.jpg</t>
  </si>
  <si>
    <t>KENI1512050002</t>
  </si>
  <si>
    <t>KENIN</t>
  </si>
  <si>
    <t>INANAN CHRISTELLE</t>
  </si>
  <si>
    <t>https://myiipea.com/media/etudiant/photo/WhatsApp_Image_2023-09-25_at_11.52.25.jpeg</t>
  </si>
  <si>
    <t>KERO0106040001</t>
  </si>
  <si>
    <t>KERE</t>
  </si>
  <si>
    <t>OUDA MOHAMED</t>
  </si>
  <si>
    <t>https://myiipea.com/media/etudiant/photo/WhatsApp_Image_2023-10-03_at_14.27.29.jpeg</t>
  </si>
  <si>
    <t>KERR2001010001</t>
  </si>
  <si>
    <t>RAFIATOU</t>
  </si>
  <si>
    <t>https://myiipea.com/media/etudiant/photo/WhatsApp_Image_2023-10-09_at_12.17.46.jpeg</t>
  </si>
  <si>
    <t>KESM0110060001</t>
  </si>
  <si>
    <t>KESSE</t>
  </si>
  <si>
    <t>MARIE DOMINIQUE YAH EMMANUELLA</t>
  </si>
  <si>
    <t>https://myiipea.com/media/etudiant/photo/3242A12E-CA46-4FAC-8143-427EA3032C38_resized.png</t>
  </si>
  <si>
    <t>KESA1302030001</t>
  </si>
  <si>
    <t>KESSI</t>
  </si>
  <si>
    <t>AFFI BENIT-MOREL</t>
  </si>
  <si>
    <t>https://myiipea.com/media/etudiant/photo/WhatsApp_Image_2023-09-29_at_17.25.10.jpeg</t>
  </si>
  <si>
    <t>KESD0102020001</t>
  </si>
  <si>
    <t>KESSOU</t>
  </si>
  <si>
    <t>DJATCHI FABRICE CORNEIL</t>
  </si>
  <si>
    <t>https://myiipea.com/media/etudiant/photo/WhatsApp_Image_2023-11-20_at_13.58.39.jpeg</t>
  </si>
  <si>
    <t>KIA1605040001</t>
  </si>
  <si>
    <t>KI</t>
  </si>
  <si>
    <t>ANNICK</t>
  </si>
  <si>
    <t>https://myiipea.com/media/etudiant/photo/WhatsApp_Image_2023-10-05_at_11.04.29.jpeg</t>
  </si>
  <si>
    <t>KIEZ1501050001</t>
  </si>
  <si>
    <t>KIE</t>
  </si>
  <si>
    <t>ZINZI SAMIRA</t>
  </si>
  <si>
    <t>https://myiipea.com/media/etudiant/photo/WhatsApp_Image_2023-10-17_at_10.42.08.jpeg</t>
  </si>
  <si>
    <t>KIES0605000001</t>
  </si>
  <si>
    <t>KIEBRE</t>
  </si>
  <si>
    <t>https://myiipea.com/media/etudiant/photo/WhatsApp_Image_2023-10-04_at_13_resized_c8cDiS0.png</t>
  </si>
  <si>
    <t>KIEK0107020001</t>
  </si>
  <si>
    <t>KIELOUET</t>
  </si>
  <si>
    <t>KOUEHI RAISSA ELODIE</t>
  </si>
  <si>
    <t>https://myiipea.com/media/etudiant/photo/WhatsApp_Image_2023-10-05_at_12.22.21.jpeg</t>
  </si>
  <si>
    <t>KIEA0510030001</t>
  </si>
  <si>
    <t>KIEMDE</t>
  </si>
  <si>
    <t>ABDOUL WASSIHOU</t>
  </si>
  <si>
    <t>https://myiipea.com/media/etudiant/photo/WhatsApp_Image_2023-10-04_at_10_resized_Ej2nilx.png</t>
  </si>
  <si>
    <t>KIMG2906990001</t>
  </si>
  <si>
    <t>KIMA</t>
  </si>
  <si>
    <t>GUESWENDE ANGELE</t>
  </si>
  <si>
    <t>https://myiipea.com/media/etudiant/photo/239422487_405915444207421_8131329350063382999_n_qZgw1sL.jpg</t>
  </si>
  <si>
    <t>KINI0508000001</t>
  </si>
  <si>
    <t>KINDE</t>
  </si>
  <si>
    <t>ISSIAKA</t>
  </si>
  <si>
    <t>https://myiipea.com/media/etudiant/photo/WhatsApp_Image_2023-09-29_at_18.33.56.jpeg</t>
  </si>
  <si>
    <t>KIPE3101040001</t>
  </si>
  <si>
    <t>KIPRE</t>
  </si>
  <si>
    <t>ESTHER EMMANUELA</t>
  </si>
  <si>
    <t>https://myiipea.com/media/etudiant/photo/WhatsApp_Image_2023-10-13_at_10.04.10.jpeg</t>
  </si>
  <si>
    <t>KIPG2510050001</t>
  </si>
  <si>
    <t>GEORGES OZYLANE</t>
  </si>
  <si>
    <t>https://myiipea.com/media/etudiant/photo/WhatsApp_Image_2023-09-28_at_09.52.48.jpeg</t>
  </si>
  <si>
    <t>KIRC1212020001</t>
  </si>
  <si>
    <t>KIROUIN</t>
  </si>
  <si>
    <t>CLAUDE MARVIS NATHANAEL</t>
  </si>
  <si>
    <t>https://myiipea.com/media/etudiant/photo/WhatsApp_Image_2023-11-02_at_11.09.19_AM.jpeg</t>
  </si>
  <si>
    <t>KLAD1707040001</t>
  </si>
  <si>
    <t>KLA</t>
  </si>
  <si>
    <t>DAUDOH ANGE SCHALOM CLARK</t>
  </si>
  <si>
    <t>https://myiipea.com/media/etudiant/photo/WhatsApp_Image_2023-10-03_at_11.59.51.jpeg</t>
  </si>
  <si>
    <t>KLAN1706010001</t>
  </si>
  <si>
    <t>NOGBADO FLEUR EMMANUELA</t>
  </si>
  <si>
    <t>https://myiipea.com/media/etudiant/photo/WhatsApp_Image_2023-10-12_at_09.49.19.jpeg</t>
  </si>
  <si>
    <t>KLAD1812010001</t>
  </si>
  <si>
    <t>KLAO</t>
  </si>
  <si>
    <t>DOUOSSON BLANCHE AURELIE</t>
  </si>
  <si>
    <t>https://myiipea.com/media/etudiant/photo/WhatsApp_Image_2023-10-30_at_16.26.21.jpeg</t>
  </si>
  <si>
    <t>KLAL1706070001</t>
  </si>
  <si>
    <t>LEYLA ANGE MARIE-CLAUDE</t>
  </si>
  <si>
    <t>https://myiipea.com/media/etudiant/photo/WhatsApp_Image_2023-10-11_at_11.14.48.jpeg</t>
  </si>
  <si>
    <t>KLAO2511040001</t>
  </si>
  <si>
    <t>KLAROU</t>
  </si>
  <si>
    <t>ONEL LISIATRE</t>
  </si>
  <si>
    <t>https://myiipea.com/media/etudiant/photo/WhatsApp_Image_2023-10-04_at_11.15.39.jpeg</t>
  </si>
  <si>
    <t>KLIY1209030001</t>
  </si>
  <si>
    <t>KLIOUA</t>
  </si>
  <si>
    <t>YOLLACAUD ASTRID SEPHORA</t>
  </si>
  <si>
    <t>https://myiipea.com/media/etudiant/photo/WhatsApp_Image_2023-09-28_at_16.58.19.jpeg</t>
  </si>
  <si>
    <t>KLUE0701040001</t>
  </si>
  <si>
    <t>KLU</t>
  </si>
  <si>
    <t>EMEFAH ARIANE</t>
  </si>
  <si>
    <t>https://myiipea.com/media/etudiant/photo/WhatsApp_Image_2023-10-10_at_08.58.03.jpeg</t>
  </si>
  <si>
    <t>KOD1307020001</t>
  </si>
  <si>
    <t>KO</t>
  </si>
  <si>
    <t>DRAMANE</t>
  </si>
  <si>
    <t>https://myiipea.com/media/etudiant/photo/DRAMANE.jpg</t>
  </si>
  <si>
    <t>KOAF3110050001</t>
  </si>
  <si>
    <t>KOANDA</t>
  </si>
  <si>
    <t>FAOUZIA ERICA</t>
  </si>
  <si>
    <t>https://myiipea.com/media/etudiant/photo/WhatsApp_Image_2023-10-05_at_09.04.04.jpeg</t>
  </si>
  <si>
    <t>KOAM0910010001</t>
  </si>
  <si>
    <t>KOARA</t>
  </si>
  <si>
    <t>MAJUITE ALMANY FELLA</t>
  </si>
  <si>
    <t>https://myiipea.com/media/etudiant/photo/WhatsApp_Image_2023-11-23_at_12.04.41_PM.jpeg</t>
  </si>
  <si>
    <t>KOBA0104060001</t>
  </si>
  <si>
    <t>KOBE</t>
  </si>
  <si>
    <t>ALEXANDRINE SYLVIANE</t>
  </si>
  <si>
    <t>https://myiipea.com/media/etudiant/photo/239422487_405915444207421_8131329350063382999_n.jpg</t>
  </si>
  <si>
    <t>KOBA0508030001</t>
  </si>
  <si>
    <t>KOBENAN</t>
  </si>
  <si>
    <t>ABENAN ISABELLE</t>
  </si>
  <si>
    <t>https://myiipea.com/media/etudiant/photo/WhatsApp_Image_2023-10-11_at_2.41.43_PM.jpeg</t>
  </si>
  <si>
    <t>KOBD1609030001</t>
  </si>
  <si>
    <t>DONGO HENRI</t>
  </si>
  <si>
    <t>https://myiipea.com/media/etudiant/photo/KOBENAN.jpg</t>
  </si>
  <si>
    <t>KABK2604050001</t>
  </si>
  <si>
    <t>KOBINA</t>
  </si>
  <si>
    <t>KOUAME GAMALIEL GAIUS</t>
  </si>
  <si>
    <t>https://myiipea.com/media/etudiant/photo/WhatsApp_Image_2023-10-12_at_13.59.49.jpeg</t>
  </si>
  <si>
    <t>KOBA1907050001</t>
  </si>
  <si>
    <t>KOBLAN</t>
  </si>
  <si>
    <t>AYOKO MARION ORLANE ESTHER</t>
  </si>
  <si>
    <t>https://myiipea.com/media/etudiant/photo/WhatsApp_Image_2023-10-25_at_13.12.21.jpeg</t>
  </si>
  <si>
    <t>KOBJ0611030001</t>
  </si>
  <si>
    <t>JEAN-CYRIACK</t>
  </si>
  <si>
    <t>https://myiipea.com/media/etudiant/photo/WhatsApp_Image_2023-10-05_at_10.35.56.jpeg</t>
  </si>
  <si>
    <t>KODA0710030001</t>
  </si>
  <si>
    <t>KODIA</t>
  </si>
  <si>
    <t>AMELAN NORA CHRISTOBELLE</t>
  </si>
  <si>
    <t>https://myiipea.com/media/etudiant/photo/WhatsApp_Image_2023-09-28_at_09.03.05.jpeg</t>
  </si>
  <si>
    <t>KODP1104010001</t>
  </si>
  <si>
    <t>KODIO</t>
  </si>
  <si>
    <t>PAULE ELODIE</t>
  </si>
  <si>
    <t>https://myiipea.com/media/etudiant/photo/WhatsApp_Image_2023-11-09_at_4.46.48_PM_hM0IeJv.jpeg</t>
  </si>
  <si>
    <t>KODS1903010001</t>
  </si>
  <si>
    <t>KODJIA</t>
  </si>
  <si>
    <t>SESSE ELODIE FIDELE</t>
  </si>
  <si>
    <t>https://myiipea.com/media/etudiant/photo/WhatsApp_Image_2023-11-20_at_5.13.21_PM.jpeg</t>
  </si>
  <si>
    <t>KODA0706000001</t>
  </si>
  <si>
    <t>KODJO</t>
  </si>
  <si>
    <t>ADINGRA SERGE</t>
  </si>
  <si>
    <t>https://myiipea.com/media/etudiant/photo/WhatsApp_Image_2023-10-05_at_12.30.48.jpeg</t>
  </si>
  <si>
    <t>KODA1212030001</t>
  </si>
  <si>
    <t>AKASSI ANNE</t>
  </si>
  <si>
    <t>https://myiipea.com/media/etudiant/photo/WhatsApp_Image_2023-10-24_at_11.44.43.jpeg</t>
  </si>
  <si>
    <t>KODY0110020001</t>
  </si>
  <si>
    <t>YAN-IRIS GERMAIN</t>
  </si>
  <si>
    <t>https://myiipea.com/media/etudiant/photo/WhatsApp_Image_2023-09-25_at_10.34.05.jpeg</t>
  </si>
  <si>
    <t>KOFA0101020001</t>
  </si>
  <si>
    <t>KOFFI</t>
  </si>
  <si>
    <t>ABALEYTY YANIS GNAMIEN JANUS</t>
  </si>
  <si>
    <t>https://myiipea.com/media/etudiant/photo/WhatsApp_Image_2023-09-29_at_12_resized.png</t>
  </si>
  <si>
    <t>KOFA2912010002</t>
  </si>
  <si>
    <t>ADJO SOLANGE</t>
  </si>
  <si>
    <t>https://myiipea.com/media/etudiant/photo/WhatsApp_Image_2023-10-26_at_12.28.18_TZAXi4r.jpeg</t>
  </si>
  <si>
    <t>KOFA1709020001</t>
  </si>
  <si>
    <t>ADJOUA GRACE EMMANUELLA</t>
  </si>
  <si>
    <t>https://myiipea.com/media/etudiant/photo/WhatsApp_Image_2023-10-13_at_10.54.19.jpeg</t>
  </si>
  <si>
    <t>KOFA1601040001</t>
  </si>
  <si>
    <t>ADJOUA MYRABELLE</t>
  </si>
  <si>
    <t>https://myiipea.com/media/etudiant/photo/t%C3%A9l%C3%A9chargement_rhoXsim.png</t>
  </si>
  <si>
    <t>KOFA2511010002</t>
  </si>
  <si>
    <t>AFFOUE JULIETTE</t>
  </si>
  <si>
    <t>https://myiipea.com/media/etudiant/photo/WhatsApp_Image_2023-10-06_at_14_resized.png</t>
  </si>
  <si>
    <t>KOFA1308050001</t>
  </si>
  <si>
    <t>AFFOUE LAETITIA</t>
  </si>
  <si>
    <t>https://myiipea.com/media/etudiant/photo/WhatsApp_Image_2023-10-11_at_4.42.35_PM.jpeg</t>
  </si>
  <si>
    <t>KOFA2510030001</t>
  </si>
  <si>
    <t>AFFOUET  SIIDOINE EDITH</t>
  </si>
  <si>
    <t>https://myiipea.com/media/etudiant/photo/WhatsApp_Image_2023-10-13_at_11.45.53.jpeg</t>
  </si>
  <si>
    <t>KOFA0802030001</t>
  </si>
  <si>
    <t>AFFOUET IRIS MARIE CLAUDE</t>
  </si>
  <si>
    <t>https://myiipea.com/media/etudiant/photo/IIPEA_FkdGVsl.jpg</t>
  </si>
  <si>
    <t>KOFA2112020001</t>
  </si>
  <si>
    <t>AHOU GRACE EMMANUELLA</t>
  </si>
  <si>
    <t>https://myiipea.com/media/etudiant/photo/WhatsApp_Image_2023-10-13_at_18.03.34.jpeg</t>
  </si>
  <si>
    <t>KOFA1809030001</t>
  </si>
  <si>
    <t>AHOU ROSE-LAURE GRACE</t>
  </si>
  <si>
    <t>https://myiipea.com/media/etudiant/photo/WhatsApp_Image_2023-11-02_at_15.39.54.jpeg</t>
  </si>
  <si>
    <t>KOFA0910030002</t>
  </si>
  <si>
    <t>AHOU SARAH MONDESIR DENISE</t>
  </si>
  <si>
    <t>https://myiipea.com/media/etudiant/photo/WhatsApp_Image_2023-10-31_at_13.34.50.jpeg</t>
  </si>
  <si>
    <t>KOFA0608040001</t>
  </si>
  <si>
    <t>AHOU SOMA BERNADETTE</t>
  </si>
  <si>
    <t>https://myiipea.com/media/etudiant/photo/WhatsApp_Image_2023-10-31_at_15.30.48.jpeg</t>
  </si>
  <si>
    <t>KOFA0209010001</t>
  </si>
  <si>
    <t>AKISSI EMMANUELLA</t>
  </si>
  <si>
    <t>https://myiipea.com/media/etudiant/photo/WhatsApp_Image_2023-10-03_at_15.32.23.jpeg</t>
  </si>
  <si>
    <t>KOFA2001030001</t>
  </si>
  <si>
    <t>AKISSI MARIE ANGE SEPHORA</t>
  </si>
  <si>
    <t>https://myiipea.com/media/etudiant/photo/WhatsApp_Image_2023-09-26_at_13.24.29.jpeg</t>
  </si>
  <si>
    <t>KOFA1210040001</t>
  </si>
  <si>
    <t>AKISSI OLIVE ISABELLE</t>
  </si>
  <si>
    <t>https://myiipea.com/media/etudiant/photo/WhatsApp_Image_2023-10-17_at_12.01.42.jpeg</t>
  </si>
  <si>
    <t>KOFA1404020001</t>
  </si>
  <si>
    <t>ALIYAH MONDESIR TOURET</t>
  </si>
  <si>
    <t>https://myiipea.com/media/etudiant/photo/WhatsApp_Image_2023-10-26_at_12.07.01_PM.jpeg</t>
  </si>
  <si>
    <t>KOFA1811990001</t>
  </si>
  <si>
    <t>AMA MARIE CLAIRE</t>
  </si>
  <si>
    <t>https://myiipea.com/media/etudiant/photo/WhatsApp_Image_2023-10-30_at_11.56.14.jpeg</t>
  </si>
  <si>
    <t>KOFA2109010001</t>
  </si>
  <si>
    <t>AMANI JOSEE MAXIMAINE</t>
  </si>
  <si>
    <t>https://myiipea.com/media/etudiant/photo/WhatsApp_Image_2023-10-18_at_15.56.11.jpeg</t>
  </si>
  <si>
    <t>KOFA0505020001</t>
  </si>
  <si>
    <t>AMANI REINE VICTOIRE</t>
  </si>
  <si>
    <t>https://myiipea.com/media/etudiant/photo/WhatsApp_Image_2023-09-28_at_13.30.08.jpeg</t>
  </si>
  <si>
    <t>KOFA2810990001</t>
  </si>
  <si>
    <t>AMENAN ANGELINE CHRISTELLE</t>
  </si>
  <si>
    <t>https://myiipea.com/media/etudiant/photo/WhatsApp_Image_2023-11-27_at_11.21.22.jpeg</t>
  </si>
  <si>
    <t>KOFA2803010001</t>
  </si>
  <si>
    <t>AMENAN CELIA KEREN ANDREE</t>
  </si>
  <si>
    <t>https://myiipea.com/media/etudiant/photo/WhatsApp_Image_2023-11-22_at_11.52.15.jpeg</t>
  </si>
  <si>
    <t>KOSA1908000001</t>
  </si>
  <si>
    <t>AMENAN CHRISTELLE</t>
  </si>
  <si>
    <t>https://myiipea.com/media/etudiant/photo/WhatsApp_Image_2023-11-22_at_1.29.09_PM.jpeg</t>
  </si>
  <si>
    <t>KOFA0410000001</t>
  </si>
  <si>
    <t>AMOA GERMAINE</t>
  </si>
  <si>
    <t>https://myiipea.com/media/etudiant/photo/WhatsApp_Image_2023-11-14_at_2.07.06_PM.jpeg</t>
  </si>
  <si>
    <t>KOFA2505030001</t>
  </si>
  <si>
    <t>AMOIN LINDA ORNELLA</t>
  </si>
  <si>
    <t>https://myiipea.com/media/etudiant/photo/WhatsApp_Image_2023-09-29_at_13.54.18.jpeg</t>
  </si>
  <si>
    <t>KOFA2107060001</t>
  </si>
  <si>
    <t>AMOIN REINE SOLANGE</t>
  </si>
  <si>
    <t>https://myiipea.com/media/etudiant/photo/bd8bbe0f-93e8-4184-971a-068b9369a432-removebg-preview.png</t>
  </si>
  <si>
    <t>KOFA0412040001</t>
  </si>
  <si>
    <t>AMOIN SANDRA INGRID</t>
  </si>
  <si>
    <t>https://myiipea.com/media/etudiant/photo/C0C7CFDD-62D0-46CE-845C-227823A1D9DC_resized.png</t>
  </si>
  <si>
    <t>KOFA0907000001</t>
  </si>
  <si>
    <t>AMOIN SEPHORA LINDA</t>
  </si>
  <si>
    <t>https://myiipea.com/media/etudiant/photo/WhatsApp_Image_2023-10-23_at_3.01.19_PM.jpeg</t>
  </si>
  <si>
    <t>KOFA1803040001</t>
  </si>
  <si>
    <t>ANDREA JASMINE ERICA</t>
  </si>
  <si>
    <t>https://myiipea.com/media/etudiant/photo/WhatsApp_Image_2023-10-16_at_16.27.52.jpeg</t>
  </si>
  <si>
    <t>KOFA1012020001</t>
  </si>
  <si>
    <t>ANGE BEREKIA ANABELLE</t>
  </si>
  <si>
    <t>https://myiipea.com/media/etudiant/photo/WhatsApp_Image_2023-10-13_at_10.38.13_AM.jpeg</t>
  </si>
  <si>
    <t>KOFA1606040001</t>
  </si>
  <si>
    <t>ANGE CARMEL</t>
  </si>
  <si>
    <t>https://myiipea.com/media/etudiant/photo/WhatsApp_Image_2023-10-18_at_5.14.33_PM.jpeg</t>
  </si>
  <si>
    <t>KOFA2408010002</t>
  </si>
  <si>
    <t>AYA CLAUDIA</t>
  </si>
  <si>
    <t>https://myiipea.com/media/etudiant/photo/WhatsApp_Image_2023-10-02_at_08.38.45.jpeg</t>
  </si>
  <si>
    <t>KOFA2012980001</t>
  </si>
  <si>
    <t>AYA CLEMENTINE GISELE</t>
  </si>
  <si>
    <t>https://myiipea.com/media/etudiant/photo/WhatsApp_Image_2023-11-10_at_16.14.22.jpeg</t>
  </si>
  <si>
    <t>KOFA1908050001</t>
  </si>
  <si>
    <t>AYA ELOHEEKA ESTHER</t>
  </si>
  <si>
    <t>https://myiipea.com/media/etudiant/photo/WhatsApp_Image_2023-10-13_at_7.46.25_PM.jpeg</t>
  </si>
  <si>
    <t>KOFB1512030001</t>
  </si>
  <si>
    <t>BAZI ANC JEREMIE KOUADIO</t>
  </si>
  <si>
    <t>https://myiipea.com/media/etudiant/photo/WhatsApp_Image_2023-11-13_at_12.54.04_PM.jpeg</t>
  </si>
  <si>
    <t>KOFB0209020001</t>
  </si>
  <si>
    <t>BEHNI NERI ELISE</t>
  </si>
  <si>
    <t>https://myiipea.com/media/etudiant/photo/WhatsApp_Image_2023-11-13_at_11.53.03_1.jpeg</t>
  </si>
  <si>
    <t>KOFB0611020002</t>
  </si>
  <si>
    <t>BEKLA EVELYNE</t>
  </si>
  <si>
    <t>https://myiipea.com/media/etudiant/photo/WhatsApp_Image_2023-10-12_at_12.57.04_PM.jpeg</t>
  </si>
  <si>
    <t>KOFB3005050001</t>
  </si>
  <si>
    <t>BELHIESSOU EUNICE DORCAS</t>
  </si>
  <si>
    <t>https://myiipea.com/media/etudiant/photo/WhatsApp_Image_2023-10-31_at_11.44.11.jpeg</t>
  </si>
  <si>
    <t>KOFB1410020001</t>
  </si>
  <si>
    <t>BEYAMBA YOKPA FLEUR-CHARLENE</t>
  </si>
  <si>
    <t>https://myiipea.com/media/etudiant/photo/WhatsApp_Image_2023-10-10_at_12.49.32_PM.jpeg</t>
  </si>
  <si>
    <t>KOFB0307010001</t>
  </si>
  <si>
    <t>BI GONAHI MELCHISEDEK</t>
  </si>
  <si>
    <t>https://myiipea.com/media/etudiant/photo/WhatsApp_Image_2023-10-12_at_17.21.57.jpeg</t>
  </si>
  <si>
    <t>KOFB2502020001</t>
  </si>
  <si>
    <t>BI KODJANE ABIB WILLIAM</t>
  </si>
  <si>
    <t>https://myiipea.com/media/etudiant/photo/WhatsApp_Image_2023-12-01_at_6_resized.png</t>
  </si>
  <si>
    <t>KOFB2503030001</t>
  </si>
  <si>
    <t>BIEKOUN HENRIETTE</t>
  </si>
  <si>
    <t>https://myiipea.com/media/etudiant/photo/239422487_405915444207421_8131329350063382999_n_fHNDZ5r.jpg</t>
  </si>
  <si>
    <t>KOFB0611020001</t>
  </si>
  <si>
    <t>BLE GRACE CARMEL</t>
  </si>
  <si>
    <t>https://myiipea.com/media/etudiant/photo/WhatsApp_Image_2023-10-04_at_14.48.45.jpeg</t>
  </si>
  <si>
    <t>KOFB0601030001</t>
  </si>
  <si>
    <t>BOUSSE JEAN FRANCOIS BIENVENU</t>
  </si>
  <si>
    <t>https://myiipea.com/media/etudiant/photo/WhatsApp_Image_2023-09-29_at_16.19.36.jpeg</t>
  </si>
  <si>
    <t>KOFC0805980002</t>
  </si>
  <si>
    <t>CARMELLE THERESE ANGE</t>
  </si>
  <si>
    <t>https://myiipea.com/media/etudiant/photo/WhatsApp_Image_2023-10-13_at_14.07.22.jpeg</t>
  </si>
  <si>
    <t>KOFC1709980001</t>
  </si>
  <si>
    <t>CHIA JESULA KILIDELNAN</t>
  </si>
  <si>
    <t>https://myiipea.com/media/etudiant/photo/WhatsApp_Image_2023-11-02_at_10.52.55.jpeg</t>
  </si>
  <si>
    <t>KOFD0401000001</t>
  </si>
  <si>
    <t>DAMO YANNICK WILFRIED</t>
  </si>
  <si>
    <t>https://myiipea.com/media/etudiant/photo/WhatsApp_Image_2023-10-13_at_14.22.35.jpeg</t>
  </si>
  <si>
    <t>KOFE0903010001</t>
  </si>
  <si>
    <t>EZOUA GEORGES ARNAUD</t>
  </si>
  <si>
    <t>https://myiipea.com/media/etudiant/photo/WhatsApp_Image_2023-10-14_at_14.32.46.jpeg</t>
  </si>
  <si>
    <t>KOFF0710010001</t>
  </si>
  <si>
    <t>FAUSTIN</t>
  </si>
  <si>
    <t>https://myiipea.com/media/etudiant/photo/WhatsApp_Image_2023-10-02_at_18.11.23.jpeg</t>
  </si>
  <si>
    <t>KOFF2710030001</t>
  </si>
  <si>
    <t>FOLQUET CHRISTIAN JOEL DANIEL</t>
  </si>
  <si>
    <t>https://myiipea.com/media/etudiant/photo/WhatsApp_Image_2023-10-02_at_2.02.39_PM.jpeg</t>
  </si>
  <si>
    <t>KOFF0610010001</t>
  </si>
  <si>
    <t>FRANCK OLIVIER</t>
  </si>
  <si>
    <t>https://myiipea.com/media/etudiant/photo/WhatsApp_Image_2023-09-18_at_11.57.50.jpeg</t>
  </si>
  <si>
    <t>KOFG0811040001</t>
  </si>
  <si>
    <t>GNAMIEN OI TABITHA GRACE</t>
  </si>
  <si>
    <t>https://myiipea.com/media/etudiant/photo/WhatsApp_Image_2023-10-20_at_2.30.02_PM.jpeg</t>
  </si>
  <si>
    <t>KOFG1801040001</t>
  </si>
  <si>
    <t>https://myiipea.com/media/etudiant/photo/WhatsApp_Image_2023-10-19_at_15.08.43.jpeg</t>
  </si>
  <si>
    <t>KOFG1701050001</t>
  </si>
  <si>
    <t>GREBALE YANN KEVIN</t>
  </si>
  <si>
    <t>https://myiipea.com/media/etudiant/photo/WhatsApp_Image_2023-10-21_at_11.20.18.jpeg</t>
  </si>
  <si>
    <t>KOFH1406050001</t>
  </si>
  <si>
    <t>HAROLD ARTHUR OLIVIER</t>
  </si>
  <si>
    <t>https://myiipea.com/media/etudiant/photo/WhatsApp_Image_2023-10-19_at_19.32.37.jpeg</t>
  </si>
  <si>
    <t>KOFI2601050001</t>
  </si>
  <si>
    <t>ISRAEL ONESIPHORE</t>
  </si>
  <si>
    <t>https://myiipea.com/media/etudiant/photo/WhatsApp_Image_2023-10-04_at_10.16.14.jpeg</t>
  </si>
  <si>
    <t>KOFJ2405990001</t>
  </si>
  <si>
    <t>JEAN-JAURES</t>
  </si>
  <si>
    <t>https://myiipea.com/media/etudiant/photo/WhatsApp_Image_2023-10-09_at_15.21.39.jpeg</t>
  </si>
  <si>
    <t>KOFJ0605020001</t>
  </si>
  <si>
    <t>JECONIAS ELISEE</t>
  </si>
  <si>
    <t>https://myiipea.com/media/etudiant/photo/WhatsApp_Image_2023-10-26_at_09.10.37.jpeg</t>
  </si>
  <si>
    <t>KOFK0311030001</t>
  </si>
  <si>
    <t>KASSI YANNE CEDRIC</t>
  </si>
  <si>
    <t>https://myiipea.com/media/etudiant/photo/WhatsApp_Image_2023-10-03_at_08.39.49.jpeg</t>
  </si>
  <si>
    <t>KOFK1504040001</t>
  </si>
  <si>
    <t>KOFFI JUNIOR</t>
  </si>
  <si>
    <t>https://myiipea.com/media/etudiant/photo/WhatsApp_Image_2023-10-03_at_15.11.03.jpeg</t>
  </si>
  <si>
    <t>KOFK2409050001</t>
  </si>
  <si>
    <t>KOFFI ONESIME</t>
  </si>
  <si>
    <t>https://myiipea.com/media/etudiant/photo/WhatsApp_Image_2023-10-12_at_11_resized.png</t>
  </si>
  <si>
    <t>KOFK2211040001</t>
  </si>
  <si>
    <t>KOFFI ROMARIC</t>
  </si>
  <si>
    <t>https://myiipea.com/media/etudiant/photo/WhatsApp_Image_2023-10-02_at_18.10.15.jpeg</t>
  </si>
  <si>
    <t>KOFK2401010001</t>
  </si>
  <si>
    <t>KONAN DAVID</t>
  </si>
  <si>
    <t>https://myiipea.com/media/etudiant/photo/WhatsApp_Image_2023-11-30_at_4.21.54_PM.jpeg</t>
  </si>
  <si>
    <t>KOFK2910030001</t>
  </si>
  <si>
    <t>KONAN HERMAN</t>
  </si>
  <si>
    <t>https://myiipea.com/media/etudiant/photo/WhatsApp_Image_2023-09-28_at_08.52.11.jpeg</t>
  </si>
  <si>
    <t>KOFK0403040001</t>
  </si>
  <si>
    <t>KOSSONOU LYDIE ANGE PRUDENCE</t>
  </si>
  <si>
    <t>https://myiipea.com/media/etudiant/photo/WhatsApp_Image_2023-10-05_at_10.14.06.jpeg</t>
  </si>
  <si>
    <t>KOFK0605040001</t>
  </si>
  <si>
    <t>KOUAKOU EVAN EMMANUEL</t>
  </si>
  <si>
    <t>https://myiipea.com/media/etudiant/photo/WhatsApp_Image_2023-09-25_at_11.10.19.jpeg</t>
  </si>
  <si>
    <t>KOFK1210020001</t>
  </si>
  <si>
    <t>KOUAKOU FABRICE</t>
  </si>
  <si>
    <t>https://myiipea.com/media/etudiant/photo/WhatsApp_Image_2023-11-16_at_4.14.14_PM.jpeg</t>
  </si>
  <si>
    <t>KOFK2802020001</t>
  </si>
  <si>
    <t>KOUAKOU VINCENT DE-PAUL</t>
  </si>
  <si>
    <t>https://myiipea.com/media/etudiant/photo/WhatsApp_Image_2023-11-06_at_12.27.24.jpeg</t>
  </si>
  <si>
    <t>KOFK0405030001</t>
  </si>
  <si>
    <t>KOUAME ANGE ARIEL TRESOR</t>
  </si>
  <si>
    <t>https://myiipea.com/media/etudiant/photo/WhatsApp_Image_2023-10-16_at_16.59.53.jpeg</t>
  </si>
  <si>
    <t>KOFK0212010001</t>
  </si>
  <si>
    <t>KOUAME ARIEL METUSCHELAH</t>
  </si>
  <si>
    <t>https://myiipea.com/media/etudiant/photo/WhatsApp_Image_2023-11-16_at_11.02.39.jpeg</t>
  </si>
  <si>
    <t>KOFK1011020001</t>
  </si>
  <si>
    <t>KOUAME EMMANUEL</t>
  </si>
  <si>
    <t>https://myiipea.com/media/etudiant/photo/WhatsApp_Image_2023-10-12_at_11_resized_tP0Ptis.png</t>
  </si>
  <si>
    <t>KOFK0508030001</t>
  </si>
  <si>
    <t>KOUAME RACH</t>
  </si>
  <si>
    <t>https://myiipea.com/media/etudiant/photo/WhatsApp_Image_2023-10-27_at_11.32.59.jpeg</t>
  </si>
  <si>
    <t>KOFK2212030001</t>
  </si>
  <si>
    <t>KOUASSI ELFRIED DAMIEN</t>
  </si>
  <si>
    <t>https://myiipea.com/media/etudiant/photo/WhatsApp_Image_2023-10-20_at_2.11.48_PM.jpeg</t>
  </si>
  <si>
    <t>KOFK2911020001</t>
  </si>
  <si>
    <t>KOUASSI ELVIS</t>
  </si>
  <si>
    <t>https://myiipea.com/media/etudiant/photo/WhatsApp_Image_2023-10-23_at_09.35.19.jpeg</t>
  </si>
  <si>
    <t>KOFK1001050001</t>
  </si>
  <si>
    <t>https://myiipea.com/media/etudiant/photo/WhatsApp_Image_2023-10-03_at_16.18.52.jpeg</t>
  </si>
  <si>
    <t>KOFK1604010001</t>
  </si>
  <si>
    <t>KOUASSI WILFRIED EUDES</t>
  </si>
  <si>
    <t>https://myiipea.com/media/etudiant/photo/WhatsApp_Image_2023-09-29_at_18.35.05.jpeg</t>
  </si>
  <si>
    <t>KOFK2905050001</t>
  </si>
  <si>
    <t>KWAGNY KAN-ELIE</t>
  </si>
  <si>
    <t>https://myiipea.com/media/etudiant/photo/WhatsApp_Image_2023-10-04_at_11.32.40.jpeg</t>
  </si>
  <si>
    <t>KOFL1505030001</t>
  </si>
  <si>
    <t>LEON PAUL EVANS</t>
  </si>
  <si>
    <t>https://myiipea.com/media/etudiant/photo/WhatsApp_Image_2023-10-27_at_13.08.10.jpeg</t>
  </si>
  <si>
    <t>KOFL2910000001</t>
  </si>
  <si>
    <t>LOUKOU ARSENE</t>
  </si>
  <si>
    <t>https://myiipea.com/media/etudiant/photo/WhatsApp_Image_2023-10-12_at_09.49.42.jpeg</t>
  </si>
  <si>
    <t>KOFM1306050001</t>
  </si>
  <si>
    <t>MARIE DOMINIQUE LAUVIAH</t>
  </si>
  <si>
    <t>https://myiipea.com/media/etudiant/photo/WhatsApp_Image_2023-11-10_at_3.50.59_PM.jpeg</t>
  </si>
  <si>
    <t>KOFM0511020001</t>
  </si>
  <si>
    <t>MELVIN GEOFFROY</t>
  </si>
  <si>
    <t>https://myiipea.com/media/etudiant/photo/WhatsApp_Image_2023-10-04_at_09.47.40.jpeg</t>
  </si>
  <si>
    <t>KOFM1607060001</t>
  </si>
  <si>
    <t>MIENSA RUTH DORCAS</t>
  </si>
  <si>
    <t>https://myiipea.com/media/etudiant/photo/WhatsApp_Image_2023-10-06_at_09.11.37.jpeg</t>
  </si>
  <si>
    <t>KOFM2508040001</t>
  </si>
  <si>
    <t>MOYE ORNELLA YOHANN PELVANCHE</t>
  </si>
  <si>
    <t>https://myiipea.com/media/etudiant/photo/WhatsApp_Image_2023-10-24_at_15.00.08.jpeg</t>
  </si>
  <si>
    <t>KOFN3007050001</t>
  </si>
  <si>
    <t>N'DJORET DAVID JORDAN</t>
  </si>
  <si>
    <t>https://myiipea.com/media/etudiant/photo/WhatsApp_Image_2023-10-05_at_2.50.43_PM.jpeg</t>
  </si>
  <si>
    <t>KOFN1603040001</t>
  </si>
  <si>
    <t>N'DRI RUTH</t>
  </si>
  <si>
    <t>https://myiipea.com/media/etudiant/photo/WhatsApp_Image_2023-10-12_at_13.04.15.jpeg</t>
  </si>
  <si>
    <t>KOFN1909040001</t>
  </si>
  <si>
    <t>N'GUESSAN MARIE-ROSE</t>
  </si>
  <si>
    <t>https://myiipea.com/media/etudiant/photo/WhatsApp_Image_2023-10-12_at_16.53.29.jpeg</t>
  </si>
  <si>
    <t>KOFN3003030001</t>
  </si>
  <si>
    <t>NANAN AMA MARIE-ANGE</t>
  </si>
  <si>
    <t>https://myiipea.com/media/etudiant/photo/WhatsApp_Image_2023-10-26_at_10.25.04.jpeg</t>
  </si>
  <si>
    <t>KOFN1104050001</t>
  </si>
  <si>
    <t>NIZIE NANCY MARIE KEREN</t>
  </si>
  <si>
    <t>https://myiipea.com/media/etudiant/photo/WhatsApp_Image_2023-10-02_at_19.07.36.jpeg</t>
  </si>
  <si>
    <t>KOFS1910020001</t>
  </si>
  <si>
    <t>SIEMAN DAVID ARIEL JOEL</t>
  </si>
  <si>
    <t>https://myiipea.com/media/etudiant/photo/WhatsApp_Image_2023-10-02_at_12.03.03.jpeg</t>
  </si>
  <si>
    <t>KOFS2611040001</t>
  </si>
  <si>
    <t>SOUMIEN RUTH JOSIANE</t>
  </si>
  <si>
    <t>https://myiipea.com/media/etudiant/photo/WhatsApp_Image_2023-10-13_at_3.06.11_PM.jpeg</t>
  </si>
  <si>
    <t>KOFS0701030001</t>
  </si>
  <si>
    <t>SOURALAIS ANGE ESTHER MANUELLA</t>
  </si>
  <si>
    <t>https://myiipea.com/media/etudiant/photo/WhatsApp_Image_2023-10-10_at_16.09.32.jpeg</t>
  </si>
  <si>
    <t>KOFY0211040001</t>
  </si>
  <si>
    <t>YAO ABRAN ASHLEY ANNE-MARIE</t>
  </si>
  <si>
    <t>https://myiipea.com/media/etudiant/photo/WhatsApp_Image_2023-10-03_at_3.18.00_PM.jpeg</t>
  </si>
  <si>
    <t>KOFY2510970001</t>
  </si>
  <si>
    <t>YAO BRUCE FLORENTIN</t>
  </si>
  <si>
    <t>https://myiipea.com/media/etudiant/photo/WhatsApp_Image_2023-10-03_at_6_resized.png</t>
  </si>
  <si>
    <t>KOFY1801010001</t>
  </si>
  <si>
    <t>YAO PARFAIT</t>
  </si>
  <si>
    <t>https://myiipea.com/media/etudiant/photo/WhatsApp_Image_2023-10-05_at_13.30.51.jpeg</t>
  </si>
  <si>
    <t>KOFY2903040001</t>
  </si>
  <si>
    <t>YEMISSA BEREKIA HOD-ADALIA</t>
  </si>
  <si>
    <t>https://myiipea.com/media/etudiant/photo/WhatsApp_Image_2023-10-13_at_16.36.40.jpeg</t>
  </si>
  <si>
    <t>KOFY2506050001</t>
  </si>
  <si>
    <t>YVES CEDRIC KPILET</t>
  </si>
  <si>
    <t>https://myiipea.com/media/etudiant/photo/WhatsApp_Image_2023-10-31_at_5.21.36_PM.jpeg</t>
  </si>
  <si>
    <t>KOHA2606050001</t>
  </si>
  <si>
    <t>KOHE</t>
  </si>
  <si>
    <t>AMOIN DORIANE</t>
  </si>
  <si>
    <t>https://myiipea.com/media/etudiant/photo/WhatsApp_Image_2023-10-03_at_10.40.56.jpeg</t>
  </si>
  <si>
    <t>KOHS0405040001</t>
  </si>
  <si>
    <t>KOHO</t>
  </si>
  <si>
    <t>SCHARDRAC CHRIS</t>
  </si>
  <si>
    <t>https://myiipea.com/media/etudiant/photo/unnamed-2_t4OtPSU.png</t>
  </si>
  <si>
    <t>KOHK2304030001</t>
  </si>
  <si>
    <t>KOHON</t>
  </si>
  <si>
    <t>KPAZAHI NINSSEMON ABDEL KADER</t>
  </si>
  <si>
    <t>https://myiipea.com/media/etudiant/photo/WhatsApp_Image_2023-10-19_at_1.20.29_PM.jpeg</t>
  </si>
  <si>
    <t>KOHG1812020001</t>
  </si>
  <si>
    <t>KOHYRELON</t>
  </si>
  <si>
    <t>GATA KOUAKOU LILIAN ERWANS</t>
  </si>
  <si>
    <t>https://myiipea.com/media/etudiant/photo/WhatsApp_Image_2023-11-24_at_12.05.41.jpeg</t>
  </si>
  <si>
    <t>KOIA1604020001</t>
  </si>
  <si>
    <t>KOICOU</t>
  </si>
  <si>
    <t>https://myiipea.com/media/etudiant/photo/WhatsApp_Image_2023-10-09_at_11.46.00_1.jpeg</t>
  </si>
  <si>
    <t>KOIK0511010001</t>
  </si>
  <si>
    <t>KOITA</t>
  </si>
  <si>
    <t>KADIDIATOU ASSETOU</t>
  </si>
  <si>
    <t>https://myiipea.com/media/etudiant/photo/WhatsApp_Image_2023-10-31_at_08.59.31.jpeg</t>
  </si>
  <si>
    <t>KOKS1704040001</t>
  </si>
  <si>
    <t>KOKI</t>
  </si>
  <si>
    <t>SOMBO GRACE RURH ARIANE</t>
  </si>
  <si>
    <t>https://myiipea.com/media/etudiant/photo/WhatsApp_Image_2023-10-13_at_16.13.17_1.jpeg</t>
  </si>
  <si>
    <t>KOKA1805030001</t>
  </si>
  <si>
    <t>KOKO</t>
  </si>
  <si>
    <t>ANGE GRACE CARELLE EUNICE</t>
  </si>
  <si>
    <t>https://myiipea.com/media/etudiant/photo/WhatsApp_Image_2023-11-03_at_1.22.28_PM.jpeg</t>
  </si>
  <si>
    <t>KOKK1908040001</t>
  </si>
  <si>
    <t>KOUAKOU ANTHONY MOHAMED</t>
  </si>
  <si>
    <t>https://myiipea.com/media/etudiant/photo/WhatsApp_Image_2023-10-06_at_3.57.37_PM.jpeg</t>
  </si>
  <si>
    <t>KOKA0505040001</t>
  </si>
  <si>
    <t>KOKOA</t>
  </si>
  <si>
    <t>APO COLOMBE OLIVE SEPHORA</t>
  </si>
  <si>
    <t>https://myiipea.com/media/etudiant/photo/WhatsApp_Image_2023-11-13_at_09.26.42.jpeg</t>
  </si>
  <si>
    <t>KOKA3009040001</t>
  </si>
  <si>
    <t>KOKOHOU</t>
  </si>
  <si>
    <t>AMENAN ANNE GRACE</t>
  </si>
  <si>
    <t>https://myiipea.com/media/etudiant/photo/WhatsApp_Image_2023-10-05_at_15.21.28.jpeg</t>
  </si>
  <si>
    <t>KOKB0412010001</t>
  </si>
  <si>
    <t>KOKOLA</t>
  </si>
  <si>
    <t>BIENVENUE GRACE PRECILIA</t>
  </si>
  <si>
    <t>https://myiipea.com/media/etudiant/photo/WhatsApp_Image_2023-11-13_at_1.47.48_PM.jpeg</t>
  </si>
  <si>
    <t>KOKS2808040001</t>
  </si>
  <si>
    <t>SCELLE MARIE-THERESE EMMANUELLA</t>
  </si>
  <si>
    <t>https://myiipea.com/media/etudiant/photo/WhatsApp_Image_2023-10-20_at_14_resized.png</t>
  </si>
  <si>
    <t>KOKK0604030001</t>
  </si>
  <si>
    <t>KOKON</t>
  </si>
  <si>
    <t>KOFFI DAVID EMMANUEL</t>
  </si>
  <si>
    <t>https://myiipea.com/media/etudiant/photo/WhatsApp_Image_2023-11-22_at_14.27.43.jpeg</t>
  </si>
  <si>
    <t>KOKA1207050001</t>
  </si>
  <si>
    <t>KOKORA</t>
  </si>
  <si>
    <t>ADJOUA MARIE VINCIANE</t>
  </si>
  <si>
    <t>https://myiipea.com/media/etudiant/photo/WhatsApp_Image_2023-10-27_at_6.06.06_PM.jpeg</t>
  </si>
  <si>
    <t>KOKG0706030001</t>
  </si>
  <si>
    <t>GOZEHONON MARIE</t>
  </si>
  <si>
    <t>https://myiipea.com/media/etudiant/photo/WhatsApp_Image_2023-10-13_at_12.48.00_PM.jpeg</t>
  </si>
  <si>
    <t>KOKR2210040001</t>
  </si>
  <si>
    <t>ROHON RUTH OLIVIA</t>
  </si>
  <si>
    <t>https://myiipea.com/media/etudiant/photo/WhatsApp_Image_2023-11-17_at_09.57.15.jpeg</t>
  </si>
  <si>
    <t>KOKA1007930001</t>
  </si>
  <si>
    <t>KOKRA</t>
  </si>
  <si>
    <t>ANÉ MARCELLE</t>
  </si>
  <si>
    <t>https://myiipea.com/media/etudiant/photo/WhatsApp_Image_2023-10-31_at_12.05.12.jpeg</t>
  </si>
  <si>
    <t>KOLE2104030001</t>
  </si>
  <si>
    <t>KOLATRIN</t>
  </si>
  <si>
    <t>EBA CHRIS JUNIOR</t>
  </si>
  <si>
    <t>https://myiipea.com/media/etudiant/photo/WhatsApp_Image_2023-10-09_at_13.55.02.jpeg</t>
  </si>
  <si>
    <t>KOLA1303040001</t>
  </si>
  <si>
    <t>KOLMY</t>
  </si>
  <si>
    <t>AFFOUE AUDREY EMMANUELLA</t>
  </si>
  <si>
    <t>https://myiipea.com/media/etudiant/photo/WhatsApp_Image_2023-09-20_at_15.20.49.jpeg</t>
  </si>
  <si>
    <t>KOMA1208060001</t>
  </si>
  <si>
    <t>KOMAN</t>
  </si>
  <si>
    <t>AGUIE MARYSE ERICKA</t>
  </si>
  <si>
    <t>https://myiipea.com/media/etudiant/photo/WhatsApp_Image_2023-09-28_at_13.13.15.jpeg</t>
  </si>
  <si>
    <t>KOMA2106030001</t>
  </si>
  <si>
    <t>AHO AXEL YVANE ANDRE</t>
  </si>
  <si>
    <t>https://myiipea.com/media/etudiant/photo/WhatsApp_Image_2023-09-28_at_13.51.33.jpeg</t>
  </si>
  <si>
    <t>KOMM2705980001</t>
  </si>
  <si>
    <t>KOMARA</t>
  </si>
  <si>
    <t>https://myiipea.com/media/etudiant/photo/WhatsApp_Image_2023-11-16_at_1.12.59_PM.jpeg</t>
  </si>
  <si>
    <t>KOMM2104020001</t>
  </si>
  <si>
    <t>https://myiipea.com/media/etudiant/photo/WhatsApp_Image_2023-10-10_at_3.58.27_PM.jpeg</t>
  </si>
  <si>
    <t>KOMA2802030001</t>
  </si>
  <si>
    <t>KOMENAN</t>
  </si>
  <si>
    <t>AFFOUE ANA CHRISTINE</t>
  </si>
  <si>
    <t>https://myiipea.com/media/etudiant/photo/ee805a7a-bd0f-4cfc-a70e-cbab604ca96a.jpeg</t>
  </si>
  <si>
    <t>KOMA0610040001</t>
  </si>
  <si>
    <t>AMENAN GRACE MARIE ROSETTE</t>
  </si>
  <si>
    <t>https://myiipea.com/media/etudiant/photo/WhatsApp_Image_2023-10-11_at_09.33.57.jpeg</t>
  </si>
  <si>
    <t>KOMB1204000001</t>
  </si>
  <si>
    <t>BEUGRE MOISE</t>
  </si>
  <si>
    <t>https://myiipea.com/media/etudiant/photo/WhatsApp_Image_2023-10-24_at_1_resized.png</t>
  </si>
  <si>
    <t>KOMB2412030001</t>
  </si>
  <si>
    <t>BI PADAUD CORENTIN AMOS</t>
  </si>
  <si>
    <t>https://myiipea.com/media/etudiant/photo/WhatsApp_Image_2023-11-16_at_3.26.58_PM.jpeg</t>
  </si>
  <si>
    <t>KOMB2212000001</t>
  </si>
  <si>
    <t>BROU HENRI JOEL</t>
  </si>
  <si>
    <t>https://myiipea.com/media/etudiant/photo/WhatsApp_Image_2023-10-14_at_11.22.05.jpeg</t>
  </si>
  <si>
    <t>KOMT0111020001</t>
  </si>
  <si>
    <t>TCHETCHE CEDRIC TOUSSAINT WILFRIED</t>
  </si>
  <si>
    <t>https://myiipea.com/media/etudiant/photo/WhatsApp_Image_2023-10-04_at_12.01.52.jpeg</t>
  </si>
  <si>
    <t>KOMA2812020001</t>
  </si>
  <si>
    <t>KOMHEY</t>
  </si>
  <si>
    <t>ALLYA YOHANNE PRUNELLE</t>
  </si>
  <si>
    <t>https://myiipea.com/media/etudiant/photo/WhatsApp_Image_2023-10-24_at_16.13.48.jpeg</t>
  </si>
  <si>
    <t>KOMM2209010001</t>
  </si>
  <si>
    <t>KOMI</t>
  </si>
  <si>
    <t>MAKICHA NADEGE</t>
  </si>
  <si>
    <t>https://myiipea.com/media/etudiant/photo/WhatsApp_Image_2023-10-27_at_16.28.59.jpeg</t>
  </si>
  <si>
    <t>KOMA1510950001</t>
  </si>
  <si>
    <t>KOMOE</t>
  </si>
  <si>
    <t>AMOIN KAN GINETTE</t>
  </si>
  <si>
    <t>https://myiipea.com/media/etudiant/photo/WhatsApp_Image_2023-09-25_%C3%A0_11.00.51.jpg</t>
  </si>
  <si>
    <t>KOMK2111050001</t>
  </si>
  <si>
    <t>KOUAKOU MARIE PAULE JOSEE</t>
  </si>
  <si>
    <t>https://myiipea.com/media/etudiant/photo/WhatsApp_Image_2023-10-09_at_17.36.15.jpeg</t>
  </si>
  <si>
    <t>KONA2303040001</t>
  </si>
  <si>
    <t>KONAN</t>
  </si>
  <si>
    <t>ADJOUA JEMIMA VICTOIRE</t>
  </si>
  <si>
    <t>https://myiipea.com/media/etudiant/photo/WhatsApp_Image_2023-10-04_at_10.31.04.jpeg</t>
  </si>
  <si>
    <t>KONA0504050001</t>
  </si>
  <si>
    <t>ADJOUA KAN MARIE REBECCA</t>
  </si>
  <si>
    <t>https://myiipea.com/media/etudiant/photo/WhatsApp_Image_2023-10-12_at_16.30.07.jpeg</t>
  </si>
  <si>
    <t>KONA1507000001</t>
  </si>
  <si>
    <t>ADJOUA MARIE-ANGE</t>
  </si>
  <si>
    <t>https://myiipea.com/media/etudiant/photo/WhatsApp_Image_2023-10-13_at_13.32.56.jpeg</t>
  </si>
  <si>
    <t>KONA2307010001</t>
  </si>
  <si>
    <t>AHOU  BRIGITTE</t>
  </si>
  <si>
    <t>https://myiipea.com/media/etudiant/photo/WhatsApp_Image_2023-09-22_at_15.05.22.jpeg</t>
  </si>
  <si>
    <t>KONA1512010001</t>
  </si>
  <si>
    <t>AHOU CAROLINE</t>
  </si>
  <si>
    <t>https://myiipea.com/media/etudiant/photo/WhatsApp_Image_2023-10-03_at_16.22.12.jpeg</t>
  </si>
  <si>
    <t>KONA0101030002</t>
  </si>
  <si>
    <t>AKISSI LAFLEURE</t>
  </si>
  <si>
    <t>https://myiipea.com/media/etudiant/photo/IIPEA_bqctoGN.jpg</t>
  </si>
  <si>
    <t>KONA2812030001</t>
  </si>
  <si>
    <t>AMLAN ANNE FIDELE</t>
  </si>
  <si>
    <t>https://myiipea.com/media/etudiant/photo/WhatsApp_Image_2023-10-11_at_17.05.25.jpeg</t>
  </si>
  <si>
    <t>KONA1008970001</t>
  </si>
  <si>
    <t>AMOIN LAURENTIA CARMELLE</t>
  </si>
  <si>
    <t>https://myiipea.com/media/etudiant/photo/WhatsApp_Image_2023-11-13_at_4.39.23_PM.jpeg</t>
  </si>
  <si>
    <t>KONA1302040001</t>
  </si>
  <si>
    <t>AMOIN MARCELLE</t>
  </si>
  <si>
    <t>https://myiipea.com/media/etudiant/photo/WhatsApp_Image_2023-11-13_at_15.40.07.jpeg</t>
  </si>
  <si>
    <t>KONA2310040001</t>
  </si>
  <si>
    <t>ANVOU CLAUDE ORLANDE DOMINIQUE</t>
  </si>
  <si>
    <t>https://myiipea.com/media/etudiant/photo/WhatsApp_Image_2023-10-16_at_16.28.01.jpeg</t>
  </si>
  <si>
    <t>KONA1804970001</t>
  </si>
  <si>
    <t>AYA ANNE IVANNE</t>
  </si>
  <si>
    <t>https://myiipea.com/media/etudiant/photo/WhatsApp_Image_2023-10-25_at_15.43.53.jpeg</t>
  </si>
  <si>
    <t>KONA1103050002</t>
  </si>
  <si>
    <t>AYA GRACE</t>
  </si>
  <si>
    <t>https://myiipea.com/media/etudiant/photo/WhatsApp_Image_2023-10-12_at_09.00.44_2ivZ5M2.jpeg</t>
  </si>
  <si>
    <t>KONA2206010001</t>
  </si>
  <si>
    <t>AYA MARIE-LAURE</t>
  </si>
  <si>
    <t>https://myiipea.com/media/etudiant/photo/WhatsApp_Image_2023-10-05_at_15_resized.png</t>
  </si>
  <si>
    <t>KONA0707030001</t>
  </si>
  <si>
    <t>AYA URSULA MARIE ELISE</t>
  </si>
  <si>
    <t>https://myiipea.com/media/etudiant/photo/WhatsApp_Image_2023-10-03_at_11.32.05.jpeg</t>
  </si>
  <si>
    <t>KONB1106040001</t>
  </si>
  <si>
    <t>BONI EDOUMOUA</t>
  </si>
  <si>
    <t>https://myiipea.com/media/etudiant/photo/WhatsApp_Image_2023-11-02_at_1.44.30_PM.jpeg</t>
  </si>
  <si>
    <t>KONC0205020001</t>
  </si>
  <si>
    <t>CAEN BEKANTY VIVIEN DARI</t>
  </si>
  <si>
    <t>https://myiipea.com/media/etudiant/photo/WhatsApp_Image_2023-10-10_at_16.06.32_1.jpeg</t>
  </si>
  <si>
    <t>KONC0208040001</t>
  </si>
  <si>
    <t>CHRISTELLE AKISSI OKA ELVIRA</t>
  </si>
  <si>
    <t>https://myiipea.com/media/etudiant/photo/WhatsApp_Image_2023-10-04_at_09.31.54.jpeg</t>
  </si>
  <si>
    <t>KONC0702030001</t>
  </si>
  <si>
    <t>CHRISTIAN DORAT KRAMOH</t>
  </si>
  <si>
    <t>https://myiipea.com/media/etudiant/photo/WhatsApp_Image_2023-10-04_at_16.53.26.jpeg</t>
  </si>
  <si>
    <t>KOND1505060001</t>
  </si>
  <si>
    <t>DEFOUE ANNE CHRISTELLE</t>
  </si>
  <si>
    <t>https://myiipea.com/media/etudiant/photo/257bd9f3-d5af-4ee9-a912-b1b6832a0fbf-removebg-preview.png</t>
  </si>
  <si>
    <t>KOND2303030001</t>
  </si>
  <si>
    <t>DJAHA OLIVIER</t>
  </si>
  <si>
    <t>https://myiipea.com/media/etudiant/photo/WhatsApp_Image_2023-10-10_at_11.41.33.jpeg</t>
  </si>
  <si>
    <t>KONF1305030001</t>
  </si>
  <si>
    <t>FRANCK GUSKA</t>
  </si>
  <si>
    <t>https://myiipea.com/media/etudiant/photo/WhatsApp_Image_2023-10-04_at_12.13.13.jpeg</t>
  </si>
  <si>
    <t>KONG0611030001</t>
  </si>
  <si>
    <t>GHISLAIN PRESLEY</t>
  </si>
  <si>
    <t>https://myiipea.com/media/etudiant/photo/IIPEA_6ycWzuI.jpg</t>
  </si>
  <si>
    <t>KONG1205040001</t>
  </si>
  <si>
    <t>GNAMIEN ANNE CHRISTELLE</t>
  </si>
  <si>
    <t>https://myiipea.com/media/etudiant/photo/t%C3%A9l%C3%A9charg%C3%A9_YGhxOUy.jpeg</t>
  </si>
  <si>
    <t>KONK1906020001</t>
  </si>
  <si>
    <t>KAHOBA RAFLA AIMEE ROXANE</t>
  </si>
  <si>
    <t>https://myiipea.com/media/etudiant/photo/WhatsApp_Image_2023-10-03_at_11.14.56_AM_2dJUc7S.jpeg</t>
  </si>
  <si>
    <t>KONK1912010001</t>
  </si>
  <si>
    <t>KAN SIMEON</t>
  </si>
  <si>
    <t>https://myiipea.com/media/etudiant/photo/WhatsApp_Image_2023-11-20_at_1.15.17_PM.jpeg</t>
  </si>
  <si>
    <t>KONK0712030001</t>
  </si>
  <si>
    <t>KOFFI ARTHUR OXANE</t>
  </si>
  <si>
    <t>https://myiipea.com/media/etudiant/photo/WhatsApp_Image_2023-10-26_at_14.12.45.jpeg</t>
  </si>
  <si>
    <t>KONK2712000002</t>
  </si>
  <si>
    <t>KOFFI GUY MARC</t>
  </si>
  <si>
    <t>https://myiipea.com/media/etudiant/photo/WhatsApp_Image_2023-11-08_at_11.18.52_AM.jpeg</t>
  </si>
  <si>
    <t>KONK0907020001</t>
  </si>
  <si>
    <t>KOUADIO JEAN ROMARIC</t>
  </si>
  <si>
    <t>https://myiipea.com/media/etudiant/photo/WhatsApp_Image_2023-10-17_at_11.46.05.jpeg</t>
  </si>
  <si>
    <t>KONK1508000001</t>
  </si>
  <si>
    <t>KOUADIO WENCESLAS</t>
  </si>
  <si>
    <t>https://myiipea.com/media/etudiant/photo/WhatsApp_Image_2023-10-05_at_15.07.42.jpeg</t>
  </si>
  <si>
    <t>KONK2910000001</t>
  </si>
  <si>
    <t>KOUAKOU CONSTANT</t>
  </si>
  <si>
    <t>https://myiipea.com/media/etudiant/photo/WhatsApp_Image_2023-11-08_at_15.38.44.jpeg</t>
  </si>
  <si>
    <t>KONK1110040001</t>
  </si>
  <si>
    <t>KOUAKOU JEAN-FIDEL</t>
  </si>
  <si>
    <t>https://myiipea.com/media/etudiant/photo/WhatsApp_Image_2023-11-14_at_10.59.36.jpeg</t>
  </si>
  <si>
    <t>KONK1709010001</t>
  </si>
  <si>
    <t>KOUAKOU STA BEKANTY MONDESIR</t>
  </si>
  <si>
    <t>https://myiipea.com/media/etudiant/photo/WhatsApp_Image_2023-10-16_at_11.42.08.jpeg</t>
  </si>
  <si>
    <t>KONK1102010001</t>
  </si>
  <si>
    <t>KOUAME ROMAIN</t>
  </si>
  <si>
    <t>https://myiipea.com/media/etudiant/photo/WhatsApp_Image_2023-11-14_at_14.27.37.jpeg</t>
  </si>
  <si>
    <t>KONK2106000001</t>
  </si>
  <si>
    <t>KOUASSI ALAIN REVENAUD</t>
  </si>
  <si>
    <t>https://myiipea.com/media/etudiant/photo/WhatsApp_Image_2023-10-17_at_2.33.41_PM.jpeg</t>
  </si>
  <si>
    <t>KONK0408990001</t>
  </si>
  <si>
    <t>KOUASSI FRANCK AIME</t>
  </si>
  <si>
    <t>https://myiipea.com/media/etudiant/photo/WhatsApp_Image_2023-10-31_at_11.44.28.jpeg</t>
  </si>
  <si>
    <t>KONL1406010001</t>
  </si>
  <si>
    <t>LOIC ELISEE ARMAND KOUAKOU</t>
  </si>
  <si>
    <t>https://myiipea.com/media/etudiant/photo/WhatsApp_Image_2023-10-19_at_11.45.54.jpeg</t>
  </si>
  <si>
    <t>KONM1409020001</t>
  </si>
  <si>
    <t>MARIE ELVIRA</t>
  </si>
  <si>
    <t>https://myiipea.com/media/etudiant/photo/WhatsApp_Image_2023-10-13_at_12.44.47.jpeg</t>
  </si>
  <si>
    <t>KONM2505020001</t>
  </si>
  <si>
    <t>MILIKE ELISEE CHEREL</t>
  </si>
  <si>
    <t>https://myiipea.com/media/etudiant/photo/WhatsApp_Image_2023-10-09_at_1.32.19_PM.jpeg</t>
  </si>
  <si>
    <t>KONN0101010001</t>
  </si>
  <si>
    <t>N'GORAN SIMONE OLIVIA</t>
  </si>
  <si>
    <t>https://myiipea.com/media/etudiant/photo/WhatsApp_Image_2023-11-13_at_08.48.42.jpeg</t>
  </si>
  <si>
    <t>KONN2306050001</t>
  </si>
  <si>
    <t>N'NIMO GRACE ARIANE</t>
  </si>
  <si>
    <t>https://myiipea.com/media/etudiant/photo/WhatsApp_Image_2023-10-10_at_13.29.24.jpeg</t>
  </si>
  <si>
    <t>KONN0608040001</t>
  </si>
  <si>
    <t>NELLY MARIE-HOSANNE MOIHE</t>
  </si>
  <si>
    <t>https://myiipea.com/media/etudiant/photo/WhatsApp_Image_2023-09-14_at_10.39.44.jpeg</t>
  </si>
  <si>
    <t>KONR1604000001</t>
  </si>
  <si>
    <t>RUTH ASSOH</t>
  </si>
  <si>
    <t>https://myiipea.com/media/etudiant/photo/WhatsApp_Image_2023-11-23_at_10.58.31_AM.jpeg</t>
  </si>
  <si>
    <t>KONS1901010001</t>
  </si>
  <si>
    <t>SAINT DORIAN</t>
  </si>
  <si>
    <t>https://myiipea.com/media/etudiant/photo/WhatsApp_Image_2023-10-02_at_16.39.31.jpeg</t>
  </si>
  <si>
    <t>KONS0902030001</t>
  </si>
  <si>
    <t>SIHEMO CHRISTIAN EMMANUEL</t>
  </si>
  <si>
    <t>https://myiipea.com/media/etudiant/photo/WhatsApp_Image_2023-11-22_at_3.27.57_PM.jpeg</t>
  </si>
  <si>
    <t>KONA1912040001</t>
  </si>
  <si>
    <t>KONANDJE</t>
  </si>
  <si>
    <t>AKOUMAN GRACE ESTHER</t>
  </si>
  <si>
    <t>https://myiipea.com/media/etudiant/photo/WhatsApp_Image_2023-10-05_at_16.12.49.jpeg</t>
  </si>
  <si>
    <t>KONI2711000001</t>
  </si>
  <si>
    <t>KONARE</t>
  </si>
  <si>
    <t>https://myiipea.com/media/etudiant/photo/WhatsApp_Image_2023-09-28_at_15.39.17.jpeg</t>
  </si>
  <si>
    <t>KONA1808000001</t>
  </si>
  <si>
    <t>KONATE</t>
  </si>
  <si>
    <t>https://myiipea.com/media/etudiant/photo/WhatsApp_Image_2023-10-30_at_14.40.41.jpeg</t>
  </si>
  <si>
    <t>KONA1605020001</t>
  </si>
  <si>
    <t>https://myiipea.com/media/etudiant/photo/WhatsApp_Image_2023-10-09_at_15.33.54.jpeg</t>
  </si>
  <si>
    <t>KONA1201040001</t>
  </si>
  <si>
    <t>https://myiipea.com/media/etudiant/photo/WhatsApp_Image_2023-11-23_at_10.51.33.jpeg</t>
  </si>
  <si>
    <t>KONA2603070001</t>
  </si>
  <si>
    <t>AICHA SARAH</t>
  </si>
  <si>
    <t>https://myiipea.com/media/etudiant/photo/photo_Ezp8UL0.jpg</t>
  </si>
  <si>
    <t>KONA1506010001</t>
  </si>
  <si>
    <t>https://myiipea.com/media/etudiant/photo/WhatsApp_Image_2023-11-22_at_09.27.18.jpeg</t>
  </si>
  <si>
    <t>KONA2206010002</t>
  </si>
  <si>
    <t>ALPHA JUNIOR</t>
  </si>
  <si>
    <t>https://myiipea.com/media/etudiant/photo/WhatsApp_Image_2023-10-17_at_11.33.28.jpeg</t>
  </si>
  <si>
    <t>KONA1410040001</t>
  </si>
  <si>
    <t>AMINATA INES</t>
  </si>
  <si>
    <t>https://myiipea.com/media/etudiant/photo/WhatsApp_Image_2023-11-21_at_13.07.43.jpeg</t>
  </si>
  <si>
    <t>KONA2010020001</t>
  </si>
  <si>
    <t>https://myiipea.com/media/etudiant/photo/WhatsApp_Image_2023-10-06_at_17.35.34.jpeg</t>
  </si>
  <si>
    <t>KONA1505030001</t>
  </si>
  <si>
    <t>https://myiipea.com/media/etudiant/photo/WhatsApp_Image_2023-10-16_at_11.03.08.jpeg</t>
  </si>
  <si>
    <t>KONA0310010001</t>
  </si>
  <si>
    <t>AWA ANGES INES</t>
  </si>
  <si>
    <t>https://myiipea.com/media/etudiant/photo/WhatsApp_Image_2023-10-17_at_11_resized_z4GJKmw.png</t>
  </si>
  <si>
    <t>KONA0607030001</t>
  </si>
  <si>
    <t>AWAHOU</t>
  </si>
  <si>
    <t>https://myiipea.com/media/etudiant/photo/WhatsApp_Image_2023-09-26_%C3%A0_15.59.58.jpg</t>
  </si>
  <si>
    <t>KONA2011990001</t>
  </si>
  <si>
    <t>AZIZ KADER</t>
  </si>
  <si>
    <t>https://myiipea.com/media/etudiant/photo/WhatsApp_Image_2023-10-11_at_16.54.59.jpeg</t>
  </si>
  <si>
    <t>KONB1706020001</t>
  </si>
  <si>
    <t>BRAHIMA</t>
  </si>
  <si>
    <t>https://myiipea.com/media/etudiant/photo/WhatsApp_Image_2023-10-27_at_15.56.21.jpeg</t>
  </si>
  <si>
    <t>KOND0502030001</t>
  </si>
  <si>
    <t>https://myiipea.com/media/etudiant/photo/WhatsApp_Image_2023-10-18_at_13.29.29.jpeg</t>
  </si>
  <si>
    <t>KOND0511020001</t>
  </si>
  <si>
    <t>DAOUDA 1</t>
  </si>
  <si>
    <t>https://myiipea.com/media/etudiant/photo/WhatsApp_Image_2023-11-07_at_12.22.26_PM.jpeg</t>
  </si>
  <si>
    <t>KOND0405050001</t>
  </si>
  <si>
    <t>DINDJO AICHA LYDIE</t>
  </si>
  <si>
    <t>https://myiipea.com/media/etudiant/photo/WhatsApp_Image_2023-09-28_at_11.16.37.jpeg</t>
  </si>
  <si>
    <t>KOND1312000001</t>
  </si>
  <si>
    <t>https://myiipea.com/media/etudiant/photo/WhatsApp_Image_2023-10-10_at_13.11.38.jpeg</t>
  </si>
  <si>
    <t>KONF0708020001</t>
  </si>
  <si>
    <t>FANTA</t>
  </si>
  <si>
    <t>https://myiipea.com/media/etudiant/photo/WhatsApp_Image_2023-10-03_at_13_resized_UqpWunM.png</t>
  </si>
  <si>
    <t>KONF1111030001</t>
  </si>
  <si>
    <t>FOUNGNIGUE RAMATA</t>
  </si>
  <si>
    <t>https://myiipea.com/media/etudiant/photo/WhatsApp_Image_2023-09-29_at_08.28.10.jpeg</t>
  </si>
  <si>
    <t>KONH2210020001</t>
  </si>
  <si>
    <t>HOUSSEYN</t>
  </si>
  <si>
    <t>https://myiipea.com/media/etudiant/photo/WhatsApp_Image_2023-10-09_at_14_resized.png</t>
  </si>
  <si>
    <t>KONI1208020001</t>
  </si>
  <si>
    <t>https://myiipea.com/media/etudiant/photo/WhatsApp_Image_2023-11-02_at_9.48.16_AM.jpeg</t>
  </si>
  <si>
    <t>KONK0608040001</t>
  </si>
  <si>
    <t>KADIDJA</t>
  </si>
  <si>
    <t>https://myiipea.com/media/etudiant/photo/WhatsApp_Image_2023-09-25_at_14.45.58.jpeg</t>
  </si>
  <si>
    <t>KONK1304040001</t>
  </si>
  <si>
    <t>https://myiipea.com/media/etudiant/photo/WhatsApp_Image_2023-10-19_at_12.19.07_PM.jpeg</t>
  </si>
  <si>
    <t>KONK0505020001</t>
  </si>
  <si>
    <t>KADJATOU</t>
  </si>
  <si>
    <t>https://myiipea.com/media/etudiant/photo/WhatsApp_Image_2023-10-04_at_13.28.11.jpeg</t>
  </si>
  <si>
    <t>KONL0101010001</t>
  </si>
  <si>
    <t>LANSANI</t>
  </si>
  <si>
    <t>https://myiipea.com/media/etudiant/photo/LANSANI.jpg</t>
  </si>
  <si>
    <t>KONM1409040001</t>
  </si>
  <si>
    <t>https://myiipea.com/media/etudiant/photo/WhatsApp_Image_2023-10-06_at_10.02.54.jpeg</t>
  </si>
  <si>
    <t>KONM2502030001</t>
  </si>
  <si>
    <t>https://myiipea.com/media/etudiant/photo/WhatsApp_Image_2023-10-11_at_12.35.47.jpeg</t>
  </si>
  <si>
    <t>KONM2801000001</t>
  </si>
  <si>
    <t>https://myiipea.com/media/etudiant/photo/WhatsApp_Image_2023-10-16_at_14.38.28.jpeg</t>
  </si>
  <si>
    <t>KONM1706030001</t>
  </si>
  <si>
    <t>https://myiipea.com/media/etudiant/photo/WhatsApp_Image_2023-10-16_at_10.22.24_pTXIwxd.jpeg</t>
  </si>
  <si>
    <t>KONO1207030001</t>
  </si>
  <si>
    <t>https://myiipea.com/media/etudiant/photo/WhatsApp_Image_2023-10-03_at_14.35.02.jpeg</t>
  </si>
  <si>
    <t>KONS2707040001</t>
  </si>
  <si>
    <t>SAFIATOU DEBORAH</t>
  </si>
  <si>
    <t>https://myiipea.com/media/etudiant/photo/WhatsApp_Image_2023-10-21_at_14.09.29.jpeg</t>
  </si>
  <si>
    <t>KONS2511010001</t>
  </si>
  <si>
    <t>https://myiipea.com/media/etudiant/photo/WhatsApp_Image_2023-11-07_at_5.55.53_PM.jpeg</t>
  </si>
  <si>
    <t>KONS2312000001</t>
  </si>
  <si>
    <t>https://myiipea.com/media/etudiant/photo/WhatsApp_Image_2023-10-05_at_08.31.59.jpeg</t>
  </si>
  <si>
    <t>KONT1608010001</t>
  </si>
  <si>
    <t>TILOKAMA SANDIA</t>
  </si>
  <si>
    <t>https://myiipea.com/media/etudiant/photo/WhatsApp_Image_2023-10-03_at_16.46.58.jpeg</t>
  </si>
  <si>
    <t>KONA0103990001</t>
  </si>
  <si>
    <t>KONDO</t>
  </si>
  <si>
    <t>AUBIN CHARLES LEBON</t>
  </si>
  <si>
    <t>https://myiipea.com/media/etudiant/photo/WhatsApp_Image_2023-10-31_at_4.48.47_PM.jpeg</t>
  </si>
  <si>
    <t>KONA0406990001</t>
  </si>
  <si>
    <t>ABDEL-AZIZ JUDICAEL</t>
  </si>
  <si>
    <t>https://myiipea.com/media/etudiant/photo/WhatsApp_Image_2023-11-02_at_09.23.38.jpeg</t>
  </si>
  <si>
    <t>KONA2411020001</t>
  </si>
  <si>
    <t>ABDOUL KARIM ANDERSON</t>
  </si>
  <si>
    <t>https://myiipea.com/media/etudiant/photo/WhatsApp_Image_2023-11-20_at_12.15.57.jpeg</t>
  </si>
  <si>
    <t>KONA1202010001</t>
  </si>
  <si>
    <t>https://myiipea.com/media/etudiant/photo/WhatsApp_Image_2023-10-09_at_12.53.43.jpeg</t>
  </si>
  <si>
    <t>KONA0106990001</t>
  </si>
  <si>
    <t>https://myiipea.com/media/etudiant/photo/WhatsApp_Image_2023-11-22_at_11.36.38_AM.jpeg</t>
  </si>
  <si>
    <t>KONA2702020001</t>
  </si>
  <si>
    <t>https://myiipea.com/media/etudiant/photo/WhatsApp_Image_2023-11-28_at_10.48.06.jpeg</t>
  </si>
  <si>
    <t>KONA1603020001</t>
  </si>
  <si>
    <t>https://myiipea.com/media/etudiant/photo/WhatsApp_Image_2023-10-04_at_5.09.23_PM.jpeg</t>
  </si>
  <si>
    <t>KONA0305050001</t>
  </si>
  <si>
    <t>AMINATA DATCHO LEILA</t>
  </si>
  <si>
    <t>https://myiipea.com/media/etudiant/photo/WhatsApp_Image_2023-10-05_at_17.14.50.jpeg</t>
  </si>
  <si>
    <t>KONA2603040002</t>
  </si>
  <si>
    <t>ANTOUMAN CHERIF</t>
  </si>
  <si>
    <t>https://myiipea.com/media/etudiant/photo/WhatsApp_Image_2023-11-02_at_11.53.20_AM.jpeg</t>
  </si>
  <si>
    <t>KONA2401040001</t>
  </si>
  <si>
    <t>ASSANATOU ZEINAB</t>
  </si>
  <si>
    <t>https://myiipea.com/media/etudiant/photo/WhatsApp_Image_2023-10-02_at_08.37.19.jpeg</t>
  </si>
  <si>
    <t>KONA1003030001</t>
  </si>
  <si>
    <t>AUDREY FATIM</t>
  </si>
  <si>
    <t>https://myiipea.com/media/etudiant/photo/WhatsApp_Image_2023-10-03_at_12.13.13.jpeg</t>
  </si>
  <si>
    <t>KONA0508020001</t>
  </si>
  <si>
    <t>AUDREY JOYCE</t>
  </si>
  <si>
    <t>https://myiipea.com/media/etudiant/photo/WhatsApp_Image_2023-09-29_at_11.42.26.jpeg</t>
  </si>
  <si>
    <t>KONB2909020001</t>
  </si>
  <si>
    <t>BAZOUMANA MATCHE</t>
  </si>
  <si>
    <t>https://myiipea.com/media/etudiant/photo/KONE.jpg</t>
  </si>
  <si>
    <t>KONB2804990001</t>
  </si>
  <si>
    <t>BEN YAMOUSSA</t>
  </si>
  <si>
    <t>https://myiipea.com/media/etudiant/photo/WhatsApp_Image_2023-11-06_at_13.42.34.jpeg</t>
  </si>
  <si>
    <t>KONB1807000001</t>
  </si>
  <si>
    <t>https://myiipea.com/media/etudiant/photo/WhatsApp_Image_2023-09-20_%C3%A0_10_resized.png</t>
  </si>
  <si>
    <t>KONC1605010001</t>
  </si>
  <si>
    <t>CHEICK DANIEL AZIZ</t>
  </si>
  <si>
    <t>https://myiipea.com/media/etudiant/photo/WhatsApp_Image_2023-10-03_at_3_resized.png</t>
  </si>
  <si>
    <t>KONC1408020001</t>
  </si>
  <si>
    <t>CHEICK MOHAMED CADET</t>
  </si>
  <si>
    <t>https://myiipea.com/media/etudiant/photo/WhatsApp_Image_2023-10-13_at_4.44.31_PM.jpeg</t>
  </si>
  <si>
    <t>KONC2804010001</t>
  </si>
  <si>
    <t>CHEICK OUMAR ALIYOU</t>
  </si>
  <si>
    <t>https://myiipea.com/media/etudiant/photo/WhatsApp_Image_2023-11-09_at_15.02.43.jpeg</t>
  </si>
  <si>
    <t>KONC2508040001</t>
  </si>
  <si>
    <t>CYNTHIA LOUISE FERELA</t>
  </si>
  <si>
    <t>https://myiipea.com/media/etudiant/photo/WhatsApp_Image_2023-11-10_at_10.57.24.jpeg</t>
  </si>
  <si>
    <t>KOND1512010001</t>
  </si>
  <si>
    <t>https://myiipea.com/media/etudiant/photo/WhatsApp_Image_2023-11-06_at_14.07.02.jpeg</t>
  </si>
  <si>
    <t>KOND1608060001</t>
  </si>
  <si>
    <t>DJENEKA</t>
  </si>
  <si>
    <t>https://myiipea.com/media/etudiant/photo/WhatsApp_Image_2023-10-03_at_16.13.22.jpeg</t>
  </si>
  <si>
    <t>KOND2012010001</t>
  </si>
  <si>
    <t>https://myiipea.com/media/etudiant/photo/WhatsApp_Image_2023-10-09_at_15.05.23.jpeg</t>
  </si>
  <si>
    <t>KONE1904980001</t>
  </si>
  <si>
    <t>EMMA</t>
  </si>
  <si>
    <t>https://myiipea.com/media/etudiant/photo/WhatsApp_Image_2023-10-05_at_16.06.42.jpeg</t>
  </si>
  <si>
    <t>KONF1712010001</t>
  </si>
  <si>
    <t>FADILATOU</t>
  </si>
  <si>
    <t>https://myiipea.com/media/etudiant/photo/WhatsApp_Image_2023-10-16_at_14.58.34_1.jpeg</t>
  </si>
  <si>
    <t>KONF1606040001</t>
  </si>
  <si>
    <t>FRANCK MOUSTAPHA AL LATIF</t>
  </si>
  <si>
    <t>https://myiipea.com/media/etudiant/photo/WhatsApp_Image_2023-10-09_at_12.04.41_PM.jpeg</t>
  </si>
  <si>
    <t>KONG2004040001</t>
  </si>
  <si>
    <t>GNINLKAMTCHE BENEDICTE</t>
  </si>
  <si>
    <t>https://myiipea.com/media/etudiant/photo/WhatsApp_Image_2023-10-02_at_1.42.05_PM.jpeg</t>
  </si>
  <si>
    <t>KONG1511020001</t>
  </si>
  <si>
    <t>GNINWELE ANNE</t>
  </si>
  <si>
    <t>https://myiipea.com/media/etudiant/photo/WhatsApp_Image_2023-10-31_at_10.34.52.jpeg</t>
  </si>
  <si>
    <t>KONI1901990001</t>
  </si>
  <si>
    <t>https://myiipea.com/media/etudiant/photo/WhatsApp_Image_2023-11-21_at_09.46.44.jpeg</t>
  </si>
  <si>
    <t>KONI3012020001</t>
  </si>
  <si>
    <t>INZA</t>
  </si>
  <si>
    <t>https://myiipea.com/media/etudiant/photo/WhatsApp_Image_2023-10-11_at_15.23.01.jpeg</t>
  </si>
  <si>
    <t>KONI3011050001</t>
  </si>
  <si>
    <t>ISAAC ABDOUL AZIZ</t>
  </si>
  <si>
    <t>https://myiipea.com/media/etudiant/photo/WhatsApp_Image_2023-10-11_at_3.11.01_PM.jpeg</t>
  </si>
  <si>
    <t>KONI0911950001</t>
  </si>
  <si>
    <t>ISHAKA</t>
  </si>
  <si>
    <t>https://myiipea.com/media/etudiant/photo/WhatsApp_Image_2023-10-12_at_17.53.58.jpeg</t>
  </si>
  <si>
    <t>KONI2010010001</t>
  </si>
  <si>
    <t>ISMAEL ROHANE</t>
  </si>
  <si>
    <t>https://myiipea.com/media/etudiant/photo/WhatsApp_Image_2023-10-07_at_13.44.33.jpeg</t>
  </si>
  <si>
    <t>KONI0202990001</t>
  </si>
  <si>
    <t>https://myiipea.com/media/etudiant/photo/WhatsApp_Image_2023-11-27_at_15.16.44.jpeg</t>
  </si>
  <si>
    <t>KONI1506040001</t>
  </si>
  <si>
    <t>https://myiipea.com/media/etudiant/photo/WhatsApp_Image_2023-10-03_at_13.53.15.jpeg</t>
  </si>
  <si>
    <t>KONK1404020001</t>
  </si>
  <si>
    <t>KANIGUI FRANCK ARMEL</t>
  </si>
  <si>
    <t>https://myiipea.com/media/etudiant/photo/WhatsApp_Image_2023-10-04_at_2.38.56_PM.jpeg</t>
  </si>
  <si>
    <t>KONK2212020001</t>
  </si>
  <si>
    <t>KATCHEGUEYA</t>
  </si>
  <si>
    <t>https://myiipea.com/media/etudiant/photo/t%C3%A9l%C3%A9charg%C3%A9_0m5zWZK.jpeg</t>
  </si>
  <si>
    <t>KONK0812040001</t>
  </si>
  <si>
    <t>KATIO ALIMAN</t>
  </si>
  <si>
    <t>https://myiipea.com/media/etudiant/photo/WhatsApp_Image_2023-11-20_at_10.31.17.jpeg</t>
  </si>
  <si>
    <t>KONK2710030001</t>
  </si>
  <si>
    <t>KIDOU</t>
  </si>
  <si>
    <t>https://myiipea.com/media/etudiant/photo/WhatsApp_Image_2023-10-31_at_12.42.40_PM.jpeg</t>
  </si>
  <si>
    <t>KONK2111010001</t>
  </si>
  <si>
    <t>KIGBAFOLO KIYALY HAMED</t>
  </si>
  <si>
    <t>https://myiipea.com/media/etudiant/photo/WhatsApp_Image_2023-09-29_at_14.24.31.jpeg</t>
  </si>
  <si>
    <t>KONK3105040001</t>
  </si>
  <si>
    <t>KINANKAN MARIE LESLIE</t>
  </si>
  <si>
    <t>https://myiipea.com/media/etudiant/photo/IIPEA_aTb9Jw8.jpg</t>
  </si>
  <si>
    <t>KONK2112020001</t>
  </si>
  <si>
    <t>KOTCHO SARAH MARIE-ANGE</t>
  </si>
  <si>
    <t>https://myiipea.com/media/etudiant/photo/WhatsApp_Image_2023-10-04_at_16.52.21.jpeg</t>
  </si>
  <si>
    <t>KONK2602030001</t>
  </si>
  <si>
    <t>https://myiipea.com/media/etudiant/photo/WhatsApp_Image_2023-10-12_at_13.52.13.jpeg</t>
  </si>
  <si>
    <t>KONL2411010001</t>
  </si>
  <si>
    <t>LIE KPOUWIGUE HAWA NADERA</t>
  </si>
  <si>
    <t>https://myiipea.com/media/etudiant/photo/WhatsApp_Image_2023-10-27_at_5.45.03_PM.jpeg</t>
  </si>
  <si>
    <t>KONM1807040001</t>
  </si>
  <si>
    <t>https://myiipea.com/media/etudiant/photo/WhatsApp_Image_2023-10-17_at_17.24.01.jpeg</t>
  </si>
  <si>
    <t>KONM0101020001</t>
  </si>
  <si>
    <t>https://myiipea.com/media/etudiant/photo/WhatsApp_Image_2023-09-29_at_12.58.06.jpeg</t>
  </si>
  <si>
    <t>KONM1302030001</t>
  </si>
  <si>
    <t>https://myiipea.com/media/etudiant/photo/WhatsApp_Image_2023-11-14_at_1.34.31_PM.jpeg</t>
  </si>
  <si>
    <t>KONM2605000002</t>
  </si>
  <si>
    <t>https://myiipea.com/media/etudiant/photo/unnamed-2.png</t>
  </si>
  <si>
    <t>KONM2412020001</t>
  </si>
  <si>
    <t>https://myiipea.com/media/etudiant/photo/WhatsApp_Image_2023-11-13_at_11.38.48_AM.jpeg</t>
  </si>
  <si>
    <t>KONM0911020001</t>
  </si>
  <si>
    <t>https://myiipea.com/media/etudiant/photo/WhatsApp_Image_2023-10-11_at_14.27.58.jpeg</t>
  </si>
  <si>
    <t>KONM2506060001</t>
  </si>
  <si>
    <t>MANI ABEL</t>
  </si>
  <si>
    <t>https://myiipea.com/media/etudiant/photo/WhatsApp_Image_2023-10-26_at_09.17.40.jpeg</t>
  </si>
  <si>
    <t>KONM0111990001</t>
  </si>
  <si>
    <t>https://myiipea.com/media/etudiant/photo/WhatsApp_Image_2023-10-13_at_15.55.54.jpeg</t>
  </si>
  <si>
    <t>KONM1606040001</t>
  </si>
  <si>
    <t>https://myiipea.com/media/etudiant/photo/WhatsApp_Image_2023-10-16_at_1.05.48_PM.jpeg</t>
  </si>
  <si>
    <t>KONM0310020001</t>
  </si>
  <si>
    <t>https://myiipea.com/media/etudiant/photo/WhatsApp_Image_2023-10-02_at_2.27.16_PM.jpeg</t>
  </si>
  <si>
    <t>KONM0807040001</t>
  </si>
  <si>
    <t>MARIAM ZEYNAB</t>
  </si>
  <si>
    <t>https://myiipea.com/media/etudiant/photo/WhatsApp_Image_2023-10-13_at_17.37.10.jpeg</t>
  </si>
  <si>
    <t>KONM2908050001</t>
  </si>
  <si>
    <t>MASSENY AMANDINE</t>
  </si>
  <si>
    <t>https://myiipea.com/media/etudiant/photo/WhatsApp_Image_2023-10-02_at_11.22.44_1.jpeg</t>
  </si>
  <si>
    <t>KONM1601040002</t>
  </si>
  <si>
    <t>https://myiipea.com/media/etudiant/photo/NAWA.jpg</t>
  </si>
  <si>
    <t>KONM1505050001</t>
  </si>
  <si>
    <t>https://myiipea.com/media/etudiant/photo/WhatsApp_Image_2023-10-04_at_11.08.13_AM.jpeg</t>
  </si>
  <si>
    <t>KONM0501020001</t>
  </si>
  <si>
    <t>MINANWELE GISLAINE</t>
  </si>
  <si>
    <t>https://myiipea.com/media/etudiant/photo/WhatsApp_Image_2023-11-22_at_5.02.15_PM.jpeg</t>
  </si>
  <si>
    <t>KONM0705000001</t>
  </si>
  <si>
    <t>https://myiipea.com/media/etudiant/photo/WhatsApp_Image_2023-10-31_at_5.35.28_PM.jpeg</t>
  </si>
  <si>
    <t>KONM1005010001</t>
  </si>
  <si>
    <t>https://myiipea.com/media/etudiant/photo/WhatsApp_Image_2023-10-11_at_15.39.04.jpeg</t>
  </si>
  <si>
    <t>KONM0209020001</t>
  </si>
  <si>
    <t>MOHAMED AZIZ</t>
  </si>
  <si>
    <t>https://myiipea.com/media/etudiant/photo/WhatsApp_Image_2023-09-25_at_13.31.28.jpeg</t>
  </si>
  <si>
    <t>KONM0411040001</t>
  </si>
  <si>
    <t>MOHAMED ISSA</t>
  </si>
  <si>
    <t>https://myiipea.com/media/etudiant/photo/WhatsApp_Image_2023-10-26_at_13.04.54.jpeg</t>
  </si>
  <si>
    <t>KONN0302010001</t>
  </si>
  <si>
    <t>https://myiipea.com/media/etudiant/photo/WhatsApp_Image_2023-11-23_at_11.21.47.jpeg</t>
  </si>
  <si>
    <t>KONN0709030001</t>
  </si>
  <si>
    <t>NAMOGO</t>
  </si>
  <si>
    <t>https://myiipea.com/media/etudiant/photo/ee805a7a-bd0f-4cfc-a70e-cbab604ca96a_ujiA8h2.jpeg</t>
  </si>
  <si>
    <t>KONN2303050001</t>
  </si>
  <si>
    <t>NANON ENOCH</t>
  </si>
  <si>
    <t>https://myiipea.com/media/etudiant/photo/WhatsApp_Image_2023-10-05_at_15.52.40.jpeg</t>
  </si>
  <si>
    <t>KONN2208040001</t>
  </si>
  <si>
    <t>NAZAN</t>
  </si>
  <si>
    <t>https://myiipea.com/media/etudiant/photo/WhatsApp_Image_2023-10-13_at_12.02.20_PM_1.jpeg</t>
  </si>
  <si>
    <t>KONN3009050001</t>
  </si>
  <si>
    <t>NERGUEDENY ASSETOU GRACE</t>
  </si>
  <si>
    <t>https://myiipea.com/media/etudiant/photo/WhatsApp_Image_2023-10-23_at_14.09.00.jpeg</t>
  </si>
  <si>
    <t>KONN0609010001</t>
  </si>
  <si>
    <t>NOUR MOHAMED LAMINE</t>
  </si>
  <si>
    <t>https://myiipea.com/media/etudiant/photo/WhatsApp_Image_2023-10-02_at_10.43.59.jpeg</t>
  </si>
  <si>
    <t>KONO1810040001</t>
  </si>
  <si>
    <t>OPLIN NICKY</t>
  </si>
  <si>
    <t>https://myiipea.com/media/etudiant/photo/WhatsApp_Image_2023-10-09_at_16.03.09.jpeg</t>
  </si>
  <si>
    <t>KONO1805040001</t>
  </si>
  <si>
    <t>OUATTARA KEVIN</t>
  </si>
  <si>
    <t>https://myiipea.com/media/etudiant/photo/WhatsApp_Image_2023-10-11_at_17.03.43.jpeg</t>
  </si>
  <si>
    <t>KONO0103970001</t>
  </si>
  <si>
    <t>https://myiipea.com/media/etudiant/photo/WhatsApp_Image_2023-10-19_at_13.19.44.jpeg</t>
  </si>
  <si>
    <t>KONP1912020001</t>
  </si>
  <si>
    <t>PEDJOULELENI ABDOUL LATIF</t>
  </si>
  <si>
    <t>https://myiipea.com/media/etudiant/photo/WhatsApp_Image_2023-10-18_at_2.28.21_PM.jpeg</t>
  </si>
  <si>
    <t>KONS0703050002</t>
  </si>
  <si>
    <t>https://myiipea.com/media/etudiant/photo/WhatsApp_Image_2023-10-02_at_11.20.55_WoaFp3E.jpeg</t>
  </si>
  <si>
    <t>KONS0404040001</t>
  </si>
  <si>
    <t>https://myiipea.com/media/etudiant/photo/WhatsApp_Image_2023-10-04_at_10.59.37.jpeg</t>
  </si>
  <si>
    <t>KONS2604030001</t>
  </si>
  <si>
    <t>SIBIRITCHA LIPKIA ALIDA</t>
  </si>
  <si>
    <t>https://myiipea.com/media/etudiant/photo/WhatsApp_Image_2023-10-17_at_13.19.26.jpeg</t>
  </si>
  <si>
    <t>KONS0811030001</t>
  </si>
  <si>
    <t>SIDI AMINE</t>
  </si>
  <si>
    <t>https://myiipea.com/media/etudiant/photo/WhatsApp_Image_2023-09-29_at_11.41.56.jpeg</t>
  </si>
  <si>
    <t>KONS0911060001</t>
  </si>
  <si>
    <t>SIDIBE AICHA</t>
  </si>
  <si>
    <t>https://myiipea.com/media/etudiant/photo/WhatsApp_Image_2023-10-25_at_15.20.41.jpeg</t>
  </si>
  <si>
    <t>KONS2909020001</t>
  </si>
  <si>
    <t>SILORTOUN ABOUBACAR</t>
  </si>
  <si>
    <t>https://myiipea.com/media/etudiant/photo/WhatsApp_Image_2023-10-05_at_12.18.11.jpeg</t>
  </si>
  <si>
    <t>KONS0212030001</t>
  </si>
  <si>
    <t>SIRIKI</t>
  </si>
  <si>
    <t>https://myiipea.com/media/etudiant/photo/WhatsApp_Image_2023-10-04_at_09.07.46.jpeg</t>
  </si>
  <si>
    <t>KONS2012020001</t>
  </si>
  <si>
    <t>SOUNGALO</t>
  </si>
  <si>
    <t>https://myiipea.com/media/etudiant/photo/WhatsApp_Image_2023-10-27_at_4.14.42_PM.jpeg</t>
  </si>
  <si>
    <t>KONT2806030001</t>
  </si>
  <si>
    <t>TADJOGO</t>
  </si>
  <si>
    <t>https://myiipea.com/media/etudiant/photo/WhatsApp_Image_2023-11-22_at_4.39.01_PM.jpeg</t>
  </si>
  <si>
    <t>KONT2409040001</t>
  </si>
  <si>
    <t>TAINON MOUHAMED ALI</t>
  </si>
  <si>
    <t>https://myiipea.com/media/etudiant/photo/WhatsApp_Image_2023-10-10_at_11_resized.png</t>
  </si>
  <si>
    <t>KONT1404010001</t>
  </si>
  <si>
    <t>TIEMASSA ISMAEL KADER</t>
  </si>
  <si>
    <t>https://myiipea.com/media/etudiant/photo/WhatsApp_Image_2023-11-27_at_3.07.41_PM.jpeg</t>
  </si>
  <si>
    <t>KONT1303000001</t>
  </si>
  <si>
    <t>TILOMAN ANGE KARMELLE</t>
  </si>
  <si>
    <t>https://myiipea.com/media/etudiant/photo/WhatsApp_Image_2023-10-03_at_11.14.56_AM_VSgBlYT.jpeg</t>
  </si>
  <si>
    <t>KONT0412030001</t>
  </si>
  <si>
    <t>TIMAN IVAN KILILIAN</t>
  </si>
  <si>
    <t>https://myiipea.com/media/etudiant/photo/WhatsApp_Image_2023-10-24_at_14.01.59.jpeg</t>
  </si>
  <si>
    <t>KONT1909030001</t>
  </si>
  <si>
    <t>TOFANG SEYDOU</t>
  </si>
  <si>
    <t>https://myiipea.com/media/etudiant/photo/WhatsApp_Image_2023-10-17_at_09.44.13.jpeg</t>
  </si>
  <si>
    <t>KONY1007030001</t>
  </si>
  <si>
    <t>YAH ADJARATOU</t>
  </si>
  <si>
    <t>https://myiipea.com/media/etudiant/photo/WhatsApp_Image_2023-11-13_at_10.41.42_AM.jpeg</t>
  </si>
  <si>
    <t>KONV1610040001</t>
  </si>
  <si>
    <t>YELI NOURIA AMA YASMINE</t>
  </si>
  <si>
    <t>https://myiipea.com/media/etudiant/photo/WhatsApp_Image_2023-10-26_at_16.28.35.jpeg</t>
  </si>
  <si>
    <t>KONY0611010001</t>
  </si>
  <si>
    <t>YELLI AFFOUSSIATOU</t>
  </si>
  <si>
    <t>https://myiipea.com/media/etudiant/photo/WhatsApp_Image_2023-11-13_at_09.38.21.jpeg</t>
  </si>
  <si>
    <t>KONY3008040001</t>
  </si>
  <si>
    <t>YOH MARIAM</t>
  </si>
  <si>
    <t>https://myiipea.com/media/etudiant/photo/WhatsApp_Image_2023-11-14_at_11.11.49.jpeg</t>
  </si>
  <si>
    <t>KONZ2004050001</t>
  </si>
  <si>
    <t>ZAHINABOU</t>
  </si>
  <si>
    <t>https://myiipea.com/media/etudiant/photo/WhatsApp_Image_2023-10-12_at_11.07.50.jpeg</t>
  </si>
  <si>
    <t>KONZ2503030001</t>
  </si>
  <si>
    <t>ZAINAB AL MASSAKIN NOURAH</t>
  </si>
  <si>
    <t>https://myiipea.com/media/etudiant/photo/WhatsApp_Image_2023-10-13_at_18.05.07.jpeg</t>
  </si>
  <si>
    <t>KONZ2408010001</t>
  </si>
  <si>
    <t>ZIE IDRISS</t>
  </si>
  <si>
    <t>https://myiipea.com/media/etudiant/photo/WhatsApp_Image_2023-10-30_at_13.29.20.jpeg</t>
  </si>
  <si>
    <t>KONZ1104020001</t>
  </si>
  <si>
    <t>ZOUMANA</t>
  </si>
  <si>
    <t>https://myiipea.com/media/etudiant/photo/WhatsApp_Image_2023-11-07_at_5.52.33_PM.jpeg</t>
  </si>
  <si>
    <t>KONM0105020001</t>
  </si>
  <si>
    <t>KONFE</t>
  </si>
  <si>
    <t>MAOUA</t>
  </si>
  <si>
    <t>https://myiipea.com/media/etudiant/photo/WhatsApp_Image_2023-10-26_at_12.57.46.jpeg</t>
  </si>
  <si>
    <t>KONA1404050001</t>
  </si>
  <si>
    <t>KONGOZA</t>
  </si>
  <si>
    <t>AHOU GRACE FOSTINE</t>
  </si>
  <si>
    <t>https://myiipea.com/media/etudiant/photo/WhatsApp_Image_2023-10-03_at_12.37.06.jpeg</t>
  </si>
  <si>
    <t>KONA2312030001</t>
  </si>
  <si>
    <t>KONIN</t>
  </si>
  <si>
    <t>ABRAHAM JUNIOR NEWTON</t>
  </si>
  <si>
    <t>https://myiipea.com/media/etudiant/photo/WhatsApp_Image_2023-09-26_at_15.30.15.jpeg</t>
  </si>
  <si>
    <t>KONE0303030001</t>
  </si>
  <si>
    <t>EHOUMAN  AUDREY SYLVIE GERARD</t>
  </si>
  <si>
    <t>https://myiipea.com/media/etudiant/photo/WhatsApp_Image_2023-10-06_at_09.37.47.jpeg</t>
  </si>
  <si>
    <t>KORA1811050001</t>
  </si>
  <si>
    <t>KORE</t>
  </si>
  <si>
    <t>AUDREPONE MARINA DORIA</t>
  </si>
  <si>
    <t>https://myiipea.com/media/etudiant/photo/WhatsApp_Image_2023-10-17_at_13.00.44.jpeg</t>
  </si>
  <si>
    <t>KORD0301040001</t>
  </si>
  <si>
    <t>DJORO EMMANUEL ELISEE</t>
  </si>
  <si>
    <t>https://myiipea.com/media/etudiant/photo/WhatsApp_Image_2023-09-21_at_15.19.41.jpeg</t>
  </si>
  <si>
    <t>KORE1705030001</t>
  </si>
  <si>
    <t>EMMANUEL MOREL</t>
  </si>
  <si>
    <t>https://myiipea.com/media/etudiant/photo/WhatsApp_Image_2023-10-20_at_16.57.55.jpeg</t>
  </si>
  <si>
    <t>KORG2203050001</t>
  </si>
  <si>
    <t>GOHIRI JORDAN</t>
  </si>
  <si>
    <t>https://myiipea.com/media/etudiant/photo/WhatsApp_Image_2023-10-02_at_09.47.14.jpeg</t>
  </si>
  <si>
    <t>KORH1707020001</t>
  </si>
  <si>
    <t>HERMANN</t>
  </si>
  <si>
    <t>https://myiipea.com/media/etudiant/photo/WhatsApp_Image_2023-10-10_at_14.10.27.jpeg</t>
  </si>
  <si>
    <t>KOSG2808010001</t>
  </si>
  <si>
    <t>KOSSA</t>
  </si>
  <si>
    <t>GNONPOUROU PRISCILLIA ORPHEE</t>
  </si>
  <si>
    <t>https://myiipea.com/media/etudiant/photo/WhatsApp_Image_2023-10-23_at_10.09.23.jpeg</t>
  </si>
  <si>
    <t>KOSS2211050001</t>
  </si>
  <si>
    <t>KOSSERE</t>
  </si>
  <si>
    <t>SEPHORA SUSY ELVIRA</t>
  </si>
  <si>
    <t>https://myiipea.com/media/etudiant/photo/WhatsApp_Image_2023-10-11_at_4.55.02_PM.jpeg</t>
  </si>
  <si>
    <t>KOSK1906050001</t>
  </si>
  <si>
    <t>KOSSONOU</t>
  </si>
  <si>
    <t>KOUAME YANNICK</t>
  </si>
  <si>
    <t>https://myiipea.com/media/etudiant/photo/WhatsApp_Image_2023-10-12_at_12.53.58.jpeg</t>
  </si>
  <si>
    <t>KOTN0906040001</t>
  </si>
  <si>
    <t>KOTIKO</t>
  </si>
  <si>
    <t>N'GUESSAN SERGE</t>
  </si>
  <si>
    <t>https://myiipea.com/media/etudiant/photo/WhatsApp_Image_2023-10-13_at_14_resized_85jtoV9.png</t>
  </si>
  <si>
    <t>KOUA0808050001</t>
  </si>
  <si>
    <t>KOUA</t>
  </si>
  <si>
    <t>ADJOUA ANNE MURIELLE</t>
  </si>
  <si>
    <t>https://myiipea.com/media/etudiant/photo/WhatsApp_Image_2023-10-10_at_6.20.16_PM.jpeg</t>
  </si>
  <si>
    <t>KOUK3001030001</t>
  </si>
  <si>
    <t>KASSI CHARLES</t>
  </si>
  <si>
    <t>https://myiipea.com/media/etudiant/photo/WhatsApp_Image_2023-09-20_at_14.45.50.jpeg</t>
  </si>
  <si>
    <t>KOUK2809020001</t>
  </si>
  <si>
    <t>KOFFI YANNICK</t>
  </si>
  <si>
    <t>https://myiipea.com/media/etudiant/photo/WhatsApp_Image_2023-11-14_at_09.18.02_1.jpeg</t>
  </si>
  <si>
    <t>KOUS1408030001</t>
  </si>
  <si>
    <t>STEPHANE EVRARD KOUADOU</t>
  </si>
  <si>
    <t>https://myiipea.com/media/etudiant/photo/WhatsApp_Image_2023-10-26_at_13.13.40.jpeg</t>
  </si>
  <si>
    <t>KOUK2805020001</t>
  </si>
  <si>
    <t>KOUABENA</t>
  </si>
  <si>
    <t>KRA JOEL</t>
  </si>
  <si>
    <t>https://myiipea.com/media/etudiant/photo/WhatsApp_Image_2023-09-29_at_17.40.38.jpeg</t>
  </si>
  <si>
    <t>KOUA2308230001</t>
  </si>
  <si>
    <t>KOUACHY</t>
  </si>
  <si>
    <t>ADA YANN WILFRIED</t>
  </si>
  <si>
    <t>https://myiipea.com/media/etudiant/photo/WhatsApp_Image_2023-09-28_at_12.07.56.jpeg</t>
  </si>
  <si>
    <t>KOUA2608010001</t>
  </si>
  <si>
    <t>KOUACOU</t>
  </si>
  <si>
    <t>AMOIN NATACHA</t>
  </si>
  <si>
    <t>https://myiipea.com/media/etudiant/photo/WhatsApp_Image_2023-11-13_at_11.03.26.jpeg</t>
  </si>
  <si>
    <t>KOUD0906060001</t>
  </si>
  <si>
    <t>DIANE EMMANUELLA FLORIANE</t>
  </si>
  <si>
    <t>https://myiipea.com/media/etudiant/photo/WhatsApp_Image_2023-10-10_at_09.19.14.jpeg</t>
  </si>
  <si>
    <t>KOUK0105030002</t>
  </si>
  <si>
    <t>KOA KARELLE AGNES</t>
  </si>
  <si>
    <t>https://myiipea.com/media/etudiant/photo/t%C3%A9l%C3%A9chargement_p9jCkxK.png</t>
  </si>
  <si>
    <t>KOUB2701010001</t>
  </si>
  <si>
    <t>KOUADE</t>
  </si>
  <si>
    <t>BEDA JEAN MICHEL</t>
  </si>
  <si>
    <t>https://myiipea.com/media/etudiant/photo/WhatsApp_Image_2023-11-30_at_12.36.53_PM.jpeg</t>
  </si>
  <si>
    <t>KOUZ0804040001</t>
  </si>
  <si>
    <t>ZANA AUDE FALONNE</t>
  </si>
  <si>
    <t>https://myiipea.com/media/etudiant/photo/WhatsApp_Image_2023-10-11_at_1.23.53_PM.jpeg</t>
  </si>
  <si>
    <t>KOUA0512000001</t>
  </si>
  <si>
    <t>KOUADIO</t>
  </si>
  <si>
    <t>ABENAN SOUMIA RUTH</t>
  </si>
  <si>
    <t>https://myiipea.com/media/etudiant/photo/WhatsApp_Image_2023-10-03_at_2.52.43_PM.jpeg</t>
  </si>
  <si>
    <t>KOUA1709010001</t>
  </si>
  <si>
    <t>ADEPO AHUA BEN JUNIOR</t>
  </si>
  <si>
    <t>https://myiipea.com/media/etudiant/photo/WhatsApp_Image_2023-10-10_at_13.46.07.jpeg</t>
  </si>
  <si>
    <t>KOUA2707000001</t>
  </si>
  <si>
    <t>ADI JEAN FRANCOIS</t>
  </si>
  <si>
    <t>https://myiipea.com/media/etudiant/photo/WhatsApp_Image_2023-10-05_at_13.33.03.jpeg</t>
  </si>
  <si>
    <t>KOUA3108040001</t>
  </si>
  <si>
    <t>ADJO BEKANTY DORCAS</t>
  </si>
  <si>
    <t>https://myiipea.com/media/etudiant/photo/WhatsApp_Image_2023-09-29_at_15.03.28.jpeg</t>
  </si>
  <si>
    <t>KOUA1005050001</t>
  </si>
  <si>
    <t>ADJO LEALI NANCY</t>
  </si>
  <si>
    <t>https://myiipea.com/media/etudiant/photo/WhatsApp_Image_2023-10-02_at_16.11.22.jpeg</t>
  </si>
  <si>
    <t>KOUA1008050001</t>
  </si>
  <si>
    <t>ADJOUA IRIS ISMAILDA ANASTASIE</t>
  </si>
  <si>
    <t>https://myiipea.com/media/etudiant/photo/WhatsApp_Image_2023-10-31_at_11.49.10.jpeg</t>
  </si>
  <si>
    <t>KOUA1711030001</t>
  </si>
  <si>
    <t>ADJOUA KAN SARA</t>
  </si>
  <si>
    <t>https://myiipea.com/media/etudiant/photo/WhatsApp_Image_2023-10-19_at_11.45.27.jpeg</t>
  </si>
  <si>
    <t>KOUA0511020001</t>
  </si>
  <si>
    <t>ADJOUA MICHELINE</t>
  </si>
  <si>
    <t>https://myiipea.com/media/etudiant/photo/WhatsApp_Image_2023-10-13_at_18.38.49.jpeg</t>
  </si>
  <si>
    <t>KOUA2411050001</t>
  </si>
  <si>
    <t>AHOU VALENTINE</t>
  </si>
  <si>
    <t>https://myiipea.com/media/etudiant/photo/WhatsApp_Image_2023-12-01_at_12_resized_resized_resized.png</t>
  </si>
  <si>
    <t>KOUA0204020001</t>
  </si>
  <si>
    <t>AKISSI ANNE FLORE</t>
  </si>
  <si>
    <t>https://myiipea.com/media/etudiant/photo/WhatsApp_Image_2023-10-06_at_10.34.19.jpeg</t>
  </si>
  <si>
    <t>KOUA2411040001</t>
  </si>
  <si>
    <t>AKISSI CHRISTELLE</t>
  </si>
  <si>
    <t>https://myiipea.com/media/etudiant/photo/WhatsApp_Image_2023-10-10_at_12_resized.png</t>
  </si>
  <si>
    <t>KOUA1508040001</t>
  </si>
  <si>
    <t>AKISSI EVELYNE</t>
  </si>
  <si>
    <t>https://myiipea.com/media/etudiant/photo/WhatsApp_Image_2023-10-03_at_16_resized_resized.png</t>
  </si>
  <si>
    <t>KOUA1204010001</t>
  </si>
  <si>
    <t>AKISSI VIRGINIE</t>
  </si>
  <si>
    <t>https://myiipea.com/media/etudiant/photo/WhatsApp_Image_2023-11-22_at_10.32.33.jpeg</t>
  </si>
  <si>
    <t>KOUA0503060001</t>
  </si>
  <si>
    <t>AKOUSSUA MARIE YASMINE</t>
  </si>
  <si>
    <t>https://myiipea.com/media/etudiant/photo/WhatsApp_Image_2023-10-10_at_13.10.51.jpeg</t>
  </si>
  <si>
    <t>KOUA0704010001</t>
  </si>
  <si>
    <t>AMA MARIE PRISCA</t>
  </si>
  <si>
    <t>https://myiipea.com/media/etudiant/photo/WhatsApp_Image_2023-10-11_at_15.54.26.jpeg</t>
  </si>
  <si>
    <t>KOUA2710010001</t>
  </si>
  <si>
    <t>AMENAN ANDREA CARENE</t>
  </si>
  <si>
    <t>https://myiipea.com/media/etudiant/photo/IMG_2506_resized.png</t>
  </si>
  <si>
    <t>KOUA1406060001</t>
  </si>
  <si>
    <t>AMENAN GRACE VALENCIA</t>
  </si>
  <si>
    <t>https://myiipea.com/media/etudiant/photo/WhatsApp_Image_2023-09-26_at_13.22.55.jpeg</t>
  </si>
  <si>
    <t>KOUA0406030001</t>
  </si>
  <si>
    <t>AMENAN ROXANNE DESIREE</t>
  </si>
  <si>
    <t>https://myiipea.com/media/etudiant/photo/WhatsApp_Image_2023-10-09_at_09.35.46.jpeg</t>
  </si>
  <si>
    <t>KOUA2207920001</t>
  </si>
  <si>
    <t>AMLAN CLARISSE</t>
  </si>
  <si>
    <t>https://myiipea.com/media/etudiant/photo/WhatsApp_Image_2023-11-10_at_15.56.17.jpeg</t>
  </si>
  <si>
    <t>KOUA2411020001</t>
  </si>
  <si>
    <t>AMOIN ELISABETH LAURIANE</t>
  </si>
  <si>
    <t>https://myiipea.com/media/etudiant/photo/ee805a7a-bd0f-4cfc-a70e-cbab604ca96a_m6KTFHq.jpeg</t>
  </si>
  <si>
    <t>KOUA0601040001</t>
  </si>
  <si>
    <t>AMOIN RUTH DANIELLE</t>
  </si>
  <si>
    <t>https://myiipea.com/media/etudiant/photo/WhatsApp_Image_2023-10-19_at_3.10.42_PM.jpeg</t>
  </si>
  <si>
    <t>KOUA2508050001</t>
  </si>
  <si>
    <t>ANGE IVAN</t>
  </si>
  <si>
    <t>https://myiipea.com/media/etudiant/photo/WhatsApp_Image_2023-09-14_at_15.18.53.jpeg</t>
  </si>
  <si>
    <t>KOUA0306030001</t>
  </si>
  <si>
    <t>ANO-BLA ANTOINETTE</t>
  </si>
  <si>
    <t>https://myiipea.com/media/etudiant/photo/WhatsApp_Image_2023-10-03_at_11.31.47.jpeg</t>
  </si>
  <si>
    <t>KOUA1907010001</t>
  </si>
  <si>
    <t>APPO GWLADYS</t>
  </si>
  <si>
    <t>https://myiipea.com/media/etudiant/photo/WhatsApp_Image_2023-10-26_at_3.52.30_PM.jpeg</t>
  </si>
  <si>
    <t>KOUA0712020001</t>
  </si>
  <si>
    <t>ARMAND HYCINTHE AMALAMAN</t>
  </si>
  <si>
    <t>https://myiipea.com/media/etudiant/photo/WhatsApp_Image_2023-10-16_at_13.37.43.jpeg</t>
  </si>
  <si>
    <t>KOUA0508050001</t>
  </si>
  <si>
    <t>ARNOLD DESIRE</t>
  </si>
  <si>
    <t>https://myiipea.com/media/etudiant/photo/WhatsApp_Image_2023-10-16_at_17.39.38.jpeg</t>
  </si>
  <si>
    <t>KOUA0511020002</t>
  </si>
  <si>
    <t>AUDE SYLVIE</t>
  </si>
  <si>
    <t>https://myiipea.com/media/etudiant/photo/WhatsApp_Image_2023-11-07_at_14.47.53.jpeg</t>
  </si>
  <si>
    <t>KOUA2012020001</t>
  </si>
  <si>
    <t>AYA ANNE DOLAURES</t>
  </si>
  <si>
    <t>https://myiipea.com/media/etudiant/photo/WhatsApp_Image_2023-11-30_at_1.09.03_PM.jpeg</t>
  </si>
  <si>
    <t>KOUA0602040001</t>
  </si>
  <si>
    <t>AYA NANCY SYLVIA</t>
  </si>
  <si>
    <t>https://myiipea.com/media/etudiant/photo/WhatsApp_Image_2023-10-09_at_13.12.08.jpeg</t>
  </si>
  <si>
    <t>KOUB0106040001</t>
  </si>
  <si>
    <t>BROU MARLENE ESTHER</t>
  </si>
  <si>
    <t>https://myiipea.com/media/etudiant/photo/WhatsApp_Image_2023-09-26_at_14.04.56.jpeg</t>
  </si>
  <si>
    <t>KOUB1007030001</t>
  </si>
  <si>
    <t>BROU RICHMOND</t>
  </si>
  <si>
    <t>https://myiipea.com/media/etudiant/photo/WhatsApp_Image_2023-10-16_at_15.05.41.jpeg</t>
  </si>
  <si>
    <t>KOUC0704030001</t>
  </si>
  <si>
    <t>CHRISTIAN BERYL KATEL</t>
  </si>
  <si>
    <t>https://myiipea.com/media/etudiant/photo/WhatsApp_Image_2023-10-12_at_2.53.55_PM.jpeg</t>
  </si>
  <si>
    <t>KOUC0311040001</t>
  </si>
  <si>
    <t>CHRISTIAN JEAN JAURES</t>
  </si>
  <si>
    <t>https://myiipea.com/media/etudiant/photo/WhatsApp_Image_2023-11-06_at_12.55.04_PM.jpeg</t>
  </si>
  <si>
    <t>KOUC0901040001</t>
  </si>
  <si>
    <t>CHRISTIANE COLOMBE CHARLENE</t>
  </si>
  <si>
    <t>https://myiipea.com/media/etudiant/photo/WhatsApp_Image_2023-10-20_at_6.40.51_PM.jpeg</t>
  </si>
  <si>
    <t>KOUD2002030001</t>
  </si>
  <si>
    <t>DOLOU OBOU ANNE GERTRUDE</t>
  </si>
  <si>
    <t>https://myiipea.com/media/etudiant/photo/WhatsApp_Image_2023-10-24_at_15.57.14.jpeg</t>
  </si>
  <si>
    <t>KOUD0101060001</t>
  </si>
  <si>
    <t>DONGE EPHRAIM</t>
  </si>
  <si>
    <t>https://myiipea.com/media/etudiant/photo/WhatsApp_Image_2023-10-06_at_10.19.06.jpeg</t>
  </si>
  <si>
    <t>KOUE2005040001</t>
  </si>
  <si>
    <t>EVE ALDANA</t>
  </si>
  <si>
    <t>https://myiipea.com/media/etudiant/photo/WhatsApp_Image_2023-10-02_at_09.20.26.jpeg</t>
  </si>
  <si>
    <t>KOUG3103030001</t>
  </si>
  <si>
    <t>GEDEON</t>
  </si>
  <si>
    <t>https://myiipea.com/media/etudiant/photo/WhatsApp_Image_2023-09-22_at_12.36.08.jpeg</t>
  </si>
  <si>
    <t>KOUH0911040001</t>
  </si>
  <si>
    <t>HERMINE AHOURE EMMANUELLA</t>
  </si>
  <si>
    <t>https://myiipea.com/media/etudiant/photo/WhatsApp_Image_2023-10-03_at_09.15.10.jpeg</t>
  </si>
  <si>
    <t>KOUK2406040001</t>
  </si>
  <si>
    <t>KAN YANNICK VIANNEY</t>
  </si>
  <si>
    <t>https://myiipea.com/media/etudiant/photo/WhatsApp_Image_2023-10-18_at_11.20.33_AM.jpeg</t>
  </si>
  <si>
    <t>KOUK1711050001</t>
  </si>
  <si>
    <t>KASSI ADOLPHE JUNIOR</t>
  </si>
  <si>
    <t>https://myiipea.com/media/etudiant/photo/WhatsApp_Image_2023-09-28_at_09.52.21.jpeg</t>
  </si>
  <si>
    <t>KOUK0201040001</t>
  </si>
  <si>
    <t>KOFFI MARCELLIN</t>
  </si>
  <si>
    <t>https://myiipea.com/media/etudiant/photo/WhatsApp_Image_2023-11-06_at_6.09.27_PM.jpeg</t>
  </si>
  <si>
    <t>KOUK1409020001</t>
  </si>
  <si>
    <t>KOFFI PRINCE  ARMAND GERALD</t>
  </si>
  <si>
    <t>https://myiipea.com/media/etudiant/photo/WhatsApp_Image_2023-09-29_at_08.54.45.jpeg</t>
  </si>
  <si>
    <t>KOUK1809980001</t>
  </si>
  <si>
    <t>https://myiipea.com/media/etudiant/photo/WhatsApp_Image_2023-10-09_at_13.51.31.jpeg</t>
  </si>
  <si>
    <t>KOUK1410010001</t>
  </si>
  <si>
    <t>KONAN ELIE CHARLES</t>
  </si>
  <si>
    <t>https://myiipea.com/media/etudiant/photo/WhatsApp_Image_2023-11-21_at_12.14.51_1.jpeg</t>
  </si>
  <si>
    <t>KOUK0710010001</t>
  </si>
  <si>
    <t>KOUAKOU SIMEON</t>
  </si>
  <si>
    <t>https://myiipea.com/media/etudiant/photo/WhatsApp_Image_2023-10-05_at_15.42.15.jpeg</t>
  </si>
  <si>
    <t>KOUK1001030002</t>
  </si>
  <si>
    <t>KOUAME ABOU OUATTARA</t>
  </si>
  <si>
    <t>https://myiipea.com/media/etudiant/photo/WhatsApp_Image_2023-10-27_at_5.22.19_PM.jpeg</t>
  </si>
  <si>
    <t>KOUK1105030001</t>
  </si>
  <si>
    <t>KOUAME ANGE JATHNIEL</t>
  </si>
  <si>
    <t>https://myiipea.com/media/etudiant/photo/photo_ZSzoC9g.jpg</t>
  </si>
  <si>
    <t>KOUK1512020001</t>
  </si>
  <si>
    <t>https://myiipea.com/media/etudiant/photo/WhatsApp_Image_2023-11-06_at_13.19.50.jpeg</t>
  </si>
  <si>
    <t>KOUK2306030001</t>
  </si>
  <si>
    <t>KOUASSI EMMANUEL</t>
  </si>
  <si>
    <t>https://myiipea.com/media/etudiant/photo/WhatsApp_Image_2023-10-27_at_7.00.22_PM.jpeg</t>
  </si>
  <si>
    <t>KOUK1210050001</t>
  </si>
  <si>
    <t>KOUASSI JEREMIE</t>
  </si>
  <si>
    <t>https://myiipea.com/media/etudiant/photo/WhatsApp_Image_2023-11-09_at_4.05.25_PM.jpeg</t>
  </si>
  <si>
    <t>KOUK0404040001</t>
  </si>
  <si>
    <t>KOUSSO MARIE LOUISIANE DELMA</t>
  </si>
  <si>
    <t>https://myiipea.com/media/etudiant/photo/WhatsApp_Image_2023-10-03_at_11.14.56_AM_03xCwfs.jpeg</t>
  </si>
  <si>
    <t>KOUL2208040001</t>
  </si>
  <si>
    <t>LOBA YOHIN GRACE KELLY ORNELLA</t>
  </si>
  <si>
    <t>https://myiipea.com/media/etudiant/photo/WhatsApp_Image_2023-09-28_at_16.50.51.jpeg</t>
  </si>
  <si>
    <t>KOUM1101040001</t>
  </si>
  <si>
    <t>MOAYE FERNANDE BENEDICTE</t>
  </si>
  <si>
    <t>https://myiipea.com/media/etudiant/photo/WhatsApp_Image_2023-10-12_at_08.33.46.jpeg</t>
  </si>
  <si>
    <t>KOUM2507020001</t>
  </si>
  <si>
    <t>MOUAER SINGA JEMMIMA</t>
  </si>
  <si>
    <t>https://myiipea.com/media/etudiant/photo/WhatsApp_Image_2023-11-22_at_10.41.05_AM.jpeg</t>
  </si>
  <si>
    <t>KOUN2608960001</t>
  </si>
  <si>
    <t>N'GORAN NATACHA</t>
  </si>
  <si>
    <t>https://myiipea.com/media/etudiant/photo/WhatsApp_Image_2023-10-27_at_11.15.27.jpeg</t>
  </si>
  <si>
    <t>KOUN1901060001</t>
  </si>
  <si>
    <t>N'GUESSAN DEBORAH EMMANUELLE</t>
  </si>
  <si>
    <t>https://myiipea.com/media/etudiant/photo/WhatsApp_Image_2023-10-06_at_13.11.15.jpeg</t>
  </si>
  <si>
    <t>KOUN2912000001</t>
  </si>
  <si>
    <t>N'GUESSAN JEAN JACQUES</t>
  </si>
  <si>
    <t>CYBERSECURITE</t>
  </si>
  <si>
    <t>https://myiipea.com/media/etudiant/photo/WhatsApp_Image_2023-10-02_at_11.21.34.jpeg</t>
  </si>
  <si>
    <t>KOUN2604010001</t>
  </si>
  <si>
    <t>N'NAN AKISSI KARELL NOELIE</t>
  </si>
  <si>
    <t>https://myiipea.com/media/etudiant/photo/WhatsApp_Image_2023-10-11_at_11.22.22.jpeg</t>
  </si>
  <si>
    <t>KOUN2301050001</t>
  </si>
  <si>
    <t>NI TCHANHOULE GRACE JERUEDE ORNELA</t>
  </si>
  <si>
    <t>https://myiipea.com/media/etudiant/photo/WhatsApp_Image_2023-10-04_at_11.07.12.jpeg</t>
  </si>
  <si>
    <t>KOUO1504040001</t>
  </si>
  <si>
    <t>OI KOUADIO CHRIST-HABIB</t>
  </si>
  <si>
    <t>https://myiipea.com/media/etudiant/photo/WhatsApp_Image_2023-10-26_at_10.54.36.jpeg</t>
  </si>
  <si>
    <t>KOUO1012000001</t>
  </si>
  <si>
    <t>OURA AHOU URCILE</t>
  </si>
  <si>
    <t>https://myiipea.com/media/etudiant/photo/WhatsApp_Image_2023-10-09_at_11.12.32.jpeg</t>
  </si>
  <si>
    <t>KOUP2704030001</t>
  </si>
  <si>
    <t>PRISCILLE D'ASSWAT</t>
  </si>
  <si>
    <t>https://myiipea.com/media/etudiant/photo/WhatsApp_Image_2023-11-13_at_3.58.50_PM.jpeg</t>
  </si>
  <si>
    <t>KOUS1208040001</t>
  </si>
  <si>
    <t>SWRANYE ESTHER EMMANUELA</t>
  </si>
  <si>
    <t>https://myiipea.com/media/etudiant/photo/WhatsApp_Image_2023-10-25_at_12.39.07.jpeg</t>
  </si>
  <si>
    <t>KOUT0610050001</t>
  </si>
  <si>
    <t>TAKUA CHRIST MONDESIR</t>
  </si>
  <si>
    <t>https://myiipea.com/media/etudiant/photo/WhatsApp_Image_2023-10-12_at_10.10.19.jpeg</t>
  </si>
  <si>
    <t>KOUY2303020001</t>
  </si>
  <si>
    <t>YAH RHUT</t>
  </si>
  <si>
    <t>https://myiipea.com/media/etudiant/photo/WhatsApp_Image_2023-10-17_at_14.17.06.jpeg</t>
  </si>
  <si>
    <t>KOUY0907010002</t>
  </si>
  <si>
    <t>YAO JEAN TSEDECK</t>
  </si>
  <si>
    <t>https://myiipea.com/media/etudiant/photo/WhatsApp_Image_2023-10-09_at_18.27.29.jpeg</t>
  </si>
  <si>
    <t>KOUY1402030001</t>
  </si>
  <si>
    <t>YAO PRINCE ELIE</t>
  </si>
  <si>
    <t>https://myiipea.com/media/etudiant/photo/WhatsApp_Image_2023-10-31_at_16.50.35.jpeg</t>
  </si>
  <si>
    <t>KOUY0703000001</t>
  </si>
  <si>
    <t>YAO WILLIAMS</t>
  </si>
  <si>
    <t>https://myiipea.com/media/etudiant/photo/WhatsApp_Image_2023-11-07_at_11.44.24.jpeg</t>
  </si>
  <si>
    <t>KOUY1707010001</t>
  </si>
  <si>
    <t>YOBOUE ALLA LAURE  GENEVIEVE</t>
  </si>
  <si>
    <t>https://myiipea.com/media/etudiant/photo/WhatsApp_Image_2023-10-12_at_11.28.57.jpeg</t>
  </si>
  <si>
    <t>KOUY1505020002</t>
  </si>
  <si>
    <t>YOKPA TEDY KENNAN</t>
  </si>
  <si>
    <t>https://myiipea.com/media/etudiant/photo/WhatsApp_Image_2023-10-30_at_11.18.48.jpeg</t>
  </si>
  <si>
    <t>KOUY0904010001</t>
  </si>
  <si>
    <t>YVES STEPHANE WILFRIED KOUASSI</t>
  </si>
  <si>
    <t>https://myiipea.com/media/etudiant/photo/WhatsApp_Image_2023-11-16_at_17.13.32.jpeg</t>
  </si>
  <si>
    <t>KOUA2712010001</t>
  </si>
  <si>
    <t>KOUADOU</t>
  </si>
  <si>
    <t>AKOUA LYDIE FLORA</t>
  </si>
  <si>
    <t>https://myiipea.com/media/etudiant/photo/WhatsApp_Image_2023-10-03_at_08.48.42.jpeg</t>
  </si>
  <si>
    <t>KOUG2204060001</t>
  </si>
  <si>
    <t>KOUAGNI</t>
  </si>
  <si>
    <t>GUY SAMUEL</t>
  </si>
  <si>
    <t>https://myiipea.com/media/etudiant/photo/IIPEA_2RxeqNR.jpg</t>
  </si>
  <si>
    <t>KOUP1806050001</t>
  </si>
  <si>
    <t>KOUAGO</t>
  </si>
  <si>
    <t>PHOEBE CHRISTIANE MONDESIR</t>
  </si>
  <si>
    <t>https://myiipea.com/media/etudiant/photo/WhatsApp_Image_2023-09-29_at_12.34.27.jpeg</t>
  </si>
  <si>
    <t>KOUG1109040001</t>
  </si>
  <si>
    <t>KOUAHO</t>
  </si>
  <si>
    <t>GRACE PRISCILLE CARENE</t>
  </si>
  <si>
    <t>https://myiipea.com/media/etudiant/photo/WhatsApp_Image_2023-11-27_at_13.01.30.jpeg</t>
  </si>
  <si>
    <t>KOUA2506000001</t>
  </si>
  <si>
    <t>KOUAKOU</t>
  </si>
  <si>
    <t>ABANDE KOUAME DIDIER</t>
  </si>
  <si>
    <t>https://myiipea.com/media/etudiant/photo/WhatsApp_Image_2023-10-12_at_15.52.32.jpeg</t>
  </si>
  <si>
    <t>KOUA2011030001</t>
  </si>
  <si>
    <t>ABIGAELE ANGE SEPHORA</t>
  </si>
  <si>
    <t>https://myiipea.com/media/etudiant/photo/WhatsApp_Image_2023-10-16_at_15.01.38.jpeg</t>
  </si>
  <si>
    <t>KOUA0608040001</t>
  </si>
  <si>
    <t>ABRAN EMMANUELLA ARIANE</t>
  </si>
  <si>
    <t>https://myiipea.com/media/etudiant/photo/WhatsApp_Image_2023-10-13_at_19.06.42.jpeg</t>
  </si>
  <si>
    <t>KOUA1803980001</t>
  </si>
  <si>
    <t>ADJE FLEUR AXELLE ELISABETH</t>
  </si>
  <si>
    <t>https://myiipea.com/media/etudiant/photo/WhatsApp_Image_2023-10-19_at_18.52.09.jpeg</t>
  </si>
  <si>
    <t>KOUA2501990001</t>
  </si>
  <si>
    <t>ADJOUA AFFRA BERNADETTE</t>
  </si>
  <si>
    <t>https://myiipea.com/media/etudiant/photo/WhatsApp_Image_2023-10-23_at_10.54.53.jpeg</t>
  </si>
  <si>
    <t>KOUA0511020003</t>
  </si>
  <si>
    <t>ADJOUA GRACE LETICIA</t>
  </si>
  <si>
    <t>https://myiipea.com/media/etudiant/photo/WhatsApp_Image_2023-11-20_at_6.50.45_PM.jpeg</t>
  </si>
  <si>
    <t>KOUA2012030001</t>
  </si>
  <si>
    <t>AFFOUE ANASTHASIE</t>
  </si>
  <si>
    <t>https://myiipea.com/media/etudiant/photo/unnamed-2_GyhnqSD.png</t>
  </si>
  <si>
    <t>KOUA1706040001</t>
  </si>
  <si>
    <t>AHOU NANCY KELLY EMMANUELLA</t>
  </si>
  <si>
    <t>https://myiipea.com/media/etudiant/photo/WhatsApp_Image_2023-10-16_at_17.38.09.jpeg</t>
  </si>
  <si>
    <t>KOUA1912070001</t>
  </si>
  <si>
    <t>AHOU NELLY CAROLLE</t>
  </si>
  <si>
    <t>https://myiipea.com/media/etudiant/photo/WhatsApp_Image_2023-09-19_at_12.00.38.jpeg</t>
  </si>
  <si>
    <t>KOUA1209020001</t>
  </si>
  <si>
    <t>AHOU SOGONAN KARINE</t>
  </si>
  <si>
    <t>https://myiipea.com/media/etudiant/photo/WhatsApp_Image_2023-10-16_at_3.17.43_PM.jpeg</t>
  </si>
  <si>
    <t>KOUA2709040001</t>
  </si>
  <si>
    <t>AKISSI ANNA MARIETTE AMANY</t>
  </si>
  <si>
    <t>https://myiipea.com/media/etudiant/photo/WhatsApp_Image_2023-10-02_at_17.11.19.jpeg</t>
  </si>
  <si>
    <t>KOUA1212050001</t>
  </si>
  <si>
    <t>AKISSI BAH EUNICE</t>
  </si>
  <si>
    <t>https://myiipea.com/media/etudiant/photo/WhatsApp_Image_2023-10-05_at_12.14.35.jpeg</t>
  </si>
  <si>
    <t>KOUA2108010001</t>
  </si>
  <si>
    <t>AKISSI GENEVIEVE</t>
  </si>
  <si>
    <t>https://myiipea.com/media/etudiant/photo/WhatsApp_Image_2023-10-16_at_14.05.10.jpeg</t>
  </si>
  <si>
    <t>KOUA1407030001</t>
  </si>
  <si>
    <t>AKISSI NAOMIE</t>
  </si>
  <si>
    <t>https://myiipea.com/media/etudiant/photo/WhatsApp_Image_2023-10-05_at_17.28.31.jpeg</t>
  </si>
  <si>
    <t>KOUA2509040001</t>
  </si>
  <si>
    <t>AKPO FRANCK ALEX</t>
  </si>
  <si>
    <t>https://myiipea.com/media/etudiant/photo/t%C3%A9l%C3%A9charg%C3%A9_nvuad5T.jpeg</t>
  </si>
  <si>
    <t>KOUA1610030001</t>
  </si>
  <si>
    <t>AMENAN ANGE CHRISTELLA EDWIGE</t>
  </si>
  <si>
    <t>https://myiipea.com/media/etudiant/photo/WhatsApp_Image_2023-10-25_at_10.30.21.jpeg</t>
  </si>
  <si>
    <t>KOUA0708020001</t>
  </si>
  <si>
    <t>AMENAN ANNE MARIE</t>
  </si>
  <si>
    <t>https://myiipea.com/media/etudiant/photo/WhatsApp_Image_2023-11-27_at_3.56.14_PM.jpeg</t>
  </si>
  <si>
    <t>KOUA0803060001</t>
  </si>
  <si>
    <t>AMENAN DORCAS</t>
  </si>
  <si>
    <t>https://myiipea.com/media/etudiant/photo/WhatsApp_Image_2023-10-10_at_11.49.26_1.jpeg</t>
  </si>
  <si>
    <t>KOUA1401010001</t>
  </si>
  <si>
    <t>AMENAN LEOCADIE ELEONORE</t>
  </si>
  <si>
    <t>https://myiipea.com/media/etudiant/photo/WhatsApp_Image_2023-10-12_at_12.19.45.jpeg</t>
  </si>
  <si>
    <t>KOUA1312020001</t>
  </si>
  <si>
    <t>AMENAN MARIE NOELLE EDWIGE</t>
  </si>
  <si>
    <t>https://myiipea.com/media/etudiant/photo/WhatsApp_Image_2023-10-04_at_11.43.54.jpeg</t>
  </si>
  <si>
    <t>KOUA2009040002</t>
  </si>
  <si>
    <t>AMOIN DEBORA</t>
  </si>
  <si>
    <t>https://myiipea.com/media/etudiant/photo/WhatsApp_Image_2023-10-24_at_09.54.41.jpeg</t>
  </si>
  <si>
    <t>KOUA0101030003</t>
  </si>
  <si>
    <t>AMOIN EDOXIL</t>
  </si>
  <si>
    <t>https://myiipea.com/media/etudiant/photo/WhatsApp_Image_2023-11-14_at_15.04.32.jpeg</t>
  </si>
  <si>
    <t>KOUA1508040002</t>
  </si>
  <si>
    <t>AMOIN GRACE EMMANUELLA</t>
  </si>
  <si>
    <t>https://myiipea.com/media/etudiant/photo/WhatsApp_Image_2023-10-27_at_16.28.56.jpeg</t>
  </si>
  <si>
    <t>KOUA1506030001</t>
  </si>
  <si>
    <t>AMOIN NADIA-ESTHER</t>
  </si>
  <si>
    <t>https://myiipea.com/media/etudiant/photo/ee805a7a-bd0f-4cfc-a70e-cbab604ca96a_otTTEGJ.jpeg</t>
  </si>
  <si>
    <t>KOUA1702030001</t>
  </si>
  <si>
    <t>ATCHOUELOU ROMARIC</t>
  </si>
  <si>
    <t>https://myiipea.com/media/etudiant/photo/WhatsApp_Image_2023-10-12_at_12.42.39.jpeg</t>
  </si>
  <si>
    <t>KOUA3012030001</t>
  </si>
  <si>
    <t>AYA NINA</t>
  </si>
  <si>
    <t>https://myiipea.com/media/etudiant/photo/WhatsApp_Image_2023-10-30_at_17.06.23.jpeg</t>
  </si>
  <si>
    <t>KOUA1704030001</t>
  </si>
  <si>
    <t>AYA SANDRINE</t>
  </si>
  <si>
    <t>https://myiipea.com/media/etudiant/photo/WhatsApp_Image_2023-10-03_at_19_resized.png</t>
  </si>
  <si>
    <t>KOUA1002020001</t>
  </si>
  <si>
    <t>AYEKOU NOURYATE ANGE MURIELLE</t>
  </si>
  <si>
    <t>https://myiipea.com/media/etudiant/photo/WhatsApp_Image_2023-10-02_at_4.20.46_PM.jpeg</t>
  </si>
  <si>
    <t>KOUB0204010001</t>
  </si>
  <si>
    <t>BA BENIAN FRANCKLIN</t>
  </si>
  <si>
    <t>https://myiipea.com/media/etudiant/photo/WhatsApp_Image_2023-11-07_at_15.50.59.jpeg</t>
  </si>
  <si>
    <t>KOUB2004040001</t>
  </si>
  <si>
    <t>BEKANTY PRISCILLE SYNTYCHE</t>
  </si>
  <si>
    <t>https://myiipea.com/media/etudiant/photo/WhatsApp_Image_2023-10-30_at_16.53.42.jpeg</t>
  </si>
  <si>
    <t>KOUB2610020001</t>
  </si>
  <si>
    <t>BENIWA LOLO JEANNE CHRISTELLE</t>
  </si>
  <si>
    <t>https://myiipea.com/media/etudiant/photo/WhatsApp_Image_2023-10-09_at_6.22.16_PM.jpeg</t>
  </si>
  <si>
    <t>KOUB2010060001</t>
  </si>
  <si>
    <t>BLETCHI NIAMKEY ELA</t>
  </si>
  <si>
    <t>https://myiipea.com/media/etudiant/photo/WhatsApp_Image_2023-10-19_at_16.00.53.jpeg</t>
  </si>
  <si>
    <t>KOUC2805030001</t>
  </si>
  <si>
    <t>CYRIACK FRANCK EYMARD</t>
  </si>
  <si>
    <t>https://myiipea.com/media/etudiant/photo/WhatsApp_Image_2023-10-03_at_15.30.10.jpeg</t>
  </si>
  <si>
    <t>KOUE3105040001</t>
  </si>
  <si>
    <t>ELIE CURTIS KOUASSI</t>
  </si>
  <si>
    <t>https://myiipea.com/media/etudiant/photo/WhatsApp_Image_2023-10-02_at_10.16.46.jpeg</t>
  </si>
  <si>
    <t>KOUE2809060001</t>
  </si>
  <si>
    <t>EMIBLE THOM OTNIEL ANDRE</t>
  </si>
  <si>
    <t>https://myiipea.com/media/etudiant/photo/WhatsApp_Image_2023-10-03_at_13.04.18.jpeg</t>
  </si>
  <si>
    <t>KOUE1410010001</t>
  </si>
  <si>
    <t>EMMANUELLA AMOIN FRANCIALINE</t>
  </si>
  <si>
    <t>https://myiipea.com/media/etudiant/photo/WhatsApp_Image_2023-11-09_at_15.02.44.jpeg</t>
  </si>
  <si>
    <t>KOUE1505040001</t>
  </si>
  <si>
    <t>ERICKA SYLFREED YVANN</t>
  </si>
  <si>
    <t>https://myiipea.com/media/etudiant/photo/WhatsApp_Image_2023-10-13_at_14.55.27.jpeg</t>
  </si>
  <si>
    <t>KOUG2508010001</t>
  </si>
  <si>
    <t>GNOHICET MANICE</t>
  </si>
  <si>
    <t>https://myiipea.com/media/etudiant/photo/WhatsApp_Image_2023-10-10_at_10.51.06.jpeg</t>
  </si>
  <si>
    <t>KOUJ0407020001</t>
  </si>
  <si>
    <t>JEAN CHARLES REGIS</t>
  </si>
  <si>
    <t>https://myiipea.com/media/etudiant/photo/WhatsApp_Image_2023-10-16_at_18.16.27.jpeg</t>
  </si>
  <si>
    <t>KOUK0101030001</t>
  </si>
  <si>
    <t>KOFFI BORIS</t>
  </si>
  <si>
    <t>https://myiipea.com/media/etudiant/photo/KOUAKOU_KOFFI_resized.png</t>
  </si>
  <si>
    <t>KOUK0401000001</t>
  </si>
  <si>
    <t>KOFFI EVRARD</t>
  </si>
  <si>
    <t>https://myiipea.com/media/etudiant/photo/WhatsApp_Image_2023-10-25_at_4.43.03_PM.jpeg</t>
  </si>
  <si>
    <t>KOUK2611030001</t>
  </si>
  <si>
    <t>KOFFI MICHEL EMMANUEL RAYMOND</t>
  </si>
  <si>
    <t>https://myiipea.com/media/etudiant/photo/WhatsApp_Image_2023-11-30_at_5.02.54_PM.jpeg</t>
  </si>
  <si>
    <t>KOUK2710050001</t>
  </si>
  <si>
    <t>KOFFRAY RHEMA ELIA EUNICE</t>
  </si>
  <si>
    <t>https://myiipea.com/media/etudiant/photo/WhatsApp_Image_2023-10-20_at_4.16.54_PM.jpeg</t>
  </si>
  <si>
    <t>KOUK2606020001</t>
  </si>
  <si>
    <t>KONAN SAMUEL</t>
  </si>
  <si>
    <t>https://myiipea.com/media/etudiant/photo/WhatsApp_Image_2023-10-03_at_5.37.21_PM.jpeg</t>
  </si>
  <si>
    <t>KOUK0407050002</t>
  </si>
  <si>
    <t>KOUABENAN DOUKOUM CHRIST PASCAL</t>
  </si>
  <si>
    <t>https://myiipea.com/media/etudiant/photo/WhatsApp_Image_2023-10-03_at_10.39.06_cNHUmFV.jpeg</t>
  </si>
  <si>
    <t>KOUK2012040002</t>
  </si>
  <si>
    <t>KOUADIO EMMANUEL MARDOCHER</t>
  </si>
  <si>
    <t>https://myiipea.com/media/etudiant/photo/unnamed-2_K8ZHoTW.png</t>
  </si>
  <si>
    <t>KOUK1511010001</t>
  </si>
  <si>
    <t>KOUADIO JUNIOR</t>
  </si>
  <si>
    <t>https://myiipea.com/media/etudiant/photo/WhatsApp_Image_2023-10-05_at_11.26.01.jpeg</t>
  </si>
  <si>
    <t>KOUK1908030001</t>
  </si>
  <si>
    <t>KOUADIO YANN FRANCKLIN</t>
  </si>
  <si>
    <t>https://myiipea.com/media/etudiant/photo/WhatsApp_Image_2023-09-18_at_14.57.47.jpeg</t>
  </si>
  <si>
    <t>KOUK2109050001</t>
  </si>
  <si>
    <t>KOUAKOU ANGE ROMARIC</t>
  </si>
  <si>
    <t>https://myiipea.com/media/etudiant/photo/WhatsApp_Image_2023-10-11_at_2.54.09_PM.jpeg</t>
  </si>
  <si>
    <t>KOUK1312040001</t>
  </si>
  <si>
    <t>KOUAKOU FERDINAND</t>
  </si>
  <si>
    <t>https://myiipea.com/media/etudiant/photo/WhatsApp_Image_2023-11-20_at_10.49.58.jpeg</t>
  </si>
  <si>
    <t>KOUK2612000001</t>
  </si>
  <si>
    <t>KOUASSI BERNARD</t>
  </si>
  <si>
    <t>https://myiipea.com/media/etudiant/photo/WhatsApp_Image_2023-11-09_at_09.50.48.jpeg</t>
  </si>
  <si>
    <t>KOUL1901040001</t>
  </si>
  <si>
    <t>LANDRY ELVIS MONDESIR</t>
  </si>
  <si>
    <t>https://myiipea.com/media/etudiant/photo/WhatsApp_Image_2023-10-13_at_16.49.10.jpeg</t>
  </si>
  <si>
    <t>KOUL3103070001</t>
  </si>
  <si>
    <t>LUY-ENRY IVAN MEURPHY</t>
  </si>
  <si>
    <t>https://myiipea.com/media/etudiant/photo/WhatsApp_Image_2023-10-11_at_6.42.51_PM.jpeg</t>
  </si>
  <si>
    <t>KOUM1004040001</t>
  </si>
  <si>
    <t>MAGALY STERENN</t>
  </si>
  <si>
    <t>https://myiipea.com/media/etudiant/photo/WhatsApp_Image_2023-10-05_at_12.40.49.jpeg</t>
  </si>
  <si>
    <t>KOUM1006060001</t>
  </si>
  <si>
    <t>MAGNE CHRISTELLE</t>
  </si>
  <si>
    <t>https://myiipea.com/media/etudiant/photo/WhatsApp_Image_2023-09-29_at_10.13.21.jpeg</t>
  </si>
  <si>
    <t>KOUM1910030001</t>
  </si>
  <si>
    <t>MELIKA ORIANE</t>
  </si>
  <si>
    <t>https://myiipea.com/media/etudiant/photo/WhatsApp_Image_2023-10-03_at_11.14.56_AM_E2Cny6h.jpeg</t>
  </si>
  <si>
    <t>KOUM2507050001</t>
  </si>
  <si>
    <t>MOAYE BRICE-EMMANUEL JORDAN-RUBIS</t>
  </si>
  <si>
    <t>https://myiipea.com/media/etudiant/photo/WhatsApp_Image_2023-10-05_at_18.36.13.jpeg</t>
  </si>
  <si>
    <t>KOUM0905030001</t>
  </si>
  <si>
    <t>MOIHIE ARNAUD BELOGNE</t>
  </si>
  <si>
    <t>https://myiipea.com/media/etudiant/photo/WhatsApp_Image_2023-10-11_at_11_resized.png</t>
  </si>
  <si>
    <t>KOUM0611020001</t>
  </si>
  <si>
    <t>MOLAN MARIE VICTOIRE</t>
  </si>
  <si>
    <t>https://myiipea.com/media/etudiant/photo/WhatsApp_Image_2023-09-28_at_12.28.48_1.jpeg</t>
  </si>
  <si>
    <t>KOUN0111030001</t>
  </si>
  <si>
    <t>N'DA ELIE YOWELL</t>
  </si>
  <si>
    <t>https://myiipea.com/media/etudiant/photo/WhatsApp_Image_2023-10-26_at_16.09.02.jpeg</t>
  </si>
  <si>
    <t>KOUN1108030001</t>
  </si>
  <si>
    <t>N'DA KOUADIO SIMON</t>
  </si>
  <si>
    <t>https://myiipea.com/media/etudiant/photo/WhatsApp_Image_2023-10-02_at_14.23.55.jpeg</t>
  </si>
  <si>
    <t>KOUN2009000001</t>
  </si>
  <si>
    <t>N'GUESSAN  VIRGINIE</t>
  </si>
  <si>
    <t>https://myiipea.com/media/etudiant/photo/WhatsApp_Image_2023-10-13_at_10.55.02.jpeg</t>
  </si>
  <si>
    <t>KOUN2907010001</t>
  </si>
  <si>
    <t>NIAMIEN EUGENE ANGBALAU JUNIOR</t>
  </si>
  <si>
    <t>https://myiipea.com/media/etudiant/photo/WhatsApp_Image_2023-10-12_at_2.53.07_PM.jpeg</t>
  </si>
  <si>
    <t>KOUP2703040001</t>
  </si>
  <si>
    <t>POKOU ARISTIDE</t>
  </si>
  <si>
    <t>https://myiipea.com/media/etudiant/photo/WhatsApp_Image_2023-10-02_at_5_resized.png</t>
  </si>
  <si>
    <t>KOUR1610030001</t>
  </si>
  <si>
    <t>RASSOU AKISSI RICHMONDE</t>
  </si>
  <si>
    <t>https://myiipea.com/media/etudiant/photo/WhatsApp_Image_2023-10-06_at_15.38.07.jpeg</t>
  </si>
  <si>
    <t>KOUR1007050001</t>
  </si>
  <si>
    <t>REINE COLOMBE MOHDRY</t>
  </si>
  <si>
    <t>https://myiipea.com/media/etudiant/photo/WhatsApp_Image_2023-09-26_%C3%A0_12.35.13.jpg</t>
  </si>
  <si>
    <t>KOUS1306040001</t>
  </si>
  <si>
    <t>SRAN CHRYS RANDY</t>
  </si>
  <si>
    <t>https://myiipea.com/media/etudiant/photo/WhatsApp_Image_2023-10-02_at_18_resized_Rk2cK1D.png</t>
  </si>
  <si>
    <t>KOUS1602050001</t>
  </si>
  <si>
    <t>STEPHANE FRANCOIS NIELBEKAN</t>
  </si>
  <si>
    <t>https://myiipea.com/media/etudiant/photo/WhatsApp_Image_2023-11-28_at_13.24.08.jpeg</t>
  </si>
  <si>
    <t>KOUY2109010001</t>
  </si>
  <si>
    <t>YAO CHARLES DELORS</t>
  </si>
  <si>
    <t>https://myiipea.com/media/etudiant/photo/WhatsApp_Image_2023-10-12_at_08.46.32.jpeg</t>
  </si>
  <si>
    <t>KOUK0504030001</t>
  </si>
  <si>
    <t>KOUALE</t>
  </si>
  <si>
    <t>KOFFI MARC ANGE LEMONNIER</t>
  </si>
  <si>
    <t>https://myiipea.com/media/etudiant/photo/WhatsApp_Image_2023-09-15_at_10.52.08.jpeg</t>
  </si>
  <si>
    <t>KOUA2505040001</t>
  </si>
  <si>
    <t>KOUAME</t>
  </si>
  <si>
    <t>ADJO BERENICE ANNAELLE</t>
  </si>
  <si>
    <t>https://myiipea.com/media/etudiant/photo/WhatsApp_Image_2023-10-02_at_08.25.16.jpeg</t>
  </si>
  <si>
    <t>KOUA0706050001</t>
  </si>
  <si>
    <t>AFFELI ADJOUA EMILIE</t>
  </si>
  <si>
    <t>https://myiipea.com/media/etudiant/photo/WhatsApp_Image_2023-10-18_at_12.09.24.jpeg</t>
  </si>
  <si>
    <t>KOUA1502020001</t>
  </si>
  <si>
    <t>AFFIA NAOMIE CECILE</t>
  </si>
  <si>
    <t>https://myiipea.com/media/etudiant/photo/WhatsApp_Image_2023-10-02_at_14.12.51.jpeg</t>
  </si>
  <si>
    <t>KOUA2505020001</t>
  </si>
  <si>
    <t>AFFOUE ESTELLE</t>
  </si>
  <si>
    <t>https://myiipea.com/media/etudiant/photo/WhatsApp_Image_2023-09-19_at_11.49.00.jpeg</t>
  </si>
  <si>
    <t>KOUA1009050001</t>
  </si>
  <si>
    <t>AFFOUE EUNICE</t>
  </si>
  <si>
    <t>https://myiipea.com/media/etudiant/photo/WhatsApp_Image_2023-10-02_at_10.41.01.jpeg</t>
  </si>
  <si>
    <t>KOUA1611990001</t>
  </si>
  <si>
    <t>AFFOUE MANUELA YASMINE</t>
  </si>
  <si>
    <t>https://myiipea.com/media/etudiant/photo/WhatsApp_Image_2023-11-13_at_2.48.51_PM.jpeg</t>
  </si>
  <si>
    <t>KOUA1709010002</t>
  </si>
  <si>
    <t>AFOUBENOU N'SIATCHIN ISRAEL ARTHUR</t>
  </si>
  <si>
    <t>https://myiipea.com/media/etudiant/photo/WhatsApp_Image_2023-10-11_at_09.08.15.jpeg</t>
  </si>
  <si>
    <t>KOUA0107050001</t>
  </si>
  <si>
    <t>AHEKPA MARIE ANNE TRYPHENE</t>
  </si>
  <si>
    <t>https://myiipea.com/media/etudiant/photo/AHEKPA.jpg</t>
  </si>
  <si>
    <t>KOUA2807050001</t>
  </si>
  <si>
    <t>AHOU EMMANUELLA</t>
  </si>
  <si>
    <t>https://myiipea.com/media/etudiant/photo/WhatsApp_Image_2023-10-23_at_12.52.36.jpeg</t>
  </si>
  <si>
    <t>KOUA2410040002</t>
  </si>
  <si>
    <t>AHOU LOUISE</t>
  </si>
  <si>
    <t>https://myiipea.com/media/etudiant/photo/WhatsApp_Image_2023-11-03_at_16.30.06.jpeg</t>
  </si>
  <si>
    <t>KOUA0106060001</t>
  </si>
  <si>
    <t>AHOU MARINA GRACE EMMANUELLA</t>
  </si>
  <si>
    <t>https://myiipea.com/media/etudiant/photo/WhatsApp_Image_2023-10-02_at_18.40.35.jpeg</t>
  </si>
  <si>
    <t>KOUA0803040001</t>
  </si>
  <si>
    <t>AKISSI LARISSA MARIE-PAULE JEANINE</t>
  </si>
  <si>
    <t>https://myiipea.com/media/etudiant/photo/WhatsApp_Image_2023-10-13_at_19_resized.png</t>
  </si>
  <si>
    <t>KOUA1309040001</t>
  </si>
  <si>
    <t>AKISSI ZITA AIMEE</t>
  </si>
  <si>
    <t>https://myiipea.com/media/etudiant/photo/WhatsApp_Image_2023-10-06_at_12_resized.png</t>
  </si>
  <si>
    <t>KOUA0506050001</t>
  </si>
  <si>
    <t>ALEX JEREMIE</t>
  </si>
  <si>
    <t>https://myiipea.com/media/etudiant/photo/WhatsApp_Image_2023-10-13_at_17.19.28.jpeg</t>
  </si>
  <si>
    <t>KOUA1708020001</t>
  </si>
  <si>
    <t>ALLOKO SAMUEL ESAIE</t>
  </si>
  <si>
    <t>https://myiipea.com/media/etudiant/photo/WhatsApp_Image_2023-10-03_at_10.01.53.jpeg</t>
  </si>
  <si>
    <t>KOUA2107010001</t>
  </si>
  <si>
    <t>AMA MIREILLE</t>
  </si>
  <si>
    <t>https://myiipea.com/media/etudiant/photo/WhatsApp_Image_2023-09-25_at_09.56.57.jpeg</t>
  </si>
  <si>
    <t>KOUA0406050001</t>
  </si>
  <si>
    <t>AMAN CLOTILDE</t>
  </si>
  <si>
    <t>https://myiipea.com/media/etudiant/photo/WhatsApp_Image_2023-10-09_at_16.58.44.jpeg</t>
  </si>
  <si>
    <t>KOUA3009010001</t>
  </si>
  <si>
    <t>AMANI ANGE HOLLY MICHAEL</t>
  </si>
  <si>
    <t>https://myiipea.com/media/etudiant/photo/WhatsApp_Image_2023-09-25_at_14.57.57.jpeg</t>
  </si>
  <si>
    <t>KOUA1109040001</t>
  </si>
  <si>
    <t>AMANI HOLLY RAPHAEL ANGE</t>
  </si>
  <si>
    <t>https://myiipea.com/media/etudiant/photo/WhatsApp_Image_2023-09-28_at_16.12.19.jpeg</t>
  </si>
  <si>
    <t>KOUA0210020001</t>
  </si>
  <si>
    <t>AMENAN EDITH CHARNELLE</t>
  </si>
  <si>
    <t>https://myiipea.com/media/etudiant/photo/WhatsApp_Image_2023-10-16_at_12.57.15.jpeg</t>
  </si>
  <si>
    <t>KOUA1812020001</t>
  </si>
  <si>
    <t>AMENAN RUTH MONDESIR</t>
  </si>
  <si>
    <t>https://myiipea.com/media/etudiant/photo/WhatsApp_Image_2023-11-07_at_11.44.51.jpeg</t>
  </si>
  <si>
    <t>KOUA0301990001</t>
  </si>
  <si>
    <t>AMOIN NATALIA</t>
  </si>
  <si>
    <t>https://myiipea.com/media/etudiant/photo/WhatsApp_Image_2023-10-30_at_17.20.30.jpeg</t>
  </si>
  <si>
    <t>KOUA2612980001</t>
  </si>
  <si>
    <t>AMOIN ODILE</t>
  </si>
  <si>
    <t>https://myiipea.com/media/etudiant/photo/WhatsApp_Image_2023-11-07_at_12.17.39.jpeg</t>
  </si>
  <si>
    <t>KOUA0101000001</t>
  </si>
  <si>
    <t>ANGE LAETICIA</t>
  </si>
  <si>
    <t>https://myiipea.com/media/etudiant/photo/WhatsApp_Image_2023-10-06_at_13.11.40.jpeg</t>
  </si>
  <si>
    <t>KOUA1106030001</t>
  </si>
  <si>
    <t>ANGE WILLIAMS</t>
  </si>
  <si>
    <t>https://myiipea.com/media/etudiant/photo/WhatsApp_Image_2023-11-09_at_15.05.25.jpeg</t>
  </si>
  <si>
    <t>KOUA1510990001</t>
  </si>
  <si>
    <t>ARNOLD EMMANUEL</t>
  </si>
  <si>
    <t>https://myiipea.com/media/etudiant/photo/WhatsApp_Image_2023-09-22_at_15.17.59.jpeg</t>
  </si>
  <si>
    <t>KOUA1106990001</t>
  </si>
  <si>
    <t>ATTA KRA LOPEZ</t>
  </si>
  <si>
    <t>https://myiipea.com/media/etudiant/photo/WhatsApp_Image_2023-11-07_at_12.22.43_PM.jpeg</t>
  </si>
  <si>
    <t>KOUA2108990001</t>
  </si>
  <si>
    <t>AXELLE AFFOUET OLIVIA</t>
  </si>
  <si>
    <t>https://myiipea.com/media/etudiant/photo/WhatsApp_Image_2023-10-04_at_16.56.55.jpeg</t>
  </si>
  <si>
    <t>KOUA1612030001</t>
  </si>
  <si>
    <t>AXELLE MELISSA DAVILA</t>
  </si>
  <si>
    <t>https://myiipea.com/media/etudiant/photo/WhatsApp_Image_2023-11-06_at_14.39.26.jpeg</t>
  </si>
  <si>
    <t>KOUA1010030002</t>
  </si>
  <si>
    <t>AYA MARLENE</t>
  </si>
  <si>
    <t>https://myiipea.com/media/etudiant/photo/WhatsApp_Image_2023-10-28_at_13.18.47_1.jpeg</t>
  </si>
  <si>
    <t>KOUC3010040001</t>
  </si>
  <si>
    <t>CORCHER GRACE EMMANUELLE</t>
  </si>
  <si>
    <t>https://myiipea.com/media/etudiant/photo/WhatsApp_Image_2023-11-20_at_2.14.42_PM.jpeg</t>
  </si>
  <si>
    <t>KOUD2604020001</t>
  </si>
  <si>
    <t>DJILIKPO MARIE-JOELLE</t>
  </si>
  <si>
    <t>https://myiipea.com/media/etudiant/photo/WhatsApp_Image_2023-10-27_at_12.17.15.jpeg</t>
  </si>
  <si>
    <t>KOUE2704030001</t>
  </si>
  <si>
    <t>ETIEN HENOCK MARLCEL</t>
  </si>
  <si>
    <t>RESEAU INFORMATIQUE ET TELECOMMUNICATION</t>
  </si>
  <si>
    <t>https://myiipea.com/media/etudiant/photo/WhatsApp_Image_2023-10-25_at_10.45.05.jpeg</t>
  </si>
  <si>
    <t>KOUE2407030001</t>
  </si>
  <si>
    <t>ETTIEN ANGE ESTHER</t>
  </si>
  <si>
    <t>https://myiipea.com/media/etudiant/photo/WhatsApp_Image_2023-10-04_at_14.47.59.jpeg</t>
  </si>
  <si>
    <t>KOUG2603020001</t>
  </si>
  <si>
    <t>GASSAUD GNAHORE DANIELLE ERNESTINE</t>
  </si>
  <si>
    <t>https://myiipea.com/media/etudiant/photo/WhatsApp_Image_2023-10-13_at_20.14.39.jpeg</t>
  </si>
  <si>
    <t>KOUG2206050002</t>
  </si>
  <si>
    <t>https://myiipea.com/media/etudiant/photo/WhatsApp_Image_2023-11-20_at_3.35.43_PM_1.jpeg</t>
  </si>
  <si>
    <t>KOUJ1004000001</t>
  </si>
  <si>
    <t>JACQUES SAHOURE LAZARE</t>
  </si>
  <si>
    <t>https://myiipea.com/media/etudiant/photo/WhatsApp_Image_2023-10-04_at_14.54.35.jpeg</t>
  </si>
  <si>
    <t>KOUJ0306050001</t>
  </si>
  <si>
    <t>JEAN-CHRIST</t>
  </si>
  <si>
    <t>https://myiipea.com/media/etudiant/photo/WhatsApp_Image_2023-10-02_at_14.39.59.jpeg</t>
  </si>
  <si>
    <t>KOUK0508050001</t>
  </si>
  <si>
    <t>KOFFI SAINT OLIVE PRIVA</t>
  </si>
  <si>
    <t>https://myiipea.com/media/etudiant/photo/WhatsApp_Image_2023-09-29_at_10.23.46.jpeg</t>
  </si>
  <si>
    <t>KOUK2612010001</t>
  </si>
  <si>
    <t>KOMENAN DIT ALPHA-YAYA</t>
  </si>
  <si>
    <t>https://myiipea.com/media/etudiant/photo/DIT.jpg</t>
  </si>
  <si>
    <t>KOUK1007990001</t>
  </si>
  <si>
    <t>KOMENAN PAUL</t>
  </si>
  <si>
    <t>https://myiipea.com/media/etudiant/photo/WhatsApp_Image_2023-10-31_at_10.04.58.jpeg</t>
  </si>
  <si>
    <t>KOUK0405030001</t>
  </si>
  <si>
    <t>KONAN WILFRIED</t>
  </si>
  <si>
    <t>https://myiipea.com/media/etudiant/photo/WhatsApp_Image_2023-10-03_at_08.43.32.jpeg</t>
  </si>
  <si>
    <t>KOUK0511020001</t>
  </si>
  <si>
    <t>KOUA ANGE DANIELLE</t>
  </si>
  <si>
    <t>https://myiipea.com/media/etudiant/photo/WhatsApp_Image_2023-10-25_at_09.03.01.jpeg</t>
  </si>
  <si>
    <t>KOUK2005030001</t>
  </si>
  <si>
    <t>KOUABENAN SILVERE</t>
  </si>
  <si>
    <t>https://myiipea.com/media/etudiant/photo/WhatsApp_Image_2023-10-24_at_12.53.10.jpeg</t>
  </si>
  <si>
    <t>KOUK2507060001</t>
  </si>
  <si>
    <t>KOUADIO IBRAHIM TIDIANE</t>
  </si>
  <si>
    <t>https://myiipea.com/media/etudiant/photo/WhatsApp_Image_2023-09-26_%C3%A0_14.06.24.jpg</t>
  </si>
  <si>
    <t>KOUK3007980001</t>
  </si>
  <si>
    <t>KOUASSI ANGE DAVID</t>
  </si>
  <si>
    <t>https://myiipea.com/media/etudiant/photo/WhatsApp_Image_2023-10-16_at_12.38.41.jpeg</t>
  </si>
  <si>
    <t>KOUK2905050001</t>
  </si>
  <si>
    <t>KOUASSI JEAN JACQUES</t>
  </si>
  <si>
    <t>https://myiipea.com/media/etudiant/photo/WhatsApp_Image_2023-10-31_at_10.11.30.jpeg</t>
  </si>
  <si>
    <t>KOUK1305060001</t>
  </si>
  <si>
    <t>KRA EZEKIEL</t>
  </si>
  <si>
    <t>https://myiipea.com/media/etudiant/photo/WhatsApp_Image_2023-10-03_at_15_resized.png</t>
  </si>
  <si>
    <t>KOUL1512010001</t>
  </si>
  <si>
    <t>LAYER ANGE MARIE LAURAINE</t>
  </si>
  <si>
    <t>https://myiipea.com/media/etudiant/photo/WhatsApp_Image_2023-10-25_at_12.39.50.jpeg</t>
  </si>
  <si>
    <t>KOUM1207040001</t>
  </si>
  <si>
    <t>MARC OLIVIER FORLANE ARIEL</t>
  </si>
  <si>
    <t>https://myiipea.com/media/etudiant/photo/WhatsApp_Image_2023-10-03_at_11.14.56_AM_Yoj0tJu.jpeg</t>
  </si>
  <si>
    <t>KOUM0107010001</t>
  </si>
  <si>
    <t>MARIE MADELEINE PRINCIA</t>
  </si>
  <si>
    <t>https://myiipea.com/media/etudiant/photo/WhatsApp_Image_2023-10-06_at_09.28.31.jpeg</t>
  </si>
  <si>
    <t>KOUM2006040001</t>
  </si>
  <si>
    <t>MIENKAN EFASSOU ISAI</t>
  </si>
  <si>
    <t>https://myiipea.com/media/etudiant/photo/WhatsApp_Image_2023-09-18_at_14.38.12.jpeg</t>
  </si>
  <si>
    <t>KOUM2604040001</t>
  </si>
  <si>
    <t>MORO LAYERO MARIE ORLANE</t>
  </si>
  <si>
    <t>https://myiipea.com/media/etudiant/photo/WhatsApp_Image_2023-10-18_at_12.46.48.jpeg</t>
  </si>
  <si>
    <t>KOUN0807980001</t>
  </si>
  <si>
    <t>N'DRI YVETTE</t>
  </si>
  <si>
    <t>https://myiipea.com/media/etudiant/photo/WhatsApp_Image_2023-10-19_at_15.43.45.jpeg</t>
  </si>
  <si>
    <t>KOUN0402040001</t>
  </si>
  <si>
    <t>N'DROY SERGE NOAH</t>
  </si>
  <si>
    <t>https://myiipea.com/media/etudiant/photo/WhatsApp_Image_2023-10-04_at_13.36.51.jpeg</t>
  </si>
  <si>
    <t>KOUN2109980001</t>
  </si>
  <si>
    <t>N'GORAN PHILOMENE</t>
  </si>
  <si>
    <t>https://myiipea.com/media/etudiant/photo/WhatsApp_Image_2023-12-01_at_1_resized_QzPVaGW.png</t>
  </si>
  <si>
    <t>KOUN2803030001</t>
  </si>
  <si>
    <t>NOURA ANNE CARMELLE</t>
  </si>
  <si>
    <t>https://myiipea.com/media/etudiant/photo/WhatsApp_Image_2023-10-04_at_13.48.01.jpeg</t>
  </si>
  <si>
    <t>KOUO2107040001</t>
  </si>
  <si>
    <t>OCEANE MARIE MADELEINE</t>
  </si>
  <si>
    <t>https://myiipea.com/media/etudiant/photo/WhatsApp_Image_2023-09-28_at_09.25.31.jpeg</t>
  </si>
  <si>
    <t>KOUO0708020001</t>
  </si>
  <si>
    <t>OLIVIA EDMONDE</t>
  </si>
  <si>
    <t>https://myiipea.com/media/etudiant/photo/WhatsApp_Image_2023-09-20_at_11.22.57.jpeg</t>
  </si>
  <si>
    <t>KOUP2608020001</t>
  </si>
  <si>
    <t>PAULE STEPHANIE</t>
  </si>
  <si>
    <t>https://myiipea.com/media/etudiant/photo/WhatsApp_Image_2023-10-07_at_12.34.08.jpeg</t>
  </si>
  <si>
    <t>KOUR0106010001</t>
  </si>
  <si>
    <t>ROSE ELIANE AKOUMAN</t>
  </si>
  <si>
    <t>https://myiipea.com/media/etudiant/photo/WhatsApp_Image_2023-11-17_at_15.12.37.jpeg</t>
  </si>
  <si>
    <t>KOUS0312000001</t>
  </si>
  <si>
    <t>SOUMIEN AMOIN ELIEL</t>
  </si>
  <si>
    <t>https://myiipea.com/media/etudiant/photo/WhatsApp_Image_2023-11-21_at_15.51.37.jpeg</t>
  </si>
  <si>
    <t>KOUT0606040002</t>
  </si>
  <si>
    <t>TAMIA GRACE EMMANUELLA</t>
  </si>
  <si>
    <t>https://myiipea.com/media/etudiant/photo/WhatsApp_Image_2023-10-03_at_10.38.20_KlMWC4O.jpeg</t>
  </si>
  <si>
    <t>KOUT0404040001</t>
  </si>
  <si>
    <t>TANOH GUY CEDRIC ULRICH</t>
  </si>
  <si>
    <t>https://myiipea.com/media/etudiant/photo/IIPEA_SSbFnGU.jpg</t>
  </si>
  <si>
    <t>KOUY2301050001</t>
  </si>
  <si>
    <t>YAH RUTH YASMINE ANGE</t>
  </si>
  <si>
    <t>https://myiipea.com/media/etudiant/photo/WhatsApp_Image_2023-10-06_at_10_resized_1VDH54m.png</t>
  </si>
  <si>
    <t>KOUY1010040001</t>
  </si>
  <si>
    <t>YAO ALAIN MARIUS</t>
  </si>
  <si>
    <t>https://myiipea.com/media/etudiant/photo/WhatsApp_Image_2023-10-03_at_09.24.13.jpeg</t>
  </si>
  <si>
    <t>KOUY2612030001</t>
  </si>
  <si>
    <t>YAO GEOFROID PRESTONE</t>
  </si>
  <si>
    <t>https://myiipea.com/media/etudiant/photo/WhatsApp_Image_2023-10-13_at_10.27.42.jpeg</t>
  </si>
  <si>
    <t>KOUY1007000001</t>
  </si>
  <si>
    <t>YAO MARIUS</t>
  </si>
  <si>
    <t>https://myiipea.com/media/etudiant/photo/WhatsApp_Image_2023-10-16_at_12.58.04.jpeg</t>
  </si>
  <si>
    <t>KOUY2405010001</t>
  </si>
  <si>
    <t>YAO MOISE</t>
  </si>
  <si>
    <t>https://myiipea.com/media/etudiant/photo/WhatsApp_Image_2023-10-11_at_18.51.58.jpeg</t>
  </si>
  <si>
    <t>KOUY2208040002</t>
  </si>
  <si>
    <t>YVANE ORLANE CEDRIC</t>
  </si>
  <si>
    <t>https://myiipea.com/media/etudiant/photo/WhatsApp_Image_2023-11-10_at_5.29.58_PM_9TkN17d.jpeg</t>
  </si>
  <si>
    <t>KOUW0110030001</t>
  </si>
  <si>
    <t>KOUAMELAN</t>
  </si>
  <si>
    <t>WOUSSO GRACE AURELIE</t>
  </si>
  <si>
    <t>https://myiipea.com/media/etudiant/photo/WhatsApp_Image_2023-10-12_at_17.24.42.jpeg</t>
  </si>
  <si>
    <t>KOUZ1209030001</t>
  </si>
  <si>
    <t>KOUAN</t>
  </si>
  <si>
    <t>ZAOSSE MONNEMON ANGE AXEL</t>
  </si>
  <si>
    <t>https://myiipea.com/media/etudiant/photo/WhatsApp_Image_2023-09-25_at_08.50.39.jpeg</t>
  </si>
  <si>
    <t>KOUE0309050001</t>
  </si>
  <si>
    <t>KOUAO</t>
  </si>
  <si>
    <t>EDI ANDERSON</t>
  </si>
  <si>
    <t>https://myiipea.com/media/etudiant/photo/WhatsApp_Image_2023-11-14_at_09.49.35.jpeg</t>
  </si>
  <si>
    <t>KOUE3006060001</t>
  </si>
  <si>
    <t>ELOHIM PRISCILLA</t>
  </si>
  <si>
    <t>https://myiipea.com/media/etudiant/photo/WhatsApp_Image_2023-10-18_at_10.15.45.jpeg</t>
  </si>
  <si>
    <t>KOUK2310020002</t>
  </si>
  <si>
    <t>KOUAKOU ADE FRANCK ARMEL</t>
  </si>
  <si>
    <t>https://myiipea.com/media/etudiant/photo/WhatsApp_Image_2023-11-20_at_14.38.57.jpeg</t>
  </si>
  <si>
    <t>KOUY0906030001</t>
  </si>
  <si>
    <t>YOBOUA DIANE WOLDEMAR DE KEK</t>
  </si>
  <si>
    <t>https://myiipea.com/media/etudiant/photo/WhatsApp_Image_2023-10-02_at_19.08.10.jpeg</t>
  </si>
  <si>
    <t>KOUA2008020002</t>
  </si>
  <si>
    <t>KOUASSI</t>
  </si>
  <si>
    <t>ABOH RUTH JENNIFER</t>
  </si>
  <si>
    <t>https://myiipea.com/media/etudiant/photo/WhatsApp_Image_2023-11-21_at_1_resized.png</t>
  </si>
  <si>
    <t>KOUA0409010001</t>
  </si>
  <si>
    <t>ADJO CARINE PERNELLE</t>
  </si>
  <si>
    <t>https://myiipea.com/media/etudiant/photo/WhatsApp_Image_2023-10-02_at_15.21.06.jpeg</t>
  </si>
  <si>
    <t>KOUA2303040001</t>
  </si>
  <si>
    <t>ADJOUA AURELIE ANNE-FABIOLA</t>
  </si>
  <si>
    <t>https://myiipea.com/media/etudiant/photo/WhatsApp_Image_2023-10-02_at_17.08.44.jpeg</t>
  </si>
  <si>
    <t>KOUA0208040001</t>
  </si>
  <si>
    <t>ADJOUA FODJO AUDE GEMIMA</t>
  </si>
  <si>
    <t>https://myiipea.com/media/etudiant/photo/WhatsApp_Image_2023-10-06_at_2.36.23_PM.jpeg</t>
  </si>
  <si>
    <t>KOUA2206040001</t>
  </si>
  <si>
    <t>https://myiipea.com/media/etudiant/photo/WhatsApp_Image_2023-11-06_at_09.42.43.jpeg</t>
  </si>
  <si>
    <t>KOUA1810050001</t>
  </si>
  <si>
    <t>ADJOUA LUCIENNE</t>
  </si>
  <si>
    <t>https://myiipea.com/media/etudiant/photo/WhatsApp_Image_2023-09-25_%C3%A0_15.12.17.jpg</t>
  </si>
  <si>
    <t>KOUA2207000001</t>
  </si>
  <si>
    <t>AFFOUE ANNE SEPHORA</t>
  </si>
  <si>
    <t>https://myiipea.com/media/etudiant/photo/WhatsApp_Image_2023-10-20_at_14.17.04.jpeg</t>
  </si>
  <si>
    <t>KOUA0309040001</t>
  </si>
  <si>
    <t>AFOFIE MAIMOUNAN ROSE</t>
  </si>
  <si>
    <t>https://myiipea.com/media/etudiant/photo/WhatsApp_Image_2023-10-17_at_13.34.18.jpeg</t>
  </si>
  <si>
    <t>KOUA1006040001</t>
  </si>
  <si>
    <t>AHOU DEBORAH</t>
  </si>
  <si>
    <t>https://myiipea.com/media/etudiant/photo/WhatsApp_Image_2023-10-12_at_17.02.01.jpeg</t>
  </si>
  <si>
    <t>KOUA2003020001</t>
  </si>
  <si>
    <t>AKISSI</t>
  </si>
  <si>
    <t>https://myiipea.com/media/etudiant/photo/WhatsApp_Image_2023-10-03_at_11.14.56_AM_3CI1pKV.jpeg</t>
  </si>
  <si>
    <t>KOUA3012020001</t>
  </si>
  <si>
    <t>https://myiipea.com/media/etudiant/photo/WhatsApp_Image_2023-10-06_at_11.46.29.jpeg</t>
  </si>
  <si>
    <t>KOUA1910980001</t>
  </si>
  <si>
    <t>AKISSI JOCELYNE BRUNO</t>
  </si>
  <si>
    <t>https://myiipea.com/media/etudiant/photo/WhatsApp_Image_2023-10-11_at_16_resized_kTj3bZq.png</t>
  </si>
  <si>
    <t>KOUA2404000001</t>
  </si>
  <si>
    <t>AKOUA DAPA ANGE ESTELLE</t>
  </si>
  <si>
    <t>https://myiipea.com/media/etudiant/photo/WhatsApp_Image_2023-10-13_at_14.22.02.jpeg</t>
  </si>
  <si>
    <t>KOUA2404030001</t>
  </si>
  <si>
    <t>AKOUA MATHILDE SAMIRA</t>
  </si>
  <si>
    <t>https://myiipea.com/media/etudiant/photo/WhatsApp_Image_2023-10-17_at_15.25.52.jpeg</t>
  </si>
  <si>
    <t>KOUA0912020001</t>
  </si>
  <si>
    <t>AMA ROSSANE</t>
  </si>
  <si>
    <t>https://myiipea.com/media/etudiant/photo/AMA.jpg</t>
  </si>
  <si>
    <t>KOUA1604060001</t>
  </si>
  <si>
    <t>AMANDO AURELIE ANGE PASCALE</t>
  </si>
  <si>
    <t>https://myiipea.com/media/etudiant/photo/WhatsApp_Image_2023-10-02_at_09.53.38.jpeg</t>
  </si>
  <si>
    <t>KOUA0712020002</t>
  </si>
  <si>
    <t>AMANI EDWIGE</t>
  </si>
  <si>
    <t>https://myiipea.com/media/etudiant/photo/WhatsApp_Image_2023-10-19_at_16.36.53.jpeg</t>
  </si>
  <si>
    <t>KOUA1808020001</t>
  </si>
  <si>
    <t>AMOIN LYDIA ADELINE</t>
  </si>
  <si>
    <t>https://myiipea.com/media/etudiant/photo/WhatsApp_Image_2023-10-03_at_09.55.37.jpeg</t>
  </si>
  <si>
    <t>KOUA2006060001</t>
  </si>
  <si>
    <t>ANGE ARIEL OTSEM</t>
  </si>
  <si>
    <t>https://myiipea.com/media/etudiant/photo/WhatsApp_Image_2023-09-28_at_12.57.41.jpeg</t>
  </si>
  <si>
    <t>KOUA2810030001</t>
  </si>
  <si>
    <t>ANGE JECICA</t>
  </si>
  <si>
    <t>https://myiipea.com/media/etudiant/photo/WhatsApp_Image_2023-10-17_at_14.43.07.jpeg</t>
  </si>
  <si>
    <t>KOUA1104020001</t>
  </si>
  <si>
    <t>ANRAI PIERRE EMERIC</t>
  </si>
  <si>
    <t>https://myiipea.com/media/etudiant/photo/WhatsApp_Image_2023-10-06_at_11.58.36.jpeg</t>
  </si>
  <si>
    <t>KOUA1706010001</t>
  </si>
  <si>
    <t>ARMEL JUNIOR</t>
  </si>
  <si>
    <t>https://myiipea.com/media/etudiant/photo/WhatsApp_Image_2023-10-26_at_17.40.21.jpeg</t>
  </si>
  <si>
    <t>KOUA0101050002</t>
  </si>
  <si>
    <t>ASSOMAN JULES CHRIST</t>
  </si>
  <si>
    <t>https://myiipea.com/media/etudiant/photo/WhatsApp_Image_2023-10-30_at_12.33.42.jpeg</t>
  </si>
  <si>
    <t>KOUA0303980001</t>
  </si>
  <si>
    <t>ATOHOURA JONATHAN</t>
  </si>
  <si>
    <t>https://myiipea.com/media/etudiant/photo/WhatsApp_Image_2023-11-20_at_11.34.33_AM.jpeg</t>
  </si>
  <si>
    <t>KOUA1403030001</t>
  </si>
  <si>
    <t>AURELIE KONAN</t>
  </si>
  <si>
    <t>https://myiipea.com/media/etudiant/photo/WhatsApp_Image_2023-09-18_at_15.39.03.jpeg</t>
  </si>
  <si>
    <t>KOUA0304030001</t>
  </si>
  <si>
    <t>AYA JEANNE D'ARC</t>
  </si>
  <si>
    <t>https://myiipea.com/media/etudiant/photo/WhatsApp_Image_2023-10-04_at_12.10.22.jpeg</t>
  </si>
  <si>
    <t>KOUA2111030001</t>
  </si>
  <si>
    <t>AYA LAETITIA</t>
  </si>
  <si>
    <t>https://myiipea.com/media/etudiant/photo/WhatsApp_Image_2023-11-03_at_10.42.50.jpeg</t>
  </si>
  <si>
    <t>KOUA2504030001</t>
  </si>
  <si>
    <t>AYA MARIE JOELLE</t>
  </si>
  <si>
    <t>https://myiipea.com/media/etudiant/photo/WhatsApp_Image_2023-10-23_at_13.00.39.jpeg</t>
  </si>
  <si>
    <t>KOUA0702050001</t>
  </si>
  <si>
    <t>AYA MYHA EMMANUELLA</t>
  </si>
  <si>
    <t>https://myiipea.com/media/etudiant/photo/WhatsApp_Image_2023-10-02_at_18.07.39.jpeg</t>
  </si>
  <si>
    <t>KOUB1310050001</t>
  </si>
  <si>
    <t>BELEGUY JORDAN HASSAN EMMANUEL</t>
  </si>
  <si>
    <t>https://myiipea.com/media/etudiant/photo/WhatsApp_Image_2023-10-02_at_08.37.435555.jpeg</t>
  </si>
  <si>
    <t>KOUB2504040001</t>
  </si>
  <si>
    <t>BENIE PATRICK GOMEZ</t>
  </si>
  <si>
    <t>https://myiipea.com/media/etudiant/photo/WhatsApp_Image_2023-10-11_at_12.36.28.jpeg</t>
  </si>
  <si>
    <t>KOUB3101040001</t>
  </si>
  <si>
    <t>BEYAKI</t>
  </si>
  <si>
    <t>https://myiipea.com/media/etudiant/photo/WhatsApp_Image_2023-11-02_at_6.01.50_PM.jpeg</t>
  </si>
  <si>
    <t>KOUB1509040001</t>
  </si>
  <si>
    <t>BLA JEMIMA SARAH</t>
  </si>
  <si>
    <t>https://myiipea.com/media/etudiant/photo/WhatsApp_Image_2023-11-06_at_4.54.13_PM.jpeg</t>
  </si>
  <si>
    <t>KOUB1612030001</t>
  </si>
  <si>
    <t>BONZOU HUGUES</t>
  </si>
  <si>
    <t>https://myiipea.com/media/etudiant/photo/WhatsApp_Image_2023-10-02_at_09.23.19.jpeg</t>
  </si>
  <si>
    <t>KOUC0711040001</t>
  </si>
  <si>
    <t>CHANY SANDRA DOMINIQUE</t>
  </si>
  <si>
    <t>https://myiipea.com/media/etudiant/photo/WhatsApp_Image_2023-10-03_at_08.49.00.jpeg</t>
  </si>
  <si>
    <t>KOUD2303040001</t>
  </si>
  <si>
    <t>DANHO ALBERIC LEON</t>
  </si>
  <si>
    <t>https://myiipea.com/media/etudiant/photo/WhatsApp_Image_2023-10-12_at_12.35.42.jpeg</t>
  </si>
  <si>
    <t>KOUD3008000001</t>
  </si>
  <si>
    <t>DIEUDONNE AUGUSTE PIERRE</t>
  </si>
  <si>
    <t>https://myiipea.com/media/etudiant/photo/WhatsApp_Image_2023-11-28_at_12.07.35_PM.jpeg</t>
  </si>
  <si>
    <t>KOUD0101050001</t>
  </si>
  <si>
    <t>DORCAS PRISCILLE</t>
  </si>
  <si>
    <t>https://myiipea.com/media/etudiant/photo/WhatsApp_Image_2023-10-11_at_13.23.21.jpeg</t>
  </si>
  <si>
    <t>KOUD0501010001</t>
  </si>
  <si>
    <t>DOUDOU HONON TATIANA NADEGE</t>
  </si>
  <si>
    <t>https://myiipea.com/media/etudiant/photo/WhatsApp_Image_2023-10-17_at_12.06.18.jpeg</t>
  </si>
  <si>
    <t>KOUE0805060001</t>
  </si>
  <si>
    <t>EMMANUELA LIDWINE DORCAS</t>
  </si>
  <si>
    <t>https://myiipea.com/media/etudiant/photo/WhatsApp_Image_2023-10-16_at_14_resized_ZO61rkl.png</t>
  </si>
  <si>
    <t>KOUE0407040001</t>
  </si>
  <si>
    <t>ENIAN ASHLEY MARIE-COLOMBE</t>
  </si>
  <si>
    <t>https://myiipea.com/media/etudiant/photo/WhatsApp_Image_2023-10-31_at_10.34.26.jpeg</t>
  </si>
  <si>
    <t>KOUE1610230001</t>
  </si>
  <si>
    <t>ESSIELIKE FATOUMATA</t>
  </si>
  <si>
    <t>https://myiipea.com/media/etudiant/photo/WhatsApp_Image_2023-10-23_at_1.40.34_PM.jpeg</t>
  </si>
  <si>
    <t>KOUG1611020001</t>
  </si>
  <si>
    <t>GALLATY ZOLL PLACIDE GOORE</t>
  </si>
  <si>
    <t>https://myiipea.com/media/etudiant/photo/WhatsApp_Image_2023-10-03_at_14.35.01.jpeg</t>
  </si>
  <si>
    <t>KOUG0901030001</t>
  </si>
  <si>
    <t>GNATTI GNAMIEN EDOUARD JUNIOR</t>
  </si>
  <si>
    <t>https://myiipea.com/media/etudiant/photo/WhatsApp_Image_2023-10-18_at_15.35.06.jpeg</t>
  </si>
  <si>
    <t>KOUG2609030001</t>
  </si>
  <si>
    <t>GRACE ORNELLA BENIAN</t>
  </si>
  <si>
    <t>https://myiipea.com/media/etudiant/photo/WhatsApp_Image_2023-10-12_at_15.19.34.jpeg</t>
  </si>
  <si>
    <t>KOUJ1106050001</t>
  </si>
  <si>
    <t>JEAN-EMMANUEL LORIS</t>
  </si>
  <si>
    <t>https://myiipea.com/media/etudiant/photo/WhatsApp_Image_2023-09-26_at_11_resized.png</t>
  </si>
  <si>
    <t>KOUJ1810040001</t>
  </si>
  <si>
    <t>JEAN-LUC</t>
  </si>
  <si>
    <t>https://myiipea.com/media/etudiant/photo/WhatsApp_Image_2023-11-03_at_11.01.54.jpeg</t>
  </si>
  <si>
    <t>KOUJ0712020001</t>
  </si>
  <si>
    <t>JEAN-YVES KOUAKOU</t>
  </si>
  <si>
    <t>https://myiipea.com/media/etudiant/photo/WhatsApp_Image_2023-10-25_at_16.08.35.jpeg</t>
  </si>
  <si>
    <t>KOUK0101010002</t>
  </si>
  <si>
    <t>KOFFI BRICE</t>
  </si>
  <si>
    <t>https://myiipea.com/media/etudiant/photo/WhatsApp_Image_2023-10-06_at_4.36.35_PM.jpeg</t>
  </si>
  <si>
    <t>KOUK0101010003</t>
  </si>
  <si>
    <t>KOFFI HERMAN</t>
  </si>
  <si>
    <t>https://myiipea.com/media/etudiant/photo/WhatsApp_Image_2023-10-11_at_3.37.00_PM.jpeg</t>
  </si>
  <si>
    <t>KOUK1312010001</t>
  </si>
  <si>
    <t>KOFFI JEAN-MARC ANICET</t>
  </si>
  <si>
    <t>https://myiipea.com/media/etudiant/photo/WhatsApp_Image_2023-10-05_at_12.05.34.jpeg</t>
  </si>
  <si>
    <t>KOUK1504040001</t>
  </si>
  <si>
    <t>KOFFI KAN ERVE</t>
  </si>
  <si>
    <t>https://myiipea.com/media/etudiant/photo/WhatsApp_Image_2023-09-26_at_12.30.55.jpeg</t>
  </si>
  <si>
    <t>KOUK1008010001</t>
  </si>
  <si>
    <t>KOFFI TEHIA BERTRAND</t>
  </si>
  <si>
    <t>https://myiipea.com/media/etudiant/photo/WhatsApp_Image_2023-11-10_at_10.00.53.jpeg</t>
  </si>
  <si>
    <t>KOUK1111020001</t>
  </si>
  <si>
    <t>KOFFI WILFRIED</t>
  </si>
  <si>
    <t>https://myiipea.com/media/etudiant/photo/WhatsApp_Image_2023-10-04_at_12.32.33.jpeg</t>
  </si>
  <si>
    <t>KOUK0406020001</t>
  </si>
  <si>
    <t>KOFFI YOANNE</t>
  </si>
  <si>
    <t>https://myiipea.com/media/etudiant/photo/WhatsApp_Image_2023-10-12_at_14.22.04.jpeg</t>
  </si>
  <si>
    <t>KOUK0104050001</t>
  </si>
  <si>
    <t>KONAN AYA GRACE</t>
  </si>
  <si>
    <t>https://myiipea.com/media/etudiant/photo/WhatsApp_Image_2023-10-17_at_10.19.57.jpeg</t>
  </si>
  <si>
    <t>KOUK1212010001</t>
  </si>
  <si>
    <t>KONAN FABRICE</t>
  </si>
  <si>
    <t>https://myiipea.com/media/etudiant/photo/WhatsApp_Image_2023-11-14_at_10.39.20.jpeg</t>
  </si>
  <si>
    <t>KOUK0101010001</t>
  </si>
  <si>
    <t>KONAN JEAN BRUCE</t>
  </si>
  <si>
    <t>https://myiipea.com/media/etudiant/photo/WhatsApp_Image_2023-10-03_at_11.15.15.jpeg</t>
  </si>
  <si>
    <t>KOUK2412030001</t>
  </si>
  <si>
    <t>KONAN JEAN NOEL EMMANUEL</t>
  </si>
  <si>
    <t>https://myiipea.com/media/etudiant/photo/WhatsApp_Image_2023-10-09_at_3.03.52_PM.jpeg</t>
  </si>
  <si>
    <t>KOUK1808020001</t>
  </si>
  <si>
    <t>KONAN WILLIAM CEDRIC</t>
  </si>
  <si>
    <t>https://myiipea.com/media/etudiant/photo/WhatsApp_Image_2023-10-11_at_15.56.02.jpeg</t>
  </si>
  <si>
    <t>KOUK1406990001</t>
  </si>
  <si>
    <t>KOUADIO ELYSEE</t>
  </si>
  <si>
    <t>https://myiipea.com/media/etudiant/photo/WhatsApp_Image_2023-10-17_at_15.37.57.jpeg</t>
  </si>
  <si>
    <t>KOUK2312030001</t>
  </si>
  <si>
    <t>KOUADIO EVRARD</t>
  </si>
  <si>
    <t>https://myiipea.com/media/etudiant/photo/53b2d189-8406-4905-9552-e52c05ab726b-removebg-preview.png</t>
  </si>
  <si>
    <t>KOUK0407000001</t>
  </si>
  <si>
    <t>KOUADIO ROMARIC</t>
  </si>
  <si>
    <t>https://myiipea.com/media/etudiant/photo/WhatsApp_Image_2023-11-13_at_12.12.52_PM.jpeg</t>
  </si>
  <si>
    <t>KOUK1011040001</t>
  </si>
  <si>
    <t>KOUAKOU LEMAIRE JUNIOR</t>
  </si>
  <si>
    <t>https://myiipea.com/media/etudiant/photo/WhatsApp_Image_2023-10-05_at_11.04.10.jpeg</t>
  </si>
  <si>
    <t>KOUK1703050001</t>
  </si>
  <si>
    <t>KOUAKOU YANN ELISEE</t>
  </si>
  <si>
    <t>https://myiipea.com/media/etudiant/photo/WhatsApp_Image_2023-11-17_at_10.58.57.jpeg</t>
  </si>
  <si>
    <t>KOUK1710030001</t>
  </si>
  <si>
    <t>KOUAME RODRIGUE GEDEON</t>
  </si>
  <si>
    <t>https://myiipea.com/media/etudiant/photo/WhatsApp_Image_2023-11-20_at_12.54.21_PM.jpeg</t>
  </si>
  <si>
    <t>KOUK1103020001</t>
  </si>
  <si>
    <t>KOUASSI ALBAN</t>
  </si>
  <si>
    <t>https://myiipea.com/media/etudiant/photo/WhatsApp_Image_2023-10-06_at_12.57.32.jpeg</t>
  </si>
  <si>
    <t>KOUK1811030001</t>
  </si>
  <si>
    <t>KOUASSI ERIC WILFRIED</t>
  </si>
  <si>
    <t>https://myiipea.com/media/etudiant/photo/WhatsApp_Image_2023-10-12_at_14.45.16.jpeg</t>
  </si>
  <si>
    <t>KOUK1207040001</t>
  </si>
  <si>
    <t>KOUASSI MICHAEL GAMALIEL</t>
  </si>
  <si>
    <t>https://myiipea.com/media/etudiant/photo/WhatsApp_Image_2023-10-03_at_14.45.12.jpeg</t>
  </si>
  <si>
    <t>KOUL1604040001</t>
  </si>
  <si>
    <t>LAYANE MARIE-PASCALE</t>
  </si>
  <si>
    <t>https://myiipea.com/media/etudiant/photo/WhatsApp_Image_2023-10-02_at_18.40.15.jpeg</t>
  </si>
  <si>
    <t>KOUL2507030001</t>
  </si>
  <si>
    <t>LOIC JUSTE GAEL</t>
  </si>
  <si>
    <t>https://myiipea.com/media/etudiant/photo/WhatsApp_Image_2023-11-27_at_10.59.41_AM.jpeg</t>
  </si>
  <si>
    <t>KOUM0607030001</t>
  </si>
  <si>
    <t>MENIANSOU GRACE MARIETTE</t>
  </si>
  <si>
    <t>https://myiipea.com/media/etudiant/photo/WhatsApp_Image_2023-10-04_at_15.05.41.jpeg</t>
  </si>
  <si>
    <t>KOUN2305030001</t>
  </si>
  <si>
    <t>N'DA AYA MELISSA</t>
  </si>
  <si>
    <t>https://myiipea.com/media/etudiant/photo/WhatsApp_Image_2023-10-02_at_11.22.11.jpeg</t>
  </si>
  <si>
    <t>KOUN0311040002</t>
  </si>
  <si>
    <t>N'DA JEAN JUNIOR</t>
  </si>
  <si>
    <t>https://myiipea.com/media/etudiant/photo/WhatsApp_Image_2023-10-09_at_2.33.19_PM.jpeg</t>
  </si>
  <si>
    <t>KOUN0711030001</t>
  </si>
  <si>
    <t>N'DRI AYA SONIA CARINE</t>
  </si>
  <si>
    <t>https://myiipea.com/media/etudiant/photo/WhatsApp_Image_2023-10-02_at_13.00.49.jpeg</t>
  </si>
  <si>
    <t>KOUN3006010001</t>
  </si>
  <si>
    <t>N'GBIA WILFRIED JOSELIN</t>
  </si>
  <si>
    <t>https://myiipea.com/media/etudiant/photo/WhatsApp_Image_2023-10-30_at_12.50.39.jpeg</t>
  </si>
  <si>
    <t>KOUN2004040001</t>
  </si>
  <si>
    <t>N'GUESSAN ANGE DOMINIQUE</t>
  </si>
  <si>
    <t>https://myiipea.com/media/etudiant/photo/WhatsApp_Image_2023-11-30_at_3.52.49_PM.jpeg</t>
  </si>
  <si>
    <t>KOUN3103010001</t>
  </si>
  <si>
    <t>https://myiipea.com/media/etudiant/photo/WhatsApp_Image_2023-10-02_at_18.09.25.jpeg</t>
  </si>
  <si>
    <t>KOUO2004030001</t>
  </si>
  <si>
    <t>OKOMA ORLANE NOLIVEE NANAN</t>
  </si>
  <si>
    <t>https://myiipea.com/media/etudiant/photo/WhatsApp_Image_2023-10-05_at_15.07.43.jpeg</t>
  </si>
  <si>
    <t>KOUO2310000001</t>
  </si>
  <si>
    <t>OLDE MICHELLE ORLELA</t>
  </si>
  <si>
    <t>https://myiipea.com/media/etudiant/photo/WhatsApp_Image_2023-11-13_at_4.40.24_PM.jpeg</t>
  </si>
  <si>
    <t>KOUS3011980001</t>
  </si>
  <si>
    <t>SENALOHAN LUCIEN COLOMB</t>
  </si>
  <si>
    <t>https://myiipea.com/media/etudiant/photo/WhatsApp_Image_2023-10-11_at_13.01.04.jpeg</t>
  </si>
  <si>
    <t>KOUS3103010001</t>
  </si>
  <si>
    <t>https://myiipea.com/media/etudiant/photo/WhatsApp_Image_2023-10-02_at_18.10.53.jpeg</t>
  </si>
  <si>
    <t>KOUY0502040001</t>
  </si>
  <si>
    <t>YAHA REBECCA</t>
  </si>
  <si>
    <t>https://myiipea.com/media/etudiant/photo/WhatsApp_Image_2023-10-13_at_16.31.14.jpeg</t>
  </si>
  <si>
    <t>KOUY1411040001</t>
  </si>
  <si>
    <t>YAO GUY ALEX</t>
  </si>
  <si>
    <t>https://myiipea.com/media/etudiant/photo/WhatsApp_Image_2023-11-23_at_11.21.47_1.jpeg</t>
  </si>
  <si>
    <t>KOUY2603040002</t>
  </si>
  <si>
    <t>YAO JEAN EUDES</t>
  </si>
  <si>
    <t>https://myiipea.com/media/etudiant/photo/WhatsApp_Image_2023-10-11_at_12.42.09_PM.jpeg</t>
  </si>
  <si>
    <t>KOUY0306050001</t>
  </si>
  <si>
    <t>YAO JEAN JAURES</t>
  </si>
  <si>
    <t>https://myiipea.com/media/etudiant/photo/WhatsApp_Image_2023-10-12_at_17.30.26.jpeg</t>
  </si>
  <si>
    <t>KOUY1512020001</t>
  </si>
  <si>
    <t>YOBOUET ALBERTINE ANDREA DANIELLE</t>
  </si>
  <si>
    <t>https://myiipea.com/media/etudiant/photo/WhatsApp_Image_2023-10-19_at_13.32.32.jpeg</t>
  </si>
  <si>
    <t>KOUZ1306050001</t>
  </si>
  <si>
    <t>ZAGO YOU MARIE GRACE</t>
  </si>
  <si>
    <t>https://myiipea.com/media/etudiant/photo/WhatsApp_Image_2023-10-11_at_09.34.30.jpeg</t>
  </si>
  <si>
    <t>KOUA2612000001</t>
  </si>
  <si>
    <t>KOUDOU</t>
  </si>
  <si>
    <t>AUDREY MARIE-COLOMBE</t>
  </si>
  <si>
    <t>https://myiipea.com/media/etudiant/photo/WhatsApp_Image_2023-10-11_at_7.01.14_PM.jpeg</t>
  </si>
  <si>
    <t>KOUG2205020001</t>
  </si>
  <si>
    <t>GBATE NESSY ORNELLA</t>
  </si>
  <si>
    <t>https://myiipea.com/media/etudiant/photo/WhatsApp_Image_2023-10-09_at_16.27.44.jpeg</t>
  </si>
  <si>
    <t>KOUK0101010004</t>
  </si>
  <si>
    <t>KOTCHI NOE</t>
  </si>
  <si>
    <t>https://myiipea.com/media/etudiant/photo/WhatsApp_Image_2023-11-10_at_5.13.34_PM.jpeg</t>
  </si>
  <si>
    <t>KOUY0110020001</t>
  </si>
  <si>
    <t>KOUHI</t>
  </si>
  <si>
    <t>YOROHONNON GRACE STEPHANIE</t>
  </si>
  <si>
    <t>https://myiipea.com/media/etudiant/photo/WhatsApp_Image_2023-10-03_at_16.49.34.jpeg</t>
  </si>
  <si>
    <t>KOUJ0704020001</t>
  </si>
  <si>
    <t>KOUHON</t>
  </si>
  <si>
    <t>JOELLE CARINE MONDESIRE</t>
  </si>
  <si>
    <t>https://myiipea.com/media/etudiant/photo/unnamed-2_g6ozayo.png</t>
  </si>
  <si>
    <t>KOUB0311970001</t>
  </si>
  <si>
    <t>KOUIN</t>
  </si>
  <si>
    <t>BRIGITTE</t>
  </si>
  <si>
    <t>https://myiipea.com/media/etudiant/photo/WhatsApp_Image_2023-10-12_at_15.30.00.jpeg</t>
  </si>
  <si>
    <t>KOUA0402050001</t>
  </si>
  <si>
    <t>KOUKO</t>
  </si>
  <si>
    <t>AGHUI AUGUST ANDERSON KEVIN</t>
  </si>
  <si>
    <t>https://myiipea.com/media/etudiant/photo/WhatsApp_Image_2023-09-29_at_13.45.11.jpeg</t>
  </si>
  <si>
    <t>KOUG1701060001</t>
  </si>
  <si>
    <t>GRACE EMMANUELLE DANIELLE</t>
  </si>
  <si>
    <t>https://myiipea.com/media/etudiant/photo/WhatsApp_Image_2023-10-13_at_09.44.10.jpeg</t>
  </si>
  <si>
    <t>KOUD0705050001</t>
  </si>
  <si>
    <t>KOUKOU</t>
  </si>
  <si>
    <t>DJIPRO CHARLES CEPHAS</t>
  </si>
  <si>
    <t>https://myiipea.com/media/etudiant/photo/WhatsApp_Image_2023-10-09_at_12.03.30_PM.jpeg</t>
  </si>
  <si>
    <t>KOUD1711000001</t>
  </si>
  <si>
    <t>KOUKOUGNON</t>
  </si>
  <si>
    <t>DAGO ADONIS</t>
  </si>
  <si>
    <t>https://myiipea.com/media/etudiant/photo/WhatsApp_Image_2023-10-17_at_12.55.11_PM.jpeg</t>
  </si>
  <si>
    <t>KOUG1612040001</t>
  </si>
  <si>
    <t>GUIGUI MAEL</t>
  </si>
  <si>
    <t>https://myiipea.com/media/etudiant/photo/WhatsApp_Image_2023-10-12_at_13.10.30.jpeg</t>
  </si>
  <si>
    <t>KOUL1012040001</t>
  </si>
  <si>
    <t>LAURIS FLORIELLE</t>
  </si>
  <si>
    <t>https://myiipea.com/media/etudiant/photo/WhatsApp_Image_2023-10-16_at_09.27.31_1.jpeg</t>
  </si>
  <si>
    <t>KOUL1410040001</t>
  </si>
  <si>
    <t>KOULIBALY</t>
  </si>
  <si>
    <t>https://myiipea.com/media/etudiant/photo/WhatsApp_Image_2023-10-23_at_10.10.12.jpeg</t>
  </si>
  <si>
    <t>KOUM0205030001</t>
  </si>
  <si>
    <t>MADINA KATIENE FOWA MAWA</t>
  </si>
  <si>
    <t>https://myiipea.com/media/etudiant/photo/WhatsApp_Image_2023-11-27_at_4.58.52_PM.jpeg</t>
  </si>
  <si>
    <t>KOUN1208010001</t>
  </si>
  <si>
    <t>N'GOLO MOHAMED KATIE</t>
  </si>
  <si>
    <t>https://myiipea.com/media/etudiant/photo/WhatsApp_Image_2023-10-04_at_16.46.47.jpeg</t>
  </si>
  <si>
    <t>KOUY2912050001</t>
  </si>
  <si>
    <t>YASMINE MOMMIDINNIN DJEDNEBA</t>
  </si>
  <si>
    <t>https://myiipea.com/media/etudiant/photo/WhatsApp_Image_2023-10-19_at_14.39.01.jpeg</t>
  </si>
  <si>
    <t>KOUS0507010001</t>
  </si>
  <si>
    <t>KOULIKA</t>
  </si>
  <si>
    <t>SOULIATOU AKOMINOU</t>
  </si>
  <si>
    <t>https://myiipea.com/media/etudiant/photo/WhatsApp_Image_2023-10-27_at_09.45.32.jpeg</t>
  </si>
  <si>
    <t>KOUA0101050001</t>
  </si>
  <si>
    <t>KOULOU</t>
  </si>
  <si>
    <t>AHOSSAN EMMANUEL</t>
  </si>
  <si>
    <t>https://myiipea.com/media/etudiant/photo/WhatsApp_Image_2023-10-30_at_11.36.54.jpeg</t>
  </si>
  <si>
    <t>KOUM0211040001</t>
  </si>
  <si>
    <t>KOUMA</t>
  </si>
  <si>
    <t>https://myiipea.com/media/etudiant/photo/WhatsApp_Image_2023-10-25_at_09.14.32.jpeg</t>
  </si>
  <si>
    <t>KOUA0210050001</t>
  </si>
  <si>
    <t>KOUMAN</t>
  </si>
  <si>
    <t>ADJA BENEDICTE MARIE-CARMEL</t>
  </si>
  <si>
    <t>https://myiipea.com/media/etudiant/photo/WhatsApp_Image_2023-10-03_at_11.22.43.jpeg</t>
  </si>
  <si>
    <t>KOUA3011020001</t>
  </si>
  <si>
    <t>ANGE MARIE-BLANCHE</t>
  </si>
  <si>
    <t>https://myiipea.com/media/etudiant/photo/WhatsApp_Image_2023-10-10_at_12.39.58.jpeg</t>
  </si>
  <si>
    <t>KOUR0505040001</t>
  </si>
  <si>
    <t>KOUMARE</t>
  </si>
  <si>
    <t>RAMATOULAYE</t>
  </si>
  <si>
    <t>https://myiipea.com/media/etudiant/photo/WhatsApp_Image_2023-10-31_at_10.35.15.jpeg</t>
  </si>
  <si>
    <t>KOUA0705040001</t>
  </si>
  <si>
    <t>KOUMOUE</t>
  </si>
  <si>
    <t>https://myiipea.com/media/etudiant/photo/WhatsApp_Image_2023-09-28_at_12.21.25.jpeg</t>
  </si>
  <si>
    <t>KOUC2602040001</t>
  </si>
  <si>
    <t>KOUNOU</t>
  </si>
  <si>
    <t>CHRIST IDOINE</t>
  </si>
  <si>
    <t>https://myiipea.com/media/etudiant/photo/WhatsApp_Image_2023-10-02_at_6.07.14_PM.jpeg</t>
  </si>
  <si>
    <t>KOUP0606030001</t>
  </si>
  <si>
    <t>KOUROUMA</t>
  </si>
  <si>
    <t>PRINCESSE</t>
  </si>
  <si>
    <t>https://myiipea.com/media/etudiant/photo/WhatsApp_Image_2023-10-17_at_15.25.32.jpeg</t>
  </si>
  <si>
    <t>KOUA0508020001</t>
  </si>
  <si>
    <t>KOUTOUAN</t>
  </si>
  <si>
    <t>ADJO LOUISE ROSELINE</t>
  </si>
  <si>
    <t>https://myiipea.com/media/etudiant/photo/WhatsApp_Image_2023-10-31_at_11.15.46.jpeg</t>
  </si>
  <si>
    <t>KOUA1709060001</t>
  </si>
  <si>
    <t>ADON LEANDRES CHRIS CEDONSKY</t>
  </si>
  <si>
    <t>https://myiipea.com/media/etudiant/photo/t%C3%A9l%C3%A9chargement_Fw6T0tB.png</t>
  </si>
  <si>
    <t>KOUA0808010001</t>
  </si>
  <si>
    <t>AGOUABIE AUDE BEATRICE</t>
  </si>
  <si>
    <t>https://myiipea.com/media/etudiant/photo/WhatsApp_Image_2023-11-16_at_14.27.50.jpeg</t>
  </si>
  <si>
    <t>KOUA2112050001</t>
  </si>
  <si>
    <t>ALIMAN CHARLES EMMANUEL MOREL</t>
  </si>
  <si>
    <t>https://myiipea.com/media/etudiant/photo/WhatsApp_Image_2023-10-05_at_12.58.22.jpeg</t>
  </si>
  <si>
    <t>KOUA0101030001</t>
  </si>
  <si>
    <t>ANGE AURELE</t>
  </si>
  <si>
    <t>https://myiipea.com/media/etudiant/photo/unnamed-2_d9LVOAL.png</t>
  </si>
  <si>
    <t>KOUB1004020004</t>
  </si>
  <si>
    <t>BATCHO MARIE HELENE ELISABETH SEVERINE</t>
  </si>
  <si>
    <t>https://myiipea.com/media/etudiant/photo/WhatsApp_Image_2023-10-03_at_16.26.51.jpeg</t>
  </si>
  <si>
    <t>KOUD0906040001</t>
  </si>
  <si>
    <t>DJOGOU MARIE-CLAUDE KETSIA</t>
  </si>
  <si>
    <t>https://myiipea.com/media/etudiant/photo/WhatsApp_Image_2023-10-03_at_12.18.00.jpeg</t>
  </si>
  <si>
    <t>KOUA3008050001</t>
  </si>
  <si>
    <t>KOUYA</t>
  </si>
  <si>
    <t>ASTOU ROXANE</t>
  </si>
  <si>
    <t>https://myiipea.com/media/etudiant/photo/WhatsApp_Image_2023-10-17_at_13.01.06.jpeg</t>
  </si>
  <si>
    <t>KOUA2206030001</t>
  </si>
  <si>
    <t>KOUYATE</t>
  </si>
  <si>
    <t>ABOUBAKAR JUNIOR</t>
  </si>
  <si>
    <t>https://myiipea.com/media/etudiant/photo/WhatsApp_Image_2023-10-27_at_11.33.13_1.jpeg</t>
  </si>
  <si>
    <t>KOUD1503010001</t>
  </si>
  <si>
    <t>DJAYA</t>
  </si>
  <si>
    <t>https://myiipea.com/media/etudiant/photo/WhatsApp_Image_2023-11-09_at_11.14.17.jpeg</t>
  </si>
  <si>
    <t>KOUK1901050002</t>
  </si>
  <si>
    <t>KOUMBA</t>
  </si>
  <si>
    <t>https://myiipea.com/media/etudiant/photo/WhatsApp_Image_2023-10-10_at_12.23.36_qbu4LWh.jpeg</t>
  </si>
  <si>
    <t>KOYA0101040001</t>
  </si>
  <si>
    <t>KOYE</t>
  </si>
  <si>
    <t>ANGE DOMINIQUE MICHEL</t>
  </si>
  <si>
    <t>https://myiipea.com/media/etudiant/photo/WhatsApp_Image_2023-11-20_at_1.14.24_PM.jpeg</t>
  </si>
  <si>
    <t>KPAY0409030001</t>
  </si>
  <si>
    <t>KPABO</t>
  </si>
  <si>
    <t>YAO ALEX GAEL</t>
  </si>
  <si>
    <t>https://myiipea.com/media/etudiant/photo/WhatsApp_Image_2023-11-10_at_10.01.10.jpeg</t>
  </si>
  <si>
    <t>KPAY0406010001</t>
  </si>
  <si>
    <t>KPAKRIN</t>
  </si>
  <si>
    <t>YEDJE JEANNETTE ANGE-CAROLINE</t>
  </si>
  <si>
    <t>https://myiipea.com/media/etudiant/photo/239422487_405915444207421_8131329350063382999_n_HbRWaWy.jpg</t>
  </si>
  <si>
    <t>KPAL2002040001</t>
  </si>
  <si>
    <t>KPAN</t>
  </si>
  <si>
    <t>LIGO JEAN JORES</t>
  </si>
  <si>
    <t>https://myiipea.com/media/etudiant/photo/WhatsApp_Image_2023-10-13_at_4.43.32_PM.jpeg</t>
  </si>
  <si>
    <t>KPAM2710030001</t>
  </si>
  <si>
    <t>MINSAN TRESOR</t>
  </si>
  <si>
    <t>https://myiipea.com/media/etudiant/photo/WhatsApp_Image_2023-10-18_at_12.26.22.jpeg</t>
  </si>
  <si>
    <t>KPLG1001030001</t>
  </si>
  <si>
    <t>KPLE</t>
  </si>
  <si>
    <t>GUENI SERGE VIANNEY</t>
  </si>
  <si>
    <t>https://myiipea.com/media/etudiant/photo/WhatsApp_Image_2023-10-03_at_11.14.56_AM_CWqWHqv.jpeg</t>
  </si>
  <si>
    <t>KPOJ1512070001</t>
  </si>
  <si>
    <t>KPODANHOUE</t>
  </si>
  <si>
    <t>JEAN ELIE</t>
  </si>
  <si>
    <t>https://myiipea.com/media/etudiant/photo/239422487_405915444207421_8131329350063382999_n_WEUCZnD.jpg</t>
  </si>
  <si>
    <t>KPOJ0601000001</t>
  </si>
  <si>
    <t>KPOINTON</t>
  </si>
  <si>
    <t>JEAN MAXIME</t>
  </si>
  <si>
    <t>https://myiipea.com/media/etudiant/photo/WhatsApp_Image_2023-10-13_at_08.40.42.jpeg</t>
  </si>
  <si>
    <t>KRAA1608030001</t>
  </si>
  <si>
    <t>KRA</t>
  </si>
  <si>
    <t>AMAN SUZANNE OCEANE</t>
  </si>
  <si>
    <t>https://myiipea.com/media/etudiant/photo/WhatsApp_Image_2023-11-06_at_5.32.29_PM.jpeg</t>
  </si>
  <si>
    <t>KRAK1306970001</t>
  </si>
  <si>
    <t>KONAN JEAN STEPHANIE</t>
  </si>
  <si>
    <t>https://myiipea.com/media/etudiant/photo/WhatsApp_Image_2023-10-31_at_14.29.41.jpeg</t>
  </si>
  <si>
    <t>KRAK1312030001</t>
  </si>
  <si>
    <t>KOUAKOU ANGE EMMANUEL JUNIOR</t>
  </si>
  <si>
    <t>https://myiipea.com/media/etudiant/photo/WhatsApp_Image_2023-10-10_at_09.53.33.jpeg</t>
  </si>
  <si>
    <t>KRAK1306060001</t>
  </si>
  <si>
    <t>KOUASSI JEAN-CLAUDE</t>
  </si>
  <si>
    <t>https://myiipea.com/media/etudiant/photo/WhatsApp_Image_2023-09-28_at_11_resized_resized.png</t>
  </si>
  <si>
    <t>KRAK0406010001</t>
  </si>
  <si>
    <t>KOUASSI MARC ALAN</t>
  </si>
  <si>
    <t>https://myiipea.com/media/etudiant/photo/WhatsApp_Image_2023-11-13_at_11.54.26.jpeg</t>
  </si>
  <si>
    <t>KRAM0809020001</t>
  </si>
  <si>
    <t>MARIAMA GRACE DIVINE</t>
  </si>
  <si>
    <t>https://myiipea.com/media/etudiant/photo/WhatsApp_Image_2023-10-05_at_10.03.52.jpeg</t>
  </si>
  <si>
    <t>KRAM2707030001</t>
  </si>
  <si>
    <t>MOUAYE MICHEL IMMANUEL</t>
  </si>
  <si>
    <t>https://myiipea.com/media/etudiant/photo/WhatsApp_Image_2023-10-10_at_12_resized_DpGwi0b.png</t>
  </si>
  <si>
    <t>KRAT2301040001</t>
  </si>
  <si>
    <t>THOBBY YVANN MAMPHIZ</t>
  </si>
  <si>
    <t>https://myiipea.com/media/etudiant/photo/WhatsApp_Image_2023-10-11_at_09.26.15.jpeg</t>
  </si>
  <si>
    <t>KRAY2811020001</t>
  </si>
  <si>
    <t>YAO OTHINIEL</t>
  </si>
  <si>
    <t>https://myiipea.com/media/etudiant/photo/WhatsApp_Image_2023-10-26_at_10.39.44.jpeg</t>
  </si>
  <si>
    <t>KRAL0601050001</t>
  </si>
  <si>
    <t>KRAGBA</t>
  </si>
  <si>
    <t>LOIS EMERAUDE</t>
  </si>
  <si>
    <t>https://myiipea.com/media/etudiant/photo/WhatsApp_Image_2023-10-26_at_11.54.05_AM.jpeg</t>
  </si>
  <si>
    <t>KRAU0410030001</t>
  </si>
  <si>
    <t>ULRICH KEVIN</t>
  </si>
  <si>
    <t>https://myiipea.com/media/etudiant/photo/WhatsApp_Image_2023-09-29_at_09.55.38.jpeg</t>
  </si>
  <si>
    <t>KRAN2505060001</t>
  </si>
  <si>
    <t>KRAIDY</t>
  </si>
  <si>
    <t>NEBOUT HENOC EBENEZER</t>
  </si>
  <si>
    <t>https://myiipea.com/media/etudiant/photo/HENOC_.jpg</t>
  </si>
  <si>
    <t>KRAC3112040001</t>
  </si>
  <si>
    <t>KRAMO</t>
  </si>
  <si>
    <t>CHANCELLE NANCY</t>
  </si>
  <si>
    <t>https://myiipea.com/media/etudiant/photo/45D06522-2102-4EFB-B724-800DC921F263_resized.png</t>
  </si>
  <si>
    <t>KRAN2504030001</t>
  </si>
  <si>
    <t>N'GUESSAN YAO ANGE METHUSHAEL</t>
  </si>
  <si>
    <t>https://myiipea.com/media/etudiant/photo/WhatsApp_Image_2023-10-10_at_5.43.09_PM.jpeg</t>
  </si>
  <si>
    <t>KROY1902040001</t>
  </si>
  <si>
    <t>KRODI</t>
  </si>
  <si>
    <t>YORO VANESSA KELLY</t>
  </si>
  <si>
    <t>https://myiipea.com/media/etudiant/photo/WhatsApp_Image_2023-10-10_at_15.58.27.jpeg</t>
  </si>
  <si>
    <t>KROA2212010001</t>
  </si>
  <si>
    <t>KROGNOU</t>
  </si>
  <si>
    <t>AKAFFOU NOE</t>
  </si>
  <si>
    <t>https://myiipea.com/media/etudiant/photo/WhatsApp_Image_2023-10-04_at_08.59.29.jpeg</t>
  </si>
  <si>
    <t>KROA3101040001</t>
  </si>
  <si>
    <t>KROU</t>
  </si>
  <si>
    <t>ANDERSON DAVID</t>
  </si>
  <si>
    <t>https://myiipea.com/media/etudiant/photo/4CA5FA18-B71B-4633-A1F4-26C75A13CA30_resized.png</t>
  </si>
  <si>
    <t>KROJ0605000001</t>
  </si>
  <si>
    <t>JUNIOR ROMARIC MICHAEL</t>
  </si>
  <si>
    <t>https://myiipea.com/media/etudiant/photo/WhatsApp_Image_2023-10-12_at_10.59.30.jpeg</t>
  </si>
  <si>
    <t>KROK2002040001</t>
  </si>
  <si>
    <t>KOUADIO FRANCIS CHRIST-DANIEL</t>
  </si>
  <si>
    <t>https://myiipea.com/media/etudiant/photo/WhatsApp_Image_2023-10-03_at_13.38.08.jpeg</t>
  </si>
  <si>
    <t>KROP1311040001</t>
  </si>
  <si>
    <t>PAUL ANTOINE GIL CHRIST</t>
  </si>
  <si>
    <t>https://myiipea.com/media/etudiant/photo/WhatsApp_Image_2023-10-23_at_3.29.09_PM.jpeg</t>
  </si>
  <si>
    <t>KUAB1011020001</t>
  </si>
  <si>
    <t>KUAME</t>
  </si>
  <si>
    <t>BLANCHE FLORAINE</t>
  </si>
  <si>
    <t>https://myiipea.com/media/etudiant/photo/WhatsApp_Image_2023-10-17_at_14.55.08.jpeg</t>
  </si>
  <si>
    <t>KUNG1610050001</t>
  </si>
  <si>
    <t>KUNY</t>
  </si>
  <si>
    <t>GEORGES GNOAN BRIT</t>
  </si>
  <si>
    <t>https://myiipea.com/media/etudiant/photo/WhatsApp_Image_2023-10-03_at_08.47.04.jpeg</t>
  </si>
  <si>
    <t>KUYD3003000002</t>
  </si>
  <si>
    <t>KUYO</t>
  </si>
  <si>
    <t>DJEHI ANGE AIME</t>
  </si>
  <si>
    <t>https://myiipea.com/media/etudiant/photo/WhatsApp_Image_2023-11-30_at_4.26.32_PM.jpeg</t>
  </si>
  <si>
    <t>KYEK1612060001</t>
  </si>
  <si>
    <t>KYEREMEH</t>
  </si>
  <si>
    <t>KOUAKOU PRINCE</t>
  </si>
  <si>
    <t>https://myiipea.com/media/etudiant/photo/WhatsApp_Image_2023-09-28_at_10.49.35.jpeg</t>
  </si>
  <si>
    <t>LABL0902040001</t>
  </si>
  <si>
    <t>LABI</t>
  </si>
  <si>
    <t>LOU GRACE ABIGAIL</t>
  </si>
  <si>
    <t>https://myiipea.com/media/etudiant/photo/WhatsApp_Image_2023-10-14_at_13.13.47.jpeg</t>
  </si>
  <si>
    <t>LAGB2908010001</t>
  </si>
  <si>
    <t>LAGBRE</t>
  </si>
  <si>
    <t>BALY FRANCK</t>
  </si>
  <si>
    <t>https://myiipea.com/media/etudiant/photo/WhatsApp_Image_2023-10-16_at_16.15.21.jpeg</t>
  </si>
  <si>
    <t>LAGB1110030001</t>
  </si>
  <si>
    <t>LAGO</t>
  </si>
  <si>
    <t>BRINE CLARA ANDREA RUTH</t>
  </si>
  <si>
    <t>https://myiipea.com/media/etudiant/photo/WhatsApp_Image_2023-09-19_at_11.43.07.jpeg</t>
  </si>
  <si>
    <t>LAGK0609020001</t>
  </si>
  <si>
    <t>KRA JOSIANE</t>
  </si>
  <si>
    <t>https://myiipea.com/media/etudiant/photo/WhatsApp_Image_2023-11-14_at_3.50.40_PM.jpeg</t>
  </si>
  <si>
    <t>LAGL2012000001</t>
  </si>
  <si>
    <t>LEKAMON JAURES LEOPOLID</t>
  </si>
  <si>
    <t>https://myiipea.com/media/etudiant/photo/WhatsApp_Image_2023-11-27_at_10.38.08.jpeg</t>
  </si>
  <si>
    <t>LAHK2809010001</t>
  </si>
  <si>
    <t>LAH</t>
  </si>
  <si>
    <t>KADIDIATOU</t>
  </si>
  <si>
    <t>https://myiipea.com/media/etudiant/photo/WhatsApp_Image_2023-10-30_at_17.23.37.jpeg</t>
  </si>
  <si>
    <t>LAHM1212040001</t>
  </si>
  <si>
    <t>LAHAGNON</t>
  </si>
  <si>
    <t>MOEGNAN OTHINEL</t>
  </si>
  <si>
    <t>https://myiipea.com/media/etudiant/photo/WhatsApp_Image_2023-10-02_at_1.05.14_PM.jpeg</t>
  </si>
  <si>
    <t>LAHJ2211010001</t>
  </si>
  <si>
    <t>LAHAMI</t>
  </si>
  <si>
    <t>JONATHAN SHADRAK</t>
  </si>
  <si>
    <t>https://myiipea.com/media/etudiant/photo/WhatsApp_Image_2023-10-06_at_10.33.07.jpeg</t>
  </si>
  <si>
    <t>LAHY2807030001</t>
  </si>
  <si>
    <t>YENE GRACE</t>
  </si>
  <si>
    <t>https://myiipea.com/media/etudiant/photo/WhatsApp_Image_2023-10-10_at_14.55.55.jpeg</t>
  </si>
  <si>
    <t>LAHB0908040001</t>
  </si>
  <si>
    <t>LAHI</t>
  </si>
  <si>
    <t>BLANCHE</t>
  </si>
  <si>
    <t>OUI</t>
  </si>
  <si>
    <t>https://myiipea.com/media/etudiant/photo/photo_resized.png</t>
  </si>
  <si>
    <t>LAID0508070001</t>
  </si>
  <si>
    <t>LAI</t>
  </si>
  <si>
    <t>DORCEL MESMIN</t>
  </si>
  <si>
    <t>https://myiipea.com/media/etudiant/photo/WhatsApp_Image_2023-10-02_at_3.12.21_PM.jpeg</t>
  </si>
  <si>
    <t>LAMB0709040001</t>
  </si>
  <si>
    <t>LAMSANA</t>
  </si>
  <si>
    <t>https://myiipea.com/media/etudiant/photo/WhatsApp_Image_2023-10-03_at_11.14.56_AM_Ff92OWS.jpeg</t>
  </si>
  <si>
    <t>LANF1108000001</t>
  </si>
  <si>
    <t>LANGUI</t>
  </si>
  <si>
    <t>FOHOUNDY SAMUEL</t>
  </si>
  <si>
    <t>https://myiipea.com/media/etudiant/photo/LANGUI.jpg</t>
  </si>
  <si>
    <t>LASZ1803020001</t>
  </si>
  <si>
    <t>LASISI</t>
  </si>
  <si>
    <t>ZIADAT</t>
  </si>
  <si>
    <t>https://myiipea.com/media/etudiant/photo/WhatsApp_Image_2023-10-30_at_5.54.09_PM.jpeg</t>
  </si>
  <si>
    <t>LASK2708000002</t>
  </si>
  <si>
    <t>LASM</t>
  </si>
  <si>
    <t>KPAMENAN BIHAN CLEMENT</t>
  </si>
  <si>
    <t>https://myiipea.com/media/etudiant/photo/WhatsApp_Image_2023-10-03_at_16.59.32_WPmuhff.jpeg</t>
  </si>
  <si>
    <t>LASA0108050001</t>
  </si>
  <si>
    <t>LASME</t>
  </si>
  <si>
    <t>AGNIMEL ISAAC EMMANUEL</t>
  </si>
  <si>
    <t>https://myiipea.com/media/etudiant/photo/t%C3%A9l%C3%A9chargement_WvUBhlA.png</t>
  </si>
  <si>
    <t>LASA0109040001</t>
  </si>
  <si>
    <t>AIMLISS MARIE CATHERINE</t>
  </si>
  <si>
    <t>https://myiipea.com/media/etudiant/photo/WhatsApp_Image_2023-10-16_at_3.53.17_PM.jpeg</t>
  </si>
  <si>
    <t>LASL2101030001</t>
  </si>
  <si>
    <t>LOHOUES EM-LISS ORIANE SORELLE</t>
  </si>
  <si>
    <t>https://myiipea.com/media/etudiant/photo/WhatsApp_Image_2023-10-02_at_15.25.25.jpeg</t>
  </si>
  <si>
    <t>LASY1510980001</t>
  </si>
  <si>
    <t>YEI JEANNE D'ARC</t>
  </si>
  <si>
    <t>https://myiipea.com/media/etudiant/photo/WhatsApp_Image_2023-10-25_at_12.39.33.jpeg</t>
  </si>
  <si>
    <t>LASM1111020001</t>
  </si>
  <si>
    <t>LASSISSI</t>
  </si>
  <si>
    <t>https://myiipea.com/media/etudiant/photo/WhatsApp_Image_2023-09-26_%C3%A0_14.05.17.jpg</t>
  </si>
  <si>
    <t>LATY1204010001</t>
  </si>
  <si>
    <t>LATH</t>
  </si>
  <si>
    <t>YANNE RHODA SOLENE CHRISTABELLE</t>
  </si>
  <si>
    <t>https://myiipea.com/media/etudiant/photo/WhatsApp_Image_2023-10-23_at_15.22.59_3.jpeg</t>
  </si>
  <si>
    <t>LATM0603040001</t>
  </si>
  <si>
    <t>LATT</t>
  </si>
  <si>
    <t>MEL JOSEPH LEVY</t>
  </si>
  <si>
    <t>https://myiipea.com/media/etudiant/photo/WhatsApp_Image_2023-10-31_at_1.20.08_PM.jpeg</t>
  </si>
  <si>
    <t>LATA2712040001</t>
  </si>
  <si>
    <t>LATTE</t>
  </si>
  <si>
    <t>ANGE JEAN VINCENT</t>
  </si>
  <si>
    <t>https://myiipea.com/media/etudiant/photo/LATTE.jpg</t>
  </si>
  <si>
    <t>LATE2503050001</t>
  </si>
  <si>
    <t>LATTROH</t>
  </si>
  <si>
    <t>EUNICE REGINE</t>
  </si>
  <si>
    <t>https://myiipea.com/media/etudiant/photo/WhatsApp_Image_2023-10-03_at_17.35.25.jpeg</t>
  </si>
  <si>
    <t>LAUG0903040001</t>
  </si>
  <si>
    <t>LAUBOUET</t>
  </si>
  <si>
    <t>GAUHI GNANANGAN GRACE PAULINE</t>
  </si>
  <si>
    <t>https://myiipea.com/media/etudiant/photo/WhatsApp_Image_2023-11-02_at_09.48.51.jpeg</t>
  </si>
  <si>
    <t>LAUC2205060001</t>
  </si>
  <si>
    <t>LAUROU</t>
  </si>
  <si>
    <t>CHRIST YANNIS FIDEL</t>
  </si>
  <si>
    <t>https://myiipea.com/media/etudiant/photo/ee805a7a-bd0f-4cfc-a70e-cbab604ca96a_fbQXNPy.jpeg</t>
  </si>
  <si>
    <t>LAWA1804030001</t>
  </si>
  <si>
    <t>LAWAL</t>
  </si>
  <si>
    <t>ABDUL-HAMED OLAWALE</t>
  </si>
  <si>
    <t>https://myiipea.com/media/etudiant/photo/WhatsApp_Image_2023-10-20_at_12.33.16_PM.jpeg</t>
  </si>
  <si>
    <t>LAWF2509040001</t>
  </si>
  <si>
    <t>LAWANI</t>
  </si>
  <si>
    <t>FARIDA FATIM</t>
  </si>
  <si>
    <t>https://myiipea.com/media/etudiant/photo/WhatsApp_Image_2023-09-29_at_13.08.28.jpeg</t>
  </si>
  <si>
    <t>LECH2712040001</t>
  </si>
  <si>
    <t>LECADOU</t>
  </si>
  <si>
    <t>HENRY EMMANUEL</t>
  </si>
  <si>
    <t>https://myiipea.com/media/etudiant/photo/e12df6ee-5e65-4673-a429-2a5cf2521136-removebg-preview.png</t>
  </si>
  <si>
    <t>LEGM2802040001</t>
  </si>
  <si>
    <t>LEGOU</t>
  </si>
  <si>
    <t>MARIE MESSIA</t>
  </si>
  <si>
    <t>https://myiipea.com/media/etudiant/photo/WhatsApp_Image_2023-10-03_at_11.17.41.jpeg</t>
  </si>
  <si>
    <t>LEGS1804020001</t>
  </si>
  <si>
    <t>LEGRE</t>
  </si>
  <si>
    <t>SERY EPHRAIM MICHEE</t>
  </si>
  <si>
    <t>https://myiipea.com/media/etudiant/photo/WhatsApp_Image_2023-10-11_at_18.01.42.jpeg</t>
  </si>
  <si>
    <t>LEHM2103040001</t>
  </si>
  <si>
    <t>LEHO</t>
  </si>
  <si>
    <t>MONZIO JERIEL</t>
  </si>
  <si>
    <t>https://myiipea.com/media/etudiant/photo/WhatsApp_Image_2023-10-20_at_17.15.52.jpeg</t>
  </si>
  <si>
    <t>LEKG2811010001</t>
  </si>
  <si>
    <t>LEKONHI</t>
  </si>
  <si>
    <t>GNONSIAN JEAN</t>
  </si>
  <si>
    <t>https://myiipea.com/media/etudiant/photo/WhatsApp_Image_2023-10-06_at_17.20.15.jpeg</t>
  </si>
  <si>
    <t>LEKD2109010001</t>
  </si>
  <si>
    <t>LEKPAHI</t>
  </si>
  <si>
    <t>DEAKEZA GRACE</t>
  </si>
  <si>
    <t>https://myiipea.com/media/etudiant/photo/WhatsApp_Image_2023-11-07_at_10.41.29.jpeg</t>
  </si>
  <si>
    <t>LENE1406010001</t>
  </si>
  <si>
    <t>LENGA</t>
  </si>
  <si>
    <t>https://myiipea.com/media/etudiant/photo/WhatsApp_Image_2023-11-13_at_12.46.48.jpeg</t>
  </si>
  <si>
    <t>LERG1302050001</t>
  </si>
  <si>
    <t>LEROUX</t>
  </si>
  <si>
    <t>GNONTY AIME WILLIAM</t>
  </si>
  <si>
    <t>https://myiipea.com/media/etudiant/photo/WhatsApp_Image_2023-10-17_at_5.55.06_PM.jpeg</t>
  </si>
  <si>
    <t>LESK0909050001</t>
  </si>
  <si>
    <t>LESSOU</t>
  </si>
  <si>
    <t>KANAN INES FALLONE</t>
  </si>
  <si>
    <t>https://myiipea.com/media/etudiant/photo/WhatsApp_Image_2023-10-06_at_18.59.26.jpeg</t>
  </si>
  <si>
    <t>LEZR2307050001</t>
  </si>
  <si>
    <t>LEZIE</t>
  </si>
  <si>
    <t>ROSE ANGE EMMANUELLA</t>
  </si>
  <si>
    <t>https://myiipea.com/media/etudiant/photo/WhatsApp_Image_2023-11-11_at_09_resized.png</t>
  </si>
  <si>
    <t>LEZD2706040001</t>
  </si>
  <si>
    <t>LEZOU</t>
  </si>
  <si>
    <t>DIBI MARC EMMANUEL ARTHUR</t>
  </si>
  <si>
    <t>https://myiipea.com/media/etudiant/photo/WhatsApp_Image_2023-10-10_at_08.43.52.jpeg</t>
  </si>
  <si>
    <t>LIAJ0806030001</t>
  </si>
  <si>
    <t>LIALI</t>
  </si>
  <si>
    <t>JEAN PHILIPPE DE GRACE</t>
  </si>
  <si>
    <t>https://myiipea.com/media/etudiant/photo/WhatsApp_Image_2023-11-21_at_12.16.09_PM.jpeg</t>
  </si>
  <si>
    <t>LIAA2810030001</t>
  </si>
  <si>
    <t>LIASSOU</t>
  </si>
  <si>
    <t>AUDREY KOUMOH</t>
  </si>
  <si>
    <t>https://myiipea.com/media/etudiant/photo/WhatsApp_Image_2023-11-21_at_09_resized.png</t>
  </si>
  <si>
    <t>LIDJ1508050001</t>
  </si>
  <si>
    <t>LIDJI</t>
  </si>
  <si>
    <t>JEMIMA MICHELE AMONE</t>
  </si>
  <si>
    <t>https://myiipea.com/media/etudiant/photo/WhatsApp_Image_2023-10-10_at_2.13.04_PM.jpeg</t>
  </si>
  <si>
    <t>LIEN0402010001</t>
  </si>
  <si>
    <t>LIEU</t>
  </si>
  <si>
    <t>NASH KELLY</t>
  </si>
  <si>
    <t>https://myiipea.com/media/etudiant/photo/WhatsApp_Image_2023-10-09_at_12.55.26.jpeg</t>
  </si>
  <si>
    <t>LIGD2708030001</t>
  </si>
  <si>
    <t>LIGUE</t>
  </si>
  <si>
    <t>DOUDOU MICAEL</t>
  </si>
  <si>
    <t>https://myiipea.com/media/etudiant/photo/WhatsApp_Image_2023-10-05_at_12.29.35.jpeg</t>
  </si>
  <si>
    <t>LOBE0205030001</t>
  </si>
  <si>
    <t>LOBA</t>
  </si>
  <si>
    <t>EMMANUELLE ANNE ESTHER</t>
  </si>
  <si>
    <t>https://myiipea.com/media/etudiant/photo/WhatsApp_Image_2023-09-28_at_18.16.00.jpeg</t>
  </si>
  <si>
    <t>LOBB1501050001</t>
  </si>
  <si>
    <t>LOBOGNON</t>
  </si>
  <si>
    <t>BEUGRE BLAH ARIELLE SAMIRA</t>
  </si>
  <si>
    <t>https://myiipea.com/media/etudiant/photo/WhatsApp_Image_2023-10-06_at_10.01.15.jpeg</t>
  </si>
  <si>
    <t>LOBK0512050001</t>
  </si>
  <si>
    <t>KOKO CATHERINE STEPHANIE AURELIA</t>
  </si>
  <si>
    <t>https://myiipea.com/media/etudiant/photo/WhatsApp_Image_2023-10-03_at_15.25.50.jpeg</t>
  </si>
  <si>
    <t>LOBY0607030001</t>
  </si>
  <si>
    <t>YVON RODOLPHE</t>
  </si>
  <si>
    <t>https://myiipea.com/media/etudiant/photo/WhatsApp_Image_2023-10-23_at_15.15.05_1.jpeg</t>
  </si>
  <si>
    <t>LOGE1603040001</t>
  </si>
  <si>
    <t>LOGNON</t>
  </si>
  <si>
    <t>EUDES HONORAT DIETHER</t>
  </si>
  <si>
    <t>https://myiipea.com/media/etudiant/photo/WhatsApp_Image_2023-10-24_at_10.02.02.jpeg</t>
  </si>
  <si>
    <t>LOHJ2612010001</t>
  </si>
  <si>
    <t>LOHOUROU</t>
  </si>
  <si>
    <t>JEAN CONSTANT</t>
  </si>
  <si>
    <t>https://myiipea.com/media/etudiant/photo/WhatsApp_Image_2023-10-26_at_13.30.15.jpeg</t>
  </si>
  <si>
    <t>LOLA1101990001</t>
  </si>
  <si>
    <t>LOLO</t>
  </si>
  <si>
    <t>AFFOUET ANGE MIREILLE</t>
  </si>
  <si>
    <t>https://myiipea.com/media/etudiant/photo/WhatsApp_Image_2023-11-07_at_11.43.03.jpeg</t>
  </si>
  <si>
    <t>LOLK2704050001</t>
  </si>
  <si>
    <t>KOUSSO IRIS SACHA</t>
  </si>
  <si>
    <t>https://myiipea.com/media/etudiant/photo/WhatsApp_Image_2023-10-05_at_15.22.11.jpeg</t>
  </si>
  <si>
    <t>LOMK2912020001</t>
  </si>
  <si>
    <t>LOME</t>
  </si>
  <si>
    <t>KOFFI JEAN HENOC</t>
  </si>
  <si>
    <t>https://myiipea.com/media/etudiant/photo/WhatsApp_Image_2023-11-22_at_12.18.20_PM.jpeg</t>
  </si>
  <si>
    <t>LONN1211030001</t>
  </si>
  <si>
    <t>LONGUET</t>
  </si>
  <si>
    <t>NOURA MANEKA YASMINE</t>
  </si>
  <si>
    <t>https://myiipea.com/media/etudiant/photo/YASMINE.jpg</t>
  </si>
  <si>
    <t>LORA1012010001</t>
  </si>
  <si>
    <t>LOROU</t>
  </si>
  <si>
    <t>ANNA LABELLE</t>
  </si>
  <si>
    <t>https://myiipea.com/media/etudiant/photo/WhatsApp_Image_2023-10-23_at_13.46.58.jpeg</t>
  </si>
  <si>
    <t>LORA1401030001</t>
  </si>
  <si>
    <t>ANGE BETO</t>
  </si>
  <si>
    <t>https://myiipea.com/media/etudiant/photo/WhatsApp_Image_2023-10-27_at_3.31.22_PM.jpeg</t>
  </si>
  <si>
    <t>LOUJ1507010001</t>
  </si>
  <si>
    <t>LOU</t>
  </si>
  <si>
    <t>JACK CAMILLE</t>
  </si>
  <si>
    <t>https://myiipea.com/media/etudiant/photo/WhatsApp_Image_2023-10-09_at_14.58.13.jpeg</t>
  </si>
  <si>
    <t>LOUR3105020001</t>
  </si>
  <si>
    <t>ROXANE INGRID</t>
  </si>
  <si>
    <t>https://myiipea.com/media/etudiant/photo/WhatsApp_Image_2023-10-03_at_15.21.44.jpeg</t>
  </si>
  <si>
    <t>LOUC1402020001</t>
  </si>
  <si>
    <t>LOUA</t>
  </si>
  <si>
    <t>CYAMA</t>
  </si>
  <si>
    <t>https://myiipea.com/media/etudiant/photo/WhatsApp_Image_2023-09-26_at_14.03.13.jpeg</t>
  </si>
  <si>
    <t>LOUG1210030001</t>
  </si>
  <si>
    <t>GOLOU KADIDJAI</t>
  </si>
  <si>
    <t>https://myiipea.com/media/etudiant/photo/WhatsApp_Image_2023-11-08_at_12.21.28_PM.jpeg</t>
  </si>
  <si>
    <t>LOUG0302050001</t>
  </si>
  <si>
    <t>GOMAN NELLY</t>
  </si>
  <si>
    <t>https://myiipea.com/media/etudiant/photo/WhatsApp_Image_2023-10-03_at_14.51.03.jpeg</t>
  </si>
  <si>
    <t>LOUK3103000001</t>
  </si>
  <si>
    <t>KOUILOU LELA NAOMIE</t>
  </si>
  <si>
    <t>https://myiipea.com/media/etudiant/photo/IIPEA_PFBigOx.jpg</t>
  </si>
  <si>
    <t>LOUK0310030001</t>
  </si>
  <si>
    <t>KOUITI MARIE ANGE</t>
  </si>
  <si>
    <t>https://myiipea.com/media/etudiant/photo/WhatsApp_Image_2023-11-07_at_08.27.36.jpeg</t>
  </si>
  <si>
    <t>LOUS2410060001</t>
  </si>
  <si>
    <t>SATI ERICA</t>
  </si>
  <si>
    <t>https://myiipea.com/media/etudiant/photo/WhatsApp_Image_2023-10-05_at_11.04.22.jpeg</t>
  </si>
  <si>
    <t>LOUA0306070001</t>
  </si>
  <si>
    <t>LOUE</t>
  </si>
  <si>
    <t>AUDREY MARIE CARMELLE</t>
  </si>
  <si>
    <t>https://myiipea.com/media/etudiant/photo/WhatsApp_Image_2023-10-04_at_08.48.37.jpeg</t>
  </si>
  <si>
    <t>LOUB0912030001</t>
  </si>
  <si>
    <t>BIAHE RUFIN DAVID JUNIOR</t>
  </si>
  <si>
    <t>https://myiipea.com/media/etudiant/photo/WhatsApp_Image_2023-09-28_at_10.15.16.jpeg</t>
  </si>
  <si>
    <t>LOUO1008040001</t>
  </si>
  <si>
    <t>OKA CYNTHIA JEMIMA</t>
  </si>
  <si>
    <t>https://myiipea.com/media/etudiant/photo/WhatsApp_Image_2023-10-05_at_13.53.50.jpeg</t>
  </si>
  <si>
    <t>LOUC1206040001</t>
  </si>
  <si>
    <t>LOUEDE</t>
  </si>
  <si>
    <t>CHRIST YVAN NATHAN</t>
  </si>
  <si>
    <t>https://myiipea.com/media/etudiant/photo/WhatsApp_Image_2023-10-03_at_14.17.38.jpeg</t>
  </si>
  <si>
    <t>LOUI0609050001</t>
  </si>
  <si>
    <t>LOUGUE</t>
  </si>
  <si>
    <t>INEBON NAOMIE GRACE</t>
  </si>
  <si>
    <t>https://myiipea.com/media/etudiant/photo/WhatsApp_Image_2023-09-14_at_14_resized.png</t>
  </si>
  <si>
    <t>LOUF2410030001</t>
  </si>
  <si>
    <t>LOUKOU</t>
  </si>
  <si>
    <t>FELICITE AYABA KOUADIO</t>
  </si>
  <si>
    <t>https://myiipea.com/media/etudiant/photo/WhatsApp_Image_2023-11-03_at_2.26.51_PM.jpeg</t>
  </si>
  <si>
    <t>LOUH0905020001</t>
  </si>
  <si>
    <t>HANNS EMMANUEL</t>
  </si>
  <si>
    <t>https://myiipea.com/media/etudiant/photo/WhatsApp_Image_2023-10-12_at_15.10.35.jpeg</t>
  </si>
  <si>
    <t>LOUA2112020001</t>
  </si>
  <si>
    <t>LOUO</t>
  </si>
  <si>
    <t>AGOUA ABIGAEL</t>
  </si>
  <si>
    <t>https://myiipea.com/media/etudiant/photo/ee805a7a-bd0f-4cfc-a70e-cbab604ca96a_4niM1yA.jpeg</t>
  </si>
  <si>
    <t>LOUG3005000001</t>
  </si>
  <si>
    <t>LOUOBA</t>
  </si>
  <si>
    <t>GBATA ANGE MICHAEL</t>
  </si>
  <si>
    <t>https://myiipea.com/media/etudiant/photo/WhatsApp_Image_2023-11-08_at_13.59.36.jpeg</t>
  </si>
  <si>
    <t>LOUK2703050001</t>
  </si>
  <si>
    <t>KPALE VINCENT DE PAUL</t>
  </si>
  <si>
    <t>https://myiipea.com/media/etudiant/photo/WhatsApp_Image_2023-11-03_at_09.44.06.jpeg</t>
  </si>
  <si>
    <t>M'BK1706020002</t>
  </si>
  <si>
    <t>M'BATRI</t>
  </si>
  <si>
    <t>KOCK MARIE-MADELEINE</t>
  </si>
  <si>
    <t>https://myiipea.com/media/etudiant/photo/WhatsApp_Image_2023-10-25_at_16.34.49.jpeg</t>
  </si>
  <si>
    <t>M'BB1302010001</t>
  </si>
  <si>
    <t>M'BAYE</t>
  </si>
  <si>
    <t>https://myiipea.com/media/etudiant/photo/WhatsApp_Image_2023-10-03_at_11.14.56_AM_CPMpodn.jpeg</t>
  </si>
  <si>
    <t>M'BC0804010001</t>
  </si>
  <si>
    <t>CHEICK TIDIANE</t>
  </si>
  <si>
    <t>https://myiipea.com/media/etudiant/photo/bc7c2665-29ad-460d-99af-aea17fea88e7-removebg-preview.png</t>
  </si>
  <si>
    <t>M'BH2908030001</t>
  </si>
  <si>
    <t>M'BI</t>
  </si>
  <si>
    <t>HONY BRYAN</t>
  </si>
  <si>
    <t>https://myiipea.com/media/etudiant/photo/bryan.jpg</t>
  </si>
  <si>
    <t>M'BK0302020001</t>
  </si>
  <si>
    <t>M'BIA</t>
  </si>
  <si>
    <t>KOKO YVONNE RACHELLE</t>
  </si>
  <si>
    <t>https://myiipea.com/media/etudiant/photo/WhatsApp_Image_2023-10-04_at_10.01.30.jpeg</t>
  </si>
  <si>
    <t>M'BA3007040001</t>
  </si>
  <si>
    <t>M'BO</t>
  </si>
  <si>
    <t>ANOMBAH ANGE CAMPBELLE</t>
  </si>
  <si>
    <t>https://myiipea.com/media/etudiant/photo/WhatsApp_Image_2023-10-30_at_7.11.37_PM.jpeg</t>
  </si>
  <si>
    <t>M'BG1507050001</t>
  </si>
  <si>
    <t>GBAKRE ACHI ANGE EMMANUELLA</t>
  </si>
  <si>
    <t>https://myiipea.com/media/etudiant/photo/WhatsApp_Image_2023-10-03_at_10.02.57.jpeg</t>
  </si>
  <si>
    <t>M'BR0106020001</t>
  </si>
  <si>
    <t>M'BOA</t>
  </si>
  <si>
    <t>REGINA AZON ROSANA</t>
  </si>
  <si>
    <t>https://myiipea.com/media/etudiant/photo/WhatsApp_Image_2023-10-19_at_3.24.47_PM.jpeg</t>
  </si>
  <si>
    <t>M'BC1412040001</t>
  </si>
  <si>
    <t>M'BOUA</t>
  </si>
  <si>
    <t>CHRIST MARIE URIELLE ASTRIDE</t>
  </si>
  <si>
    <t>https://myiipea.com/media/etudiant/photo/WhatsApp_Image_2023-10-04_at_17.01.26_1_4wfz8YS.jpeg</t>
  </si>
  <si>
    <t>M'BE1808040001</t>
  </si>
  <si>
    <t>ESSIGBE GRACE BETTY LANDRIE</t>
  </si>
  <si>
    <t>https://myiipea.com/media/etudiant/photo/WhatsApp_Image_2023-09-20_at_14.49.38.jpeg</t>
  </si>
  <si>
    <t>M'BM2309020001</t>
  </si>
  <si>
    <t>M'BAFE EMILIE VICTORIA</t>
  </si>
  <si>
    <t>https://myiipea.com/media/etudiant/photo/WhatsApp_Image_2023-10-03_at_16.24.01.jpeg</t>
  </si>
  <si>
    <t>M'BK1305020001</t>
  </si>
  <si>
    <t>M'BOUMBA</t>
  </si>
  <si>
    <t>KLOUSSA CAROLLE</t>
  </si>
  <si>
    <t>https://myiipea.com/media/etudiant/photo/WhatsApp_Image_2023-11-17_at_3.08.28_PM.jpeg</t>
  </si>
  <si>
    <t>M'BA2512020001</t>
  </si>
  <si>
    <t>M'BRA</t>
  </si>
  <si>
    <t>ANNE BERENICE EMMANUELLA</t>
  </si>
  <si>
    <t>https://myiipea.com/media/etudiant/photo/WhatsApp_Image_2023-10-26_at_4.14.48_PM.jpeg</t>
  </si>
  <si>
    <t>M'BC2307960001</t>
  </si>
  <si>
    <t>CAROL</t>
  </si>
  <si>
    <t>https://myiipea.com/media/etudiant/photo/WhatsApp_Image_2023-10-31_at_15.11.41.jpeg</t>
  </si>
  <si>
    <t>M'BT0804020001</t>
  </si>
  <si>
    <t>M'BULA</t>
  </si>
  <si>
    <t>TABITHA ITHIEL</t>
  </si>
  <si>
    <t>https://myiipea.com/media/etudiant/photo/WhatsApp_Image_2023-11-06_at_1.18.37_PM.jpeg</t>
  </si>
  <si>
    <t>MADG0612030001</t>
  </si>
  <si>
    <t>MADOU</t>
  </si>
  <si>
    <t>GBEULEGBRE GRACE  PLUTARD</t>
  </si>
  <si>
    <t>https://myiipea.com/media/etudiant/photo/WhatsApp_Image_2023-10-18_at_1.23.34_PM.jpeg</t>
  </si>
  <si>
    <t>MAHS1105020001</t>
  </si>
  <si>
    <t>MAHAMAN</t>
  </si>
  <si>
    <t>SEKOU MAINNOU KAMAGATE</t>
  </si>
  <si>
    <t>https://myiipea.com/media/etudiant/photo/WhatsApp_Image_2023-10-04_at_1.01.53_PM.jpeg</t>
  </si>
  <si>
    <t>MAHB0612010001</t>
  </si>
  <si>
    <t>MAHAN</t>
  </si>
  <si>
    <t>BOCANOU YVES YALES</t>
  </si>
  <si>
    <t>https://myiipea.com/media/etudiant/photo/WhatsApp_Image_2023-11-16_at_16.25.23.jpeg</t>
  </si>
  <si>
    <t>MAHD1707990001</t>
  </si>
  <si>
    <t>MAHI</t>
  </si>
  <si>
    <t>DODOHONON ELLA</t>
  </si>
  <si>
    <t>https://myiipea.com/media/etudiant/photo/WhatsApp_Image_2023-10-16_at_3.01.43_PM.jpeg</t>
  </si>
  <si>
    <t>MAHL1805010001</t>
  </si>
  <si>
    <t>LAETITIA CARMEN</t>
  </si>
  <si>
    <t>https://myiipea.com/media/etudiant/photo/WhatsApp_Image_2023-10-13_at_10.30.38.jpeg</t>
  </si>
  <si>
    <t>MAIF2304030001</t>
  </si>
  <si>
    <t>MAIGA</t>
  </si>
  <si>
    <t>FATIM ASSOMAN</t>
  </si>
  <si>
    <t>https://myiipea.com/media/etudiant/photo/WhatsApp_Image_2023-10-09_at_19.01.02.jpeg</t>
  </si>
  <si>
    <t>MAIF1310030001</t>
  </si>
  <si>
    <t>https://myiipea.com/media/etudiant/photo/WhatsApp_Image_2023-10-04_at_11.15.23.jpeg</t>
  </si>
  <si>
    <t>MAIH2907030001</t>
  </si>
  <si>
    <t>https://myiipea.com/media/etudiant/photo/WhatsApp_Image_2023-09-29_at_10.34.15.jpeg</t>
  </si>
  <si>
    <t>MALK1505050001</t>
  </si>
  <si>
    <t>MALAN</t>
  </si>
  <si>
    <t>https://myiipea.com/media/etudiant/photo/WhatsApp_Image_2023-10-13_at_18.17.07.jpeg</t>
  </si>
  <si>
    <t>MALK2201010001</t>
  </si>
  <si>
    <t>KOUASSI MIABAELAI ALPHONSE</t>
  </si>
  <si>
    <t>https://myiipea.com/media/etudiant/photo/WhatsApp_Image_2023-09-25_at_15.37.51.jpeg</t>
  </si>
  <si>
    <t>MALM0309060003</t>
  </si>
  <si>
    <t>MOYE MARIE OLIVIERE INES</t>
  </si>
  <si>
    <t>https://myiipea.com/media/etudiant/photo/WhatsApp_Image_2023-10-30_at_10.49.05_BdM21NA.jpeg</t>
  </si>
  <si>
    <t>MALM2001030001</t>
  </si>
  <si>
    <t>MALBILA</t>
  </si>
  <si>
    <t>MARIE OCEANE ORLANDE</t>
  </si>
  <si>
    <t>https://myiipea.com/media/etudiant/photo/WhatsApp_Image_2023-10-26_at_11.07.59.jpeg</t>
  </si>
  <si>
    <t>MALS1510020001</t>
  </si>
  <si>
    <t>MALKA</t>
  </si>
  <si>
    <t>SOUFYANE</t>
  </si>
  <si>
    <t>https://myiipea.com/media/etudiant/photo/WhatsApp_Image_2023-10-23_at_3.28.48_PM.jpeg</t>
  </si>
  <si>
    <t>MAMH0407040001</t>
  </si>
  <si>
    <t>MAMBY</t>
  </si>
  <si>
    <t>HOUMIZERE MOREL CHRIS-EMMANUEL</t>
  </si>
  <si>
    <t>https://myiipea.com/media/etudiant/photo/WhatsApp_Image_2023-10-05_at_08.50.01.jpeg</t>
  </si>
  <si>
    <t>MAMM0206040001</t>
  </si>
  <si>
    <t>MAME</t>
  </si>
  <si>
    <t>MARIE JOELLE ANASTHASIE</t>
  </si>
  <si>
    <t>https://myiipea.com/media/etudiant/photo/WhatsApp_Image_2023-10-12_at_4.28.56_PM.jpeg</t>
  </si>
  <si>
    <t>MAMR0102050001</t>
  </si>
  <si>
    <t>MAMEN</t>
  </si>
  <si>
    <t>RODIA ODILE</t>
  </si>
  <si>
    <t>https://myiipea.com/media/etudiant/photo/WhatsApp_Image_2023-09-28_at_17.50.00.jpeg</t>
  </si>
  <si>
    <t>MAND1806000001</t>
  </si>
  <si>
    <t>MANFOUO</t>
  </si>
  <si>
    <t>DADJO DANIELLE ANGE</t>
  </si>
  <si>
    <t>https://myiipea.com/media/etudiant/photo/WhatsApp_Image_2023-10-18_at_4.13.52_PM.jpeg</t>
  </si>
  <si>
    <t>MANF1204040001</t>
  </si>
  <si>
    <t>MANGANE</t>
  </si>
  <si>
    <t>https://myiipea.com/media/etudiant/photo/WhatsApp_Image_2023-10-06_at_5.51.43_PM.jpeg</t>
  </si>
  <si>
    <t>MANM2712000001</t>
  </si>
  <si>
    <t>https://myiipea.com/media/etudiant/photo/WhatsApp_Image_2023-10-10_at_11.47.04_AM.jpeg</t>
  </si>
  <si>
    <t>MANB1402030001</t>
  </si>
  <si>
    <t>MANI</t>
  </si>
  <si>
    <t>BOTTOBIE EUNICE SEPHORA</t>
  </si>
  <si>
    <t>https://myiipea.com/media/etudiant/photo/WhatsApp_Image_2023-11-16_at_12.08.30.jpeg</t>
  </si>
  <si>
    <t>MANL2405030001</t>
  </si>
  <si>
    <t>MANIGA</t>
  </si>
  <si>
    <t>LEIKEU ILE VITOIRE</t>
  </si>
  <si>
    <t>https://myiipea.com/media/etudiant/photo/WhatsApp_Image_2023-11-13_at_3.57.52_PM.jpeg</t>
  </si>
  <si>
    <t>MANA2601030001</t>
  </si>
  <si>
    <t>MANINGA</t>
  </si>
  <si>
    <t>ALI RIDIWAN</t>
  </si>
  <si>
    <t>https://myiipea.com/media/etudiant/photo/WhatsApp_Image_2023-10-06_at_5.31.47_PM.jpeg</t>
  </si>
  <si>
    <t>MANA3103040001</t>
  </si>
  <si>
    <t>AMY MATOGBA</t>
  </si>
  <si>
    <t>https://myiipea.com/media/etudiant/photo/WhatsApp_Image_2023-10-17_at_2.33.22_PM.jpeg</t>
  </si>
  <si>
    <t>MANJ3007000001</t>
  </si>
  <si>
    <t>MANIZAN</t>
  </si>
  <si>
    <t>JEAN JOSEPH ANDRE LIONEL</t>
  </si>
  <si>
    <t>https://myiipea.com/media/etudiant/photo/WhatsApp_Image_2023-10-03_at_08.44.56.jpeg</t>
  </si>
  <si>
    <t>MANA2402020001</t>
  </si>
  <si>
    <t>MANKOUA</t>
  </si>
  <si>
    <t>ABROGOUA PIERRE LEVI EMMANUEL</t>
  </si>
  <si>
    <t>https://myiipea.com/media/etudiant/photo/WhatsApp_Image_2023-10-09_at_13.36.26.jpeg</t>
  </si>
  <si>
    <t>MANM2803040001</t>
  </si>
  <si>
    <t>MANLAN</t>
  </si>
  <si>
    <t>MARIE ANNE-SARAH</t>
  </si>
  <si>
    <t>https://myiipea.com/media/etudiant/photo/WhatsApp_Image_2023-10-09_at_12.01.15.jpeg</t>
  </si>
  <si>
    <t>MANM1504020001</t>
  </si>
  <si>
    <t>MARIE-THERESE AHOU AIMEE RINETTE</t>
  </si>
  <si>
    <t>https://myiipea.com/media/etudiant/photo/WhatsApp_Image_2023-09-21_at_10.04.28.jpeg</t>
  </si>
  <si>
    <t>MANC0612050001</t>
  </si>
  <si>
    <t>MANNI</t>
  </si>
  <si>
    <t>CLAUDINE SOPI N'NILI GRACE</t>
  </si>
  <si>
    <t>https://myiipea.com/media/etudiant/photo/WhatsApp_Image_2023-10-04_at_12.10.39.jpeg</t>
  </si>
  <si>
    <t>MANA2307050001</t>
  </si>
  <si>
    <t>MANOU</t>
  </si>
  <si>
    <t>ADJOUA CECILE</t>
  </si>
  <si>
    <t>https://myiipea.com/media/etudiant/photo/WhatsApp_Image_2023-10-02_at_17.06.06.jpeg</t>
  </si>
  <si>
    <t>MANA2509030001</t>
  </si>
  <si>
    <t>MANOUAN</t>
  </si>
  <si>
    <t>ABLAN HENRIETTE MARIOSSE</t>
  </si>
  <si>
    <t>https://myiipea.com/media/etudiant/photo/WhatsApp_Image_2023-10-25_at_17.21.48.jpeg</t>
  </si>
  <si>
    <t>MAOM1504030001</t>
  </si>
  <si>
    <t>MAO</t>
  </si>
  <si>
    <t>MONHINNEDI ROXANE DELIMA</t>
  </si>
  <si>
    <t>https://myiipea.com/media/etudiant/photo/IIPEA_SkmKdWh.jpg</t>
  </si>
  <si>
    <t>MARA2903040001</t>
  </si>
  <si>
    <t>MARCEL</t>
  </si>
  <si>
    <t>AMAH MARIE CHRISTELLE JOURNEUX</t>
  </si>
  <si>
    <t>https://myiipea.com/media/etudiant/photo/WhatsApp_Image_2023-11-08_at_12.20.41_PM.jpeg</t>
  </si>
  <si>
    <t>MART0710030001</t>
  </si>
  <si>
    <t>MARE</t>
  </si>
  <si>
    <t>THERESE</t>
  </si>
  <si>
    <t>https://myiipea.com/media/etudiant/photo/WhatsApp_Image_2023-11-20_at_16.13.54.jpeg</t>
  </si>
  <si>
    <t>MASD2312030001</t>
  </si>
  <si>
    <t>MASSOUEU</t>
  </si>
  <si>
    <t>DEVINCI EMMANUEL</t>
  </si>
  <si>
    <t>https://myiipea.com/media/etudiant/photo/WhatsApp_Image_2023-10-16_at_11.03.23.jpeg</t>
  </si>
  <si>
    <t>MATM0607040001</t>
  </si>
  <si>
    <t>MATHY</t>
  </si>
  <si>
    <t>MARC AUREL</t>
  </si>
  <si>
    <t>https://myiipea.com/media/etudiant/photo/WhatsApp_Image_2023-11-02_at_12.44.58.jpeg</t>
  </si>
  <si>
    <t>MAUA0105020001</t>
  </si>
  <si>
    <t>MAUD</t>
  </si>
  <si>
    <t>ANNA MARIAM ESTELLE</t>
  </si>
  <si>
    <t>https://myiipea.com/media/etudiant/photo/WhatsApp_Image_2023-10-10_at_10.24.11.jpeg</t>
  </si>
  <si>
    <t>MAYI2606990001</t>
  </si>
  <si>
    <t>MAYAU</t>
  </si>
  <si>
    <t>ISRAEL</t>
  </si>
  <si>
    <t>https://myiipea.com/media/etudiant/photo/WhatsApp_Image_2023-11-02_at_11.17.59.jpeg</t>
  </si>
  <si>
    <t>M'BN0703030001</t>
  </si>
  <si>
    <t>MBAPPE</t>
  </si>
  <si>
    <t>N'GASSE ORIANE</t>
  </si>
  <si>
    <t>https://myiipea.com/media/etudiant/photo/WhatsApp_Image_2023-10-12_at_1.31.14_PM.jpeg</t>
  </si>
  <si>
    <t>MEAA2801030001</t>
  </si>
  <si>
    <t>MEA</t>
  </si>
  <si>
    <t>ASSOA WILFRIED</t>
  </si>
  <si>
    <t>https://myiipea.com/media/etudiant/photo/WhatsApp_Image_2023-10-12_at_09.11.21.jpeg</t>
  </si>
  <si>
    <t>MEDS0802970001</t>
  </si>
  <si>
    <t>MEDA</t>
  </si>
  <si>
    <t>SANYIRIKPINMENAN ARNAUD</t>
  </si>
  <si>
    <t>https://myiipea.com/media/etudiant/photo/WhatsApp_Image_2023-11-23_at_12.40.26_PM.jpeg</t>
  </si>
  <si>
    <t>MEDK1106050001</t>
  </si>
  <si>
    <t>MEDEBA</t>
  </si>
  <si>
    <t>KOUADIO KOUAME BERNERO</t>
  </si>
  <si>
    <t>https://myiipea.com/media/etudiant/photo/BEDEBA.jpg</t>
  </si>
  <si>
    <t>MEHK1101040001</t>
  </si>
  <si>
    <t>MEH</t>
  </si>
  <si>
    <t>KOSSIA GRACE</t>
  </si>
  <si>
    <t>https://myiipea.com/media/etudiant/photo/IMG_7131_resized.png</t>
  </si>
  <si>
    <t>MEHM0901010001</t>
  </si>
  <si>
    <t>METUSCHELAH GNAMTCHE DANIEL</t>
  </si>
  <si>
    <t>https://myiipea.com/media/etudiant/photo/WhatsApp_Image_2023-10-02_at_18.08.19.jpeg</t>
  </si>
  <si>
    <t>MEIA2811010001</t>
  </si>
  <si>
    <t>MEITE</t>
  </si>
  <si>
    <t>https://myiipea.com/media/etudiant/photo/MEITE.jpg</t>
  </si>
  <si>
    <t>MEIA1212000002</t>
  </si>
  <si>
    <t>https://myiipea.com/media/etudiant/photo/WhatsApp_Image_2023-10-18_at_12.32.37_PM.jpeg</t>
  </si>
  <si>
    <t>MEID0712020001</t>
  </si>
  <si>
    <t>DRISSA ROMARIC</t>
  </si>
  <si>
    <t>https://myiipea.com/media/etudiant/photo/WhatsApp_Image_2023-10-13_at_15.18.41.jpeg</t>
  </si>
  <si>
    <t>MEIM1605050001</t>
  </si>
  <si>
    <t>https://myiipea.com/media/etudiant/photo/WhatsApp_Image_2023-10-12_at_14.21.41.jpeg</t>
  </si>
  <si>
    <t>MEIL2711020001</t>
  </si>
  <si>
    <t>LASSANA</t>
  </si>
  <si>
    <t>https://myiipea.com/media/etudiant/photo/WhatsApp_Image_2023-10-30_at_13.02.24.jpeg</t>
  </si>
  <si>
    <t>MELG2607040001</t>
  </si>
  <si>
    <t>MEL</t>
  </si>
  <si>
    <t>GNAGNE  ROMANCE  FERNANDINE</t>
  </si>
  <si>
    <t>https://myiipea.com/media/etudiant/photo/WhatsApp_Image_2023-10-16_at_12.23.30.jpeg</t>
  </si>
  <si>
    <t>MELM0805050001</t>
  </si>
  <si>
    <t>MELESS YOANE JEAN-PAUL</t>
  </si>
  <si>
    <t>https://myiipea.com/media/etudiant/photo/WhatsApp_Image_2023-10-05_at_1_resized.png</t>
  </si>
  <si>
    <t>MELN2905030001</t>
  </si>
  <si>
    <t>MELAGNE</t>
  </si>
  <si>
    <t>NIGUE JOSEPH EMMANUEL</t>
  </si>
  <si>
    <t>https://myiipea.com/media/etudiant/photo/WhatsApp_Image_2023-10-23_at_16.30.52.jpeg</t>
  </si>
  <si>
    <t>MELE2709030001</t>
  </si>
  <si>
    <t>MELAN</t>
  </si>
  <si>
    <t>ELIE JUNIOR OTOFIO</t>
  </si>
  <si>
    <t>https://myiipea.com/media/etudiant/photo/df908c51-496b-460f-aad2-4bde487b691b-removebg-preview.png</t>
  </si>
  <si>
    <t>MELG2501050001</t>
  </si>
  <si>
    <t>MELESS</t>
  </si>
  <si>
    <t>GRACE CELESTE</t>
  </si>
  <si>
    <t>https://myiipea.com/media/etudiant/photo/WhatsApp_Image_2023-09-18_at_14.46.21.jpeg</t>
  </si>
  <si>
    <t>MEMA0403020001</t>
  </si>
  <si>
    <t>MEMEL</t>
  </si>
  <si>
    <t>AGNERO SAMUEL</t>
  </si>
  <si>
    <t>https://myiipea.com/media/etudiant/photo/WhatsApp_Image_2023-09-29_at_18.34.49.jpeg</t>
  </si>
  <si>
    <t>MEMA1909050001</t>
  </si>
  <si>
    <t>ALEXIA ORNELLA MELEME</t>
  </si>
  <si>
    <t>https://myiipea.com/media/etudiant/photo/WhatsApp_Image_2023-10-12_at_15.30.47.jpeg</t>
  </si>
  <si>
    <t>MENA0801060001</t>
  </si>
  <si>
    <t>MENSAH</t>
  </si>
  <si>
    <t>AKOLY GEDEON DAVID</t>
  </si>
  <si>
    <t>https://myiipea.com/media/etudiant/photo/WhatsApp_Image_2023-10-25_at_11.32.29.jpeg</t>
  </si>
  <si>
    <t>MENE1402050001</t>
  </si>
  <si>
    <t>ELIE OBED</t>
  </si>
  <si>
    <t>https://myiipea.com/media/etudiant/photo/WhatsApp_Image_2023-10-12_at_12.43.54.jpeg</t>
  </si>
  <si>
    <t>MENB1307050002</t>
  </si>
  <si>
    <t>MENSANH</t>
  </si>
  <si>
    <t>BAKON ORNELLA FAISSOLATTE</t>
  </si>
  <si>
    <t>https://myiipea.com/media/etudiant/photo/WhatsApp_Image_2023-09-21_at_16.26.32.jpeg</t>
  </si>
  <si>
    <t>MESG1001020001</t>
  </si>
  <si>
    <t>MESSAN</t>
  </si>
  <si>
    <t>GRACE</t>
  </si>
  <si>
    <t>https://myiipea.com/media/etudiant/photo/WhatsApp_Image_2023-11-23_at_4.02.10_PM.jpeg</t>
  </si>
  <si>
    <t>MESA1712910001</t>
  </si>
  <si>
    <t>MESSOU</t>
  </si>
  <si>
    <t>AIMEE FLORA</t>
  </si>
  <si>
    <t>https://myiipea.com/media/etudiant/photo/Logo_EMATECH_9s1bEpy.png</t>
  </si>
  <si>
    <t>MESA0512960001</t>
  </si>
  <si>
    <t>ANNE SYNTYCHE</t>
  </si>
  <si>
    <t>https://myiipea.com/media/etudiant/photo/Logo_EMATECH_mxp5LsB.png</t>
  </si>
  <si>
    <t>METE2611030001</t>
  </si>
  <si>
    <t>METCH</t>
  </si>
  <si>
    <t>ESSI STEPHANIE FRANCKLINE</t>
  </si>
  <si>
    <t>https://myiipea.com/media/etudiant/photo/WhatsApp_Image_2023-10-05_at_12.31.45.jpeg</t>
  </si>
  <si>
    <t>METZ0308040001</t>
  </si>
  <si>
    <t>METOUA</t>
  </si>
  <si>
    <t>ZLANHUMPIE ESTHER QUETURA</t>
  </si>
  <si>
    <t>https://myiipea.com/media/etudiant/photo/239422487_405915444207421_8131329350063382999_n_oZGaghZ.jpg</t>
  </si>
  <si>
    <t>MIAH3012990001</t>
  </si>
  <si>
    <t>MIALE</t>
  </si>
  <si>
    <t>HENRI JOEL</t>
  </si>
  <si>
    <t>https://myiipea.com/media/etudiant/photo/WhatsApp_Image_2023-10-23_at_15.22.59_6.jpeg</t>
  </si>
  <si>
    <t>MIAA2702040001</t>
  </si>
  <si>
    <t>MIAN</t>
  </si>
  <si>
    <t>ANO-BLA TIARA ALYA</t>
  </si>
  <si>
    <t>https://myiipea.com/media/etudiant/photo/WhatsApp_Image_2023-10-05_at_10.14.51.jpeg</t>
  </si>
  <si>
    <t>MIAD2803030001</t>
  </si>
  <si>
    <t>DETTY RUTH CARMELLE</t>
  </si>
  <si>
    <t>https://myiipea.com/media/etudiant/photo/WhatsApp_Image_2023-11-10_at_12.55.41.jpeg</t>
  </si>
  <si>
    <t>MIAE1902020001</t>
  </si>
  <si>
    <t>EHOUMAN DAVID EMMANUEL</t>
  </si>
  <si>
    <t>https://myiipea.com/media/etudiant/photo/WhatsApp_Image_2023-09-29_at_17.03.20.jpeg</t>
  </si>
  <si>
    <t>MIAK2109050001</t>
  </si>
  <si>
    <t>KOUAME PAUL-MARIE</t>
  </si>
  <si>
    <t>https://myiipea.com/media/etudiant/photo/WhatsApp_Image_2023-09-20_at_14.31.11.jpeg</t>
  </si>
  <si>
    <t>MIAJ2601010001</t>
  </si>
  <si>
    <t>MIARAM</t>
  </si>
  <si>
    <t>https://myiipea.com/media/etudiant/photo/WhatsApp_Image_2023-11-16_at_15.10.20.jpeg</t>
  </si>
  <si>
    <t>MIEE1206010001</t>
  </si>
  <si>
    <t>MIESSAN</t>
  </si>
  <si>
    <t>EYA RUTH GRACE ORNELLA</t>
  </si>
  <si>
    <t>https://myiipea.com/media/etudiant/photo/WhatsApp_Image_2023-10-03_at_17.44.35.jpeg</t>
  </si>
  <si>
    <t>MIEH2401030001</t>
  </si>
  <si>
    <t>MIEZAN</t>
  </si>
  <si>
    <t>HOMA ASTRIDE DANIELA ARIANE</t>
  </si>
  <si>
    <t>https://myiipea.com/media/etudiant/photo/WhatsApp_Image_2023-11-06_at_12.26.36_PM.jpeg</t>
  </si>
  <si>
    <t>MILN1302030001</t>
  </si>
  <si>
    <t>MILLIMONO</t>
  </si>
  <si>
    <t>NENE BORIS FIACRE</t>
  </si>
  <si>
    <t>https://myiipea.com/media/etudiant/photo/WhatsApp_Image_2023-10-30_at_16.16.50_1.jpeg</t>
  </si>
  <si>
    <t>MILM0301010001</t>
  </si>
  <si>
    <t>MILLOGO</t>
  </si>
  <si>
    <t>MARIE CHRISTINE ANNIE</t>
  </si>
  <si>
    <t>GESTION DE L'ENVIRONEMENT ET DES RESSOURCES NATURELLES</t>
  </si>
  <si>
    <t>https://myiipea.com/media/etudiant/photo/WhatsApp_Image_2023-11-02_at_6.34.37_PM.jpeg</t>
  </si>
  <si>
    <t>MIMB0905050001</t>
  </si>
  <si>
    <t>MIMI</t>
  </si>
  <si>
    <t>BOUGOULEHI CINTHIA CARROLE</t>
  </si>
  <si>
    <t>https://myiipea.com/media/etudiant/photo/WhatsApp_Image_2023-09-28_at_16_resized.png</t>
  </si>
  <si>
    <t>MINC0201020001</t>
  </si>
  <si>
    <t>MINATA</t>
  </si>
  <si>
    <t>https://myiipea.com/media/etudiant/photo/WhatsApp_Image_2023-10-16_at_5.52.34_PM.jpeg</t>
  </si>
  <si>
    <t>MINM1702010001</t>
  </si>
  <si>
    <t>MINOUGOUN</t>
  </si>
  <si>
    <t>MAMOUNATA</t>
  </si>
  <si>
    <t>https://myiipea.com/media/etudiant/photo/WhatsApp_Image_2023-10-30_at_16.23.01.jpeg</t>
  </si>
  <si>
    <t>MOBA1905030001</t>
  </si>
  <si>
    <t>MOBIO</t>
  </si>
  <si>
    <t>ATTOUO FLORINDA ADELAIDE</t>
  </si>
  <si>
    <t>https://myiipea.com/media/etudiant/photo/WhatsApp_Image_2023-09-29_at_15.22.28.jpeg</t>
  </si>
  <si>
    <t>MOBB2407010001</t>
  </si>
  <si>
    <t>BECKET ASSIMBIE ALICE CHRISTINA</t>
  </si>
  <si>
    <t>https://myiipea.com/media/etudiant/photo/WhatsApp_Image_2023-10-18_at_09.59.31.jpeg</t>
  </si>
  <si>
    <t>MOBM0907030001</t>
  </si>
  <si>
    <t>MARC ISRAEL</t>
  </si>
  <si>
    <t>https://myiipea.com/media/etudiant/photo/WhatsApp_Image_2023-10-04_at_11.30.27.jpeg</t>
  </si>
  <si>
    <t>MOBW1602060001</t>
  </si>
  <si>
    <t>WODANBIE MARIE-PAULE LYDIE</t>
  </si>
  <si>
    <t>https://myiipea.com/media/etudiant/photo/WhatsApp_Image_2023-10-23_at_13.41.23.jpeg</t>
  </si>
  <si>
    <t>MOCK0811010001</t>
  </si>
  <si>
    <t>MOCKEY</t>
  </si>
  <si>
    <t>KODJO JEAN-CHARLES LEONCE</t>
  </si>
  <si>
    <t>https://myiipea.com/media/etudiant/photo/WhatsApp_Image_2023-10-12_at_12_resized.png</t>
  </si>
  <si>
    <t>MOHY2103010001</t>
  </si>
  <si>
    <t>YIMA</t>
  </si>
  <si>
    <t>https://myiipea.com/media/etudiant/photo/WhatsApp_Image_2023-09-21_at_09.52.26.jpeg</t>
  </si>
  <si>
    <t>MONK1307020001</t>
  </si>
  <si>
    <t>MONGUEHI</t>
  </si>
  <si>
    <t>KEASSA DEBORAH</t>
  </si>
  <si>
    <t>https://myiipea.com/media/etudiant/photo/WhatsApp_Image_2023-09-19_%C3%A0_11.40.22.jpg</t>
  </si>
  <si>
    <t>MONM1305010001</t>
  </si>
  <si>
    <t>MONI</t>
  </si>
  <si>
    <t>https://myiipea.com/media/etudiant/photo/MONI.jpg</t>
  </si>
  <si>
    <t>MONA2612030001</t>
  </si>
  <si>
    <t>MONNET</t>
  </si>
  <si>
    <t>AKINDE JULIETTE MELISSA</t>
  </si>
  <si>
    <t>https://myiipea.com/media/etudiant/photo/WhatsApp_Image_2023-09-28_at_15.18.17.jpeg</t>
  </si>
  <si>
    <t>MONK1109020001</t>
  </si>
  <si>
    <t>MONTCHO</t>
  </si>
  <si>
    <t>KAYI DELPHINE EMMANUELA</t>
  </si>
  <si>
    <t>https://myiipea.com/media/etudiant/photo/WhatsApp_Image_2023-10-20_at_14.17.38.jpeg</t>
  </si>
  <si>
    <t>MONT2908050001</t>
  </si>
  <si>
    <t>MONTIEKA</t>
  </si>
  <si>
    <t>TROGNINON ABRAHAM</t>
  </si>
  <si>
    <t>https://myiipea.com/media/etudiant/photo/WhatsApp_Image_2023-10-02_at_13.25.59.jpeg</t>
  </si>
  <si>
    <t>MONK0608000001</t>
  </si>
  <si>
    <t>MONTONGOU</t>
  </si>
  <si>
    <t>KOSSI JEAN CHARLES</t>
  </si>
  <si>
    <t>https://myiipea.com/media/etudiant/photo/CHARLES.jpg</t>
  </si>
  <si>
    <t>MORL1901040001</t>
  </si>
  <si>
    <t>MOROKO</t>
  </si>
  <si>
    <t>LAHON SEPHORA YASMINE</t>
  </si>
  <si>
    <t>https://myiipea.com/media/etudiant/photo/WhatsApp_Image_2023-10-05_at_13.10.54.jpeg</t>
  </si>
  <si>
    <t>MOSM2806050001</t>
  </si>
  <si>
    <t>MOSSO</t>
  </si>
  <si>
    <t>MARIE-LYZ YASMINE</t>
  </si>
  <si>
    <t>https://myiipea.com/media/etudiant/photo/WhatsApp_Image_2023-10-09_at_11.06.26.jpeg</t>
  </si>
  <si>
    <t>MOSE1107040001</t>
  </si>
  <si>
    <t>MOSSOU</t>
  </si>
  <si>
    <t>EBA MARIE LORYNE</t>
  </si>
  <si>
    <t>https://myiipea.com/media/etudiant/photo/WhatsApp_Image_2023-10-02_at_18.12.14.jpeg</t>
  </si>
  <si>
    <t>MOUR1812040001</t>
  </si>
  <si>
    <t>MOUAMED NOUHOU</t>
  </si>
  <si>
    <t>RANIATOU</t>
  </si>
  <si>
    <t>https://myiipea.com/media/etudiant/photo/WhatsApp_Image_2023-10-03_at_12_resized.png</t>
  </si>
  <si>
    <t>MOUG0809020001</t>
  </si>
  <si>
    <t>MOUHO</t>
  </si>
  <si>
    <t>GUEI KALICE JUNIOR</t>
  </si>
  <si>
    <t>https://myiipea.com/media/etudiant/photo/WhatsApp_Image_2023-11-13_at_1.37.00_PM.jpeg</t>
  </si>
  <si>
    <t>MOUO1401020001</t>
  </si>
  <si>
    <t>MOUHYIDINE</t>
  </si>
  <si>
    <t>OUSMANE SALAH</t>
  </si>
  <si>
    <t>https://myiipea.com/media/etudiant/photo/IMG-20231123-WA0020.jpg</t>
  </si>
  <si>
    <t>MOUD2806030001</t>
  </si>
  <si>
    <t>MOULOU</t>
  </si>
  <si>
    <t>DOLIHA EVELYNE</t>
  </si>
  <si>
    <t>https://myiipea.com/media/etudiant/photo/WhatsApp_Image_2023-11-10_at_10.58.00.jpeg</t>
  </si>
  <si>
    <t>MOUE0501040001</t>
  </si>
  <si>
    <t>MOUN-BOLE</t>
  </si>
  <si>
    <t>EMLYSS MARIE LELLMAMM OLIVIA STESSY</t>
  </si>
  <si>
    <t>https://myiipea.com/media/etudiant/photo/IIPEA_KHHQxOf.jpg</t>
  </si>
  <si>
    <t>MOUF0206040001</t>
  </si>
  <si>
    <t>FATOU MARIE INES</t>
  </si>
  <si>
    <t>https://myiipea.com/media/etudiant/photo/WhatsApp_Image_2023-10-05_at_12.57.42.jpeg</t>
  </si>
  <si>
    <t>MOUS2607020001</t>
  </si>
  <si>
    <t>STEPHANIE SAIDAT ADESOLA</t>
  </si>
  <si>
    <t>https://myiipea.com/media/etudiant/photo/WhatsApp_Image_2023-11-29_at_6.13.11_PM.jpeg</t>
  </si>
  <si>
    <t>MPAL3005030001</t>
  </si>
  <si>
    <t>MPANDZOU</t>
  </si>
  <si>
    <t>LORIS KANTIN</t>
  </si>
  <si>
    <t>https://myiipea.com/media/etudiant/photo/WhatsApp_Image_2023-10-16_at_16.26.54.jpeg</t>
  </si>
  <si>
    <t>MUIS1506030001</t>
  </si>
  <si>
    <t>MUIBI</t>
  </si>
  <si>
    <t>SURURATU ARIKE NOURIA</t>
  </si>
  <si>
    <t>https://myiipea.com/media/etudiant/photo/WhatsApp_Image_2023-10-30_at_13.16.01.jpeg</t>
  </si>
  <si>
    <t>MUSA2203040001</t>
  </si>
  <si>
    <t>MUSA</t>
  </si>
  <si>
    <t>https://myiipea.com/media/etudiant/photo/WhatsApp_Image_2023-10-30_at_11.25.19.jpeg</t>
  </si>
  <si>
    <t>N'BE1109010001</t>
  </si>
  <si>
    <t>N'BOUAFO</t>
  </si>
  <si>
    <t>ERICKA MICHELLE</t>
  </si>
  <si>
    <t>https://myiipea.com/media/etudiant/photo/WhatsApp_Image_2023-11-30_at_16.15.26_1.jpeg</t>
  </si>
  <si>
    <t>N'CP0901060001</t>
  </si>
  <si>
    <t>N'CHO</t>
  </si>
  <si>
    <t>PAUL ARTHUR</t>
  </si>
  <si>
    <t>https://myiipea.com/media/etudiant/photo/WhatsApp_Image_2023-09-29_at_18.27.07.jpeg</t>
  </si>
  <si>
    <t>N'CT2512990001</t>
  </si>
  <si>
    <t>TEBI NOEL DYLAN CEDRIC</t>
  </si>
  <si>
    <t>https://myiipea.com/media/etudiant/photo/WhatsApp_Image_2023-11-07_at_11.17.37.jpeg</t>
  </si>
  <si>
    <t>N'DE2509050001</t>
  </si>
  <si>
    <t>N'DA</t>
  </si>
  <si>
    <t>ETTIEN ANGE EMMANUELLA</t>
  </si>
  <si>
    <t>https://myiipea.com/media/etudiant/photo/WhatsApp_Image_2023-10-02_at_18.12.39.jpeg</t>
  </si>
  <si>
    <t>N'DM0206040001</t>
  </si>
  <si>
    <t>MARIE-ANNE LOIS</t>
  </si>
  <si>
    <t>https://myiipea.com/media/etudiant/photo/WhatsApp_Image_2023-09-26_at_13.22.37.jpeg</t>
  </si>
  <si>
    <t>N'DN0906030001</t>
  </si>
  <si>
    <t>NIAMKE PERLE ALEXANDRA</t>
  </si>
  <si>
    <t>https://myiipea.com/media/etudiant/photo/NIAMKE.jpg</t>
  </si>
  <si>
    <t>N'DY1304060001</t>
  </si>
  <si>
    <t>YAH MARIE PASCALE</t>
  </si>
  <si>
    <t>https://myiipea.com/media/etudiant/photo/WhatsApp_Image_2023-10-02_at_7.07.17_PM.jpeg</t>
  </si>
  <si>
    <t>N'DC0710040001</t>
  </si>
  <si>
    <t>N'DABIAN</t>
  </si>
  <si>
    <t>CHRIST ELIE EMMANUEL</t>
  </si>
  <si>
    <t>https://myiipea.com/media/etudiant/photo/IIPEA_elKFDke.jpg</t>
  </si>
  <si>
    <t>N'DA2310040001</t>
  </si>
  <si>
    <t>N'DEPO</t>
  </si>
  <si>
    <t>AYE ALEX OLIVIER</t>
  </si>
  <si>
    <t>https://myiipea.com/media/etudiant/photo/WhatsApp_Image_2023-09-18_at_10.44.55.jpeg</t>
  </si>
  <si>
    <t>N'DY1203050001</t>
  </si>
  <si>
    <t>YAH RUTH ROSE BENEDICTTE</t>
  </si>
  <si>
    <t>https://myiipea.com/media/etudiant/photo/WhatsApp_Image_2023-09-26_at_11.33.24.jpeg</t>
  </si>
  <si>
    <t>N'DA2706040001</t>
  </si>
  <si>
    <t>N'DEYFFOU</t>
  </si>
  <si>
    <t>ANGE MARLENE</t>
  </si>
  <si>
    <t>https://myiipea.com/media/etudiant/photo/WhatsApp_Image_2023-09-28_at_17.24.57.jpeg</t>
  </si>
  <si>
    <t>N'DN2103030001</t>
  </si>
  <si>
    <t>N'DIAYE</t>
  </si>
  <si>
    <t>N'DEYE ALLIMAN</t>
  </si>
  <si>
    <t>https://myiipea.com/media/etudiant/photo/WhatsApp_Image_2023-10-26_at_14.17.46.jpeg</t>
  </si>
  <si>
    <t>N'DS1104050001</t>
  </si>
  <si>
    <t>SAMBA ANGE ALEX</t>
  </si>
  <si>
    <t>https://myiipea.com/media/etudiant/photo/WhatsApp_Image_2023-10-03_at_6.52.30_PM.jpeg</t>
  </si>
  <si>
    <t>N'DC2211050001</t>
  </si>
  <si>
    <t>N'DIN</t>
  </si>
  <si>
    <t>CHRISLANE-ADELA</t>
  </si>
  <si>
    <t>https://myiipea.com/media/etudiant/photo/WhatsApp_Image_2023-10-13_at_11.29.47.jpeg</t>
  </si>
  <si>
    <t>N'DW2512010001</t>
  </si>
  <si>
    <t>WILFRIED DELOR</t>
  </si>
  <si>
    <t>https://myiipea.com/media/etudiant/photo/WhatsApp_Image_2023-11-17_at_14.01.58.jpeg</t>
  </si>
  <si>
    <t>N'DA3105040001</t>
  </si>
  <si>
    <t>N'DIORE</t>
  </si>
  <si>
    <t>AKISSI AUDE MARYSE CLAUDIA</t>
  </si>
  <si>
    <t>https://myiipea.com/media/etudiant/photo/WhatsApp_Image_2023-10-03_at_12.41.58.jpeg</t>
  </si>
  <si>
    <t>N'DO2201020001</t>
  </si>
  <si>
    <t>N'DJA</t>
  </si>
  <si>
    <t>OWOU ASAPH ONESIME</t>
  </si>
  <si>
    <t>https://myiipea.com/media/etudiant/photo/WhatsApp_Image_2023-10-02_at_18.11.56.jpeg</t>
  </si>
  <si>
    <t>N'DJ0608030001</t>
  </si>
  <si>
    <t>N'DJOCK</t>
  </si>
  <si>
    <t>JONATHAN</t>
  </si>
  <si>
    <t>https://myiipea.com/media/etudiant/photo/WhatsApp_Image_2023-10-02_at_16.11.53.jpeg</t>
  </si>
  <si>
    <t>N'DK1610000001</t>
  </si>
  <si>
    <t>N'DJOLE</t>
  </si>
  <si>
    <t>KOMENAN CEDRIQUE</t>
  </si>
  <si>
    <t>https://myiipea.com/media/etudiant/photo/WhatsApp_Image_2023-10-26_at_14.51.53.jpeg</t>
  </si>
  <si>
    <t>N'DA2705010001</t>
  </si>
  <si>
    <t>N'DJOMON</t>
  </si>
  <si>
    <t>AMESSAN JUNIOR</t>
  </si>
  <si>
    <t>https://myiipea.com/media/etudiant/photo/WhatsApp_Image_2023-11-14_at_09.18.01.jpeg</t>
  </si>
  <si>
    <t>N'DG1006040001</t>
  </si>
  <si>
    <t>N'DJORE</t>
  </si>
  <si>
    <t>GRACE TEBLA ANDERSON URIELLE</t>
  </si>
  <si>
    <t>https://myiipea.com/media/etudiant/photo/WhatsApp_Image_2023-10-11_at_14.37.27.jpeg</t>
  </si>
  <si>
    <t>N'DA1904050001</t>
  </si>
  <si>
    <t>N'DOLI</t>
  </si>
  <si>
    <t>AMLAN ROSE</t>
  </si>
  <si>
    <t>https://myiipea.com/media/etudiant/photo/WhatsApp_Image_2023-09-29_at_16.19.15.jpeg</t>
  </si>
  <si>
    <t>N'DN3005040001</t>
  </si>
  <si>
    <t>N'DONGWA</t>
  </si>
  <si>
    <t>N'JIKI EMILIA STELLA</t>
  </si>
  <si>
    <t>https://myiipea.com/media/etudiant/photo/STELLA.jpg</t>
  </si>
  <si>
    <t>N'DA3112000001</t>
  </si>
  <si>
    <t>N'DOYE</t>
  </si>
  <si>
    <t>https://myiipea.com/media/etudiant/photo/WhatsApp_Image_2023-11-23_at_09.33.15.jpeg</t>
  </si>
  <si>
    <t>N'DA1601040001</t>
  </si>
  <si>
    <t>N'DRAMAN</t>
  </si>
  <si>
    <t>ADJOBA ANGE DORINE</t>
  </si>
  <si>
    <t>https://myiipea.com/media/etudiant/photo/WhatsApp_Image_2023-11-30_at_12.13.56_PM.jpeg</t>
  </si>
  <si>
    <t>N'DA2409040001</t>
  </si>
  <si>
    <t>N'DRI</t>
  </si>
  <si>
    <t>AFFIBA ASTRID MARIE PRUNELLE</t>
  </si>
  <si>
    <t>https://myiipea.com/media/etudiant/photo/WhatsApp_Image_2023-10-12_at_12.07.34_PM.jpeg</t>
  </si>
  <si>
    <t>N'DA2408020001</t>
  </si>
  <si>
    <t>AFFOUE MOUCHIA VICTOIRE EMMANUELLA</t>
  </si>
  <si>
    <t>https://myiipea.com/media/etudiant/photo/WhatsApp_Image_2023-10-30_at_16.53.09.jpeg</t>
  </si>
  <si>
    <t>N'DA1512050001</t>
  </si>
  <si>
    <t>AHOU MOYE MARIE EMMANUELLA</t>
  </si>
  <si>
    <t>https://myiipea.com/media/etudiant/photo/WhatsApp_Image_2023-10-05_at_14.44.30.jpeg</t>
  </si>
  <si>
    <t>N'DA2304010001</t>
  </si>
  <si>
    <t>AKISSI ELOIS</t>
  </si>
  <si>
    <t>https://myiipea.com/media/etudiant/photo/WhatsApp_Image_2023-11-14_at_11.38.22_AM.jpeg</t>
  </si>
  <si>
    <t>N'DA2502020001</t>
  </si>
  <si>
    <t>AKISSI NADINE ESTHER</t>
  </si>
  <si>
    <t>https://myiipea.com/media/etudiant/photo/WhatsApp_Image_2023-10-04_at_11.30.41.jpeg</t>
  </si>
  <si>
    <t>N'DA0712060001</t>
  </si>
  <si>
    <t>AMENAN YASMINE</t>
  </si>
  <si>
    <t>https://myiipea.com/media/etudiant/photo/WhatsApp_Image_2023-10-04_at_13.10.44.jpeg</t>
  </si>
  <si>
    <t>N'DA2910000001</t>
  </si>
  <si>
    <t>AMOIN CHARLENE</t>
  </si>
  <si>
    <t>https://myiipea.com/media/etudiant/photo/WhatsApp_Image_2023-10-03_at_3.22.36_PM.jpeg</t>
  </si>
  <si>
    <t>N'DA0507030001</t>
  </si>
  <si>
    <t>ANNE GEMIMA ESTHER</t>
  </si>
  <si>
    <t>https://myiipea.com/media/etudiant/photo/WhatsApp_Image_2023-10-02_at_09.07.05.jpeg</t>
  </si>
  <si>
    <t>N'DA1008040001</t>
  </si>
  <si>
    <t>AYA CLAIRE ANNE EMMANUELA</t>
  </si>
  <si>
    <t>https://myiipea.com/media/etudiant/photo/WhatsApp_Image_2023-10-20_at_15.18.18.jpeg</t>
  </si>
  <si>
    <t>N'DB0809050001</t>
  </si>
  <si>
    <t>BEYGNIN ANGE RAPHAEL</t>
  </si>
  <si>
    <t>https://myiipea.com/media/etudiant/photo/WhatsApp_Image_2023-11-03_at_15.59.29.jpeg</t>
  </si>
  <si>
    <t>N'DB1209020001</t>
  </si>
  <si>
    <t>BROU BEGNI MARIE-MICHELLE</t>
  </si>
  <si>
    <t>https://myiipea.com/media/etudiant/photo/WhatsApp_Image_2023-09-20_at_14.32.39.jpeg</t>
  </si>
  <si>
    <t>N'DD0101020001</t>
  </si>
  <si>
    <t>DIOLE ENOCK</t>
  </si>
  <si>
    <t>https://myiipea.com/media/etudiant/photo/WhatsApp_Image_2023-11-02_at_11.38.15.jpeg</t>
  </si>
  <si>
    <t>N'DG1811040001</t>
  </si>
  <si>
    <t>GRACE SEPHORA</t>
  </si>
  <si>
    <t>https://myiipea.com/media/etudiant/photo/WhatsApp_Image_2023-10-10_at_14.53.53.jpeg</t>
  </si>
  <si>
    <t>N'DJ2203040001</t>
  </si>
  <si>
    <t>JAPHET HERVE JUNOIR</t>
  </si>
  <si>
    <t>https://myiipea.com/media/etudiant/photo/JAPHET.jpg</t>
  </si>
  <si>
    <t>N'DK2410020001</t>
  </si>
  <si>
    <t>KHOLORE ATTOUBO PAUL ALFRED</t>
  </si>
  <si>
    <t>https://myiipea.com/media/etudiant/photo/WhatsApp_Image_2023-10-04_at_3.50.58_PM.jpeg</t>
  </si>
  <si>
    <t>N'DK0612060001</t>
  </si>
  <si>
    <t>KOFFI APPOLOS</t>
  </si>
  <si>
    <t>https://myiipea.com/media/etudiant/photo/WhatsApp_Image_2023-11-03_at_11.14.43.jpeg</t>
  </si>
  <si>
    <t>N'DK0708000001</t>
  </si>
  <si>
    <t>KOUA CEDRIC INNOCENT</t>
  </si>
  <si>
    <t>https://myiipea.com/media/etudiant/photo/WhatsApp_Image_2023-11-16_at_4.28.03_PM.jpeg</t>
  </si>
  <si>
    <t>N'DK1201040001</t>
  </si>
  <si>
    <t>KOUASSI SERGE PACOME</t>
  </si>
  <si>
    <t>https://myiipea.com/media/etudiant/photo/WhatsApp_Image_2023-09-20_at_16.52.50.jpeg</t>
  </si>
  <si>
    <t>N'DL1309050001</t>
  </si>
  <si>
    <t>LEATICIA MELAINE MOYER KETURA</t>
  </si>
  <si>
    <t>https://myiipea.com/media/etudiant/photo/WhatsApp_Image_2023-10-04_at_14.27.45.jpeg</t>
  </si>
  <si>
    <t>N'DM2805050001</t>
  </si>
  <si>
    <t>MOAYET MARIE-PAULE VERONIQUE</t>
  </si>
  <si>
    <t>https://myiipea.com/media/etudiant/photo/WhatsApp_Image_2023-10-04_at_3.37.51_PM.jpeg</t>
  </si>
  <si>
    <t>N'DB0705030001</t>
  </si>
  <si>
    <t>N'DRIN</t>
  </si>
  <si>
    <t>BOGUI OTHNIEL</t>
  </si>
  <si>
    <t>https://myiipea.com/media/etudiant/photo/WhatsApp_Image_2023-10-11_at_15.13.57.jpeg</t>
  </si>
  <si>
    <t>N'DR2303990001</t>
  </si>
  <si>
    <t>RHON REINE ELODIE</t>
  </si>
  <si>
    <t>https://myiipea.com/media/etudiant/photo/WhatsApp_Image_2023-10-02_at_13.41.41.jpeg</t>
  </si>
  <si>
    <t>N'GT0410030001</t>
  </si>
  <si>
    <t>N'GADI</t>
  </si>
  <si>
    <t>TANOH MURIEL AUDREY</t>
  </si>
  <si>
    <t>https://myiipea.com/media/etudiant/photo/WhatsApp_Image_2023-09-19_at_15.10.25.jpeg</t>
  </si>
  <si>
    <t>N'GK2507020001</t>
  </si>
  <si>
    <t>N'GATTA</t>
  </si>
  <si>
    <t>KOUAKOU JAURES ANGE FERREOL</t>
  </si>
  <si>
    <t>https://myiipea.com/media/etudiant/photo/YAAA.jpg</t>
  </si>
  <si>
    <t>N'GP1606050001</t>
  </si>
  <si>
    <t>N'GBEBOU</t>
  </si>
  <si>
    <t>PRINCE SAMUEL DESIRE</t>
  </si>
  <si>
    <t>https://myiipea.com/media/etudiant/photo/WhatsApp_Image_2023-10-12_at_09.00.44.jpeg</t>
  </si>
  <si>
    <t>N'GE2202040001</t>
  </si>
  <si>
    <t>N'GBO</t>
  </si>
  <si>
    <t>ESTHER ANDREA SEPHORA</t>
  </si>
  <si>
    <t>https://myiipea.com/media/etudiant/photo/WhatsApp_Image_2023-10-27_at_14.45.49.jpeg</t>
  </si>
  <si>
    <t>N'GK2611020001</t>
  </si>
  <si>
    <t>N'GOHOU</t>
  </si>
  <si>
    <t>KOUADIO MARC-AUREL FABRICE</t>
  </si>
  <si>
    <t>https://myiipea.com/media/etudiant/photo/WhatsApp_Image_2023-11-09_at_13.21.39.jpeg</t>
  </si>
  <si>
    <t>N'GA0903010001</t>
  </si>
  <si>
    <t>N'GORAN</t>
  </si>
  <si>
    <t>AHOU ANGELIQUE MARIANNE PARADIS</t>
  </si>
  <si>
    <t>https://myiipea.com/media/etudiant/photo/WhatsApp_Image_2023-10-06_at_12.58.16.jpeg</t>
  </si>
  <si>
    <t>N'GA0203050001</t>
  </si>
  <si>
    <t>AHOUA FRANCK JUNIOR</t>
  </si>
  <si>
    <t>https://myiipea.com/media/etudiant/photo/WhatsApp_Image_2023-10-03_at_14_resized_3W0KZbE.png</t>
  </si>
  <si>
    <t>N'GA1810040001</t>
  </si>
  <si>
    <t>AMENAN CAROLINE</t>
  </si>
  <si>
    <t>https://myiipea.com/media/etudiant/photo/ee805a7a-bd0f-4cfc-a70e-cbab604ca96a_L24XnNy.jpeg</t>
  </si>
  <si>
    <t>N'GA2903030001</t>
  </si>
  <si>
    <t>ANOUMAH CLAUDE JEANNINE</t>
  </si>
  <si>
    <t>https://myiipea.com/media/etudiant/photo/WhatsApp_Image_2023-10-03_at_16.42.25.jpeg</t>
  </si>
  <si>
    <t>N'GG2503020001</t>
  </si>
  <si>
    <t>GISELE N'GUESSAN BALY</t>
  </si>
  <si>
    <t>https://myiipea.com/media/etudiant/photo/WhatsApp_Image_2023-10-05_at_12.50.10.jpeg</t>
  </si>
  <si>
    <t>N'GJ0108040001</t>
  </si>
  <si>
    <t>JEAN RENAUD</t>
  </si>
  <si>
    <t>https://myiipea.com/media/etudiant/photo/WhatsApp_Image_2023-10-02_at_18.39.33.jpeg</t>
  </si>
  <si>
    <t>N'GJ0102020001</t>
  </si>
  <si>
    <t>JOSUE THEODORE</t>
  </si>
  <si>
    <t>https://myiipea.com/media/etudiant/photo/WhatsApp_Image_2023-11-07_at_15.50.37.jpeg</t>
  </si>
  <si>
    <t>N'GK1605020001</t>
  </si>
  <si>
    <t>KOUAKOU KAN SALOMON</t>
  </si>
  <si>
    <t>https://myiipea.com/media/etudiant/photo/WhatsApp_Image_2023-10-09_at_12.54.04.jpeg</t>
  </si>
  <si>
    <t>N'GK1307010001</t>
  </si>
  <si>
    <t>KOUAO ERIC MATHIAS</t>
  </si>
  <si>
    <t>https://myiipea.com/media/etudiant/photo/WhatsApp_Image_2023-10-09_at_16.04.25.jpeg</t>
  </si>
  <si>
    <t>N'GK2012000001</t>
  </si>
  <si>
    <t>KOUASSI JEAN FRANCOIS</t>
  </si>
  <si>
    <t>https://myiipea.com/media/etudiant/photo/WhatsApp_Image_2023-10-24_at_15.55.34.jpeg</t>
  </si>
  <si>
    <t>N'GM3010050001</t>
  </si>
  <si>
    <t>MIEN WA JEAN EZEKIEL</t>
  </si>
  <si>
    <t>https://myiipea.com/media/etudiant/photo/photo_bjV6HRi.jpg</t>
  </si>
  <si>
    <t>N'GN2109990001</t>
  </si>
  <si>
    <t>N'DA AMANI ALAIN SERGE</t>
  </si>
  <si>
    <t>https://myiipea.com/media/etudiant/photo/WhatsApp_Image_2023-11-13_at_11.52.01.jpeg</t>
  </si>
  <si>
    <t>N'GN1209040001</t>
  </si>
  <si>
    <t>N'DRI ANOUANZE CHRYS-AXELLE</t>
  </si>
  <si>
    <t>https://myiipea.com/media/etudiant/photo/WhatsApp_Image_2023-10-12_at_17.22.21.jpeg</t>
  </si>
  <si>
    <t>N'GN2904010001</t>
  </si>
  <si>
    <t>N'GUESSAN  ARMELLE D'AVILA</t>
  </si>
  <si>
    <t>https://myiipea.com/media/etudiant/photo/WhatsApp_Image_2023-10-06_at_16.02.39.jpeg</t>
  </si>
  <si>
    <t>N'GN2704050001</t>
  </si>
  <si>
    <t>NIAMIEN JEREMIE JUNIOR</t>
  </si>
  <si>
    <t>https://myiipea.com/media/etudiant/photo/WhatsApp_Image_2023-10-13_at_15.35.45_1.jpeg</t>
  </si>
  <si>
    <t>N'GS2407020001</t>
  </si>
  <si>
    <t>SIBO ENICE MERVINA</t>
  </si>
  <si>
    <t>https://myiipea.com/media/etudiant/photo/WhatsApp_Image_2023-11-16_at_10.31.17.jpeg</t>
  </si>
  <si>
    <t>N'GT0907050001</t>
  </si>
  <si>
    <t>TANO YAH CHARLOTE</t>
  </si>
  <si>
    <t>https://myiipea.com/media/etudiant/photo/WhatsApp_Image_2023-10-09_at_13.11.31.jpeg</t>
  </si>
  <si>
    <t>N'GY1410050001</t>
  </si>
  <si>
    <t>YAO MARC PHAREL</t>
  </si>
  <si>
    <t>https://myiipea.com/media/etudiant/photo/WhatsApp_Image_2023-10-04_at_10.45.07.jpeg</t>
  </si>
  <si>
    <t>N'GE2306060001</t>
  </si>
  <si>
    <t>N'GOUAN</t>
  </si>
  <si>
    <t>EBY KARELLE ORNELA</t>
  </si>
  <si>
    <t>https://myiipea.com/media/etudiant/photo/WhatsApp_Image_2023-10-16_at_18.52.51.jpeg</t>
  </si>
  <si>
    <t>N'GE0211010001</t>
  </si>
  <si>
    <t>ESSEY KOFFI YVES ROLAND</t>
  </si>
  <si>
    <t>https://myiipea.com/media/etudiant/photo/WhatsApp_Image_2023-10-20_at_12.35.01.jpeg</t>
  </si>
  <si>
    <t>N'GB2811990001</t>
  </si>
  <si>
    <t>N'GUEESAN</t>
  </si>
  <si>
    <t>BORIS DOBE JUNIOR</t>
  </si>
  <si>
    <t>https://myiipea.com/media/etudiant/photo/WhatsApp_Image_2023-10-23_at_11.39.42.jpeg</t>
  </si>
  <si>
    <t>N'GA0212030001</t>
  </si>
  <si>
    <t>N'GUESSAN</t>
  </si>
  <si>
    <t>ABO JEAN MARIE VIANNEY YOHANN</t>
  </si>
  <si>
    <t>https://myiipea.com/media/etudiant/photo/WhatsApp_Image_2023-10-05_at_6.15.14_PM.jpeg</t>
  </si>
  <si>
    <t>N'GA0101030001</t>
  </si>
  <si>
    <t>ADJOUA DEBORAH</t>
  </si>
  <si>
    <t>https://myiipea.com/media/etudiant/photo/WhatsApp_Image_2023-10-19_at_14.11.49.jpeg</t>
  </si>
  <si>
    <t>N'GA2412020001</t>
  </si>
  <si>
    <t>AFFOUE AXELLE BOUSSIEH</t>
  </si>
  <si>
    <t>https://myiipea.com/media/etudiant/photo/WhatsApp_Image_2023-10-09_at_10_resized.png</t>
  </si>
  <si>
    <t>N'GA1809040001</t>
  </si>
  <si>
    <t>AFFOUE GRACE JANICE</t>
  </si>
  <si>
    <t>https://myiipea.com/media/etudiant/photo/WhatsApp_Image_2023-10-05_at_11.33.58.jpeg</t>
  </si>
  <si>
    <t>N'GA2508010001</t>
  </si>
  <si>
    <t>AFFOUE STEPHANIE</t>
  </si>
  <si>
    <t>https://myiipea.com/media/etudiant/photo/WhatsApp_Image_2023-11-27_at_11.09.41.jpeg</t>
  </si>
  <si>
    <t>N'GA1005010001</t>
  </si>
  <si>
    <t>AHOU CAMILLA BECANTY</t>
  </si>
  <si>
    <t>https://myiipea.com/media/etudiant/photo/WhatsApp_Image_2023-10-12_at_14.31.05.jpeg</t>
  </si>
  <si>
    <t>N'GA3012010001</t>
  </si>
  <si>
    <t>AHOU DIANE BENEDICTE</t>
  </si>
  <si>
    <t>https://myiipea.com/media/etudiant/photo/WhatsApp_Image_2023-10-16_at_1.06.07_PM.jpeg</t>
  </si>
  <si>
    <t>N'GA1401030001</t>
  </si>
  <si>
    <t>ALCIDE EMMANUEL KOUADIO</t>
  </si>
  <si>
    <t>https://myiipea.com/media/etudiant/photo/WhatsApp_Image_2023-10-03_at_12.55.04.jpeg</t>
  </si>
  <si>
    <t>N'GA1701010001</t>
  </si>
  <si>
    <t>AMENAN ANNE MATILDE</t>
  </si>
  <si>
    <t>https://myiipea.com/media/etudiant/photo/WhatsApp_Image_2023-10-09_at_17.57.26.jpeg</t>
  </si>
  <si>
    <t>N'GA0101020001</t>
  </si>
  <si>
    <t>AMENAN ELODIE</t>
  </si>
  <si>
    <t>https://myiipea.com/media/etudiant/photo/WhatsApp_Image_2023-10-16_at_14.17.09.jpeg</t>
  </si>
  <si>
    <t>N'GA0304050001</t>
  </si>
  <si>
    <t>AMOIN LESLIE LORRAINE</t>
  </si>
  <si>
    <t>https://myiipea.com/media/etudiant/photo/WhatsApp_Image_2023-09-28_at_18.03.23.jpeg</t>
  </si>
  <si>
    <t>N'GA0111030001</t>
  </si>
  <si>
    <t>ANGE GRACE</t>
  </si>
  <si>
    <t>https://myiipea.com/media/etudiant/photo/239422487_405915444207421_8131329350063382999_n_aw4Mjai.jpg</t>
  </si>
  <si>
    <t>N'GA1207020001</t>
  </si>
  <si>
    <t>ANGELA MARLENE AUDE</t>
  </si>
  <si>
    <t>https://myiipea.com/media/etudiant/photo/WhatsApp_Image_2023-10-25_at_12.41.01.jpeg</t>
  </si>
  <si>
    <t>N'GA3103040001</t>
  </si>
  <si>
    <t>ANNA REINE ESTHER</t>
  </si>
  <si>
    <t>https://myiipea.com/media/etudiant/photo/WhatsApp_Image_2023-10-25_at_12.08.37.jpeg</t>
  </si>
  <si>
    <t>N'GA2504020001</t>
  </si>
  <si>
    <t>ANNE INES SYLVIA</t>
  </si>
  <si>
    <t>https://myiipea.com/media/etudiant/photo/WhatsApp_Image_2023-09-26_%C3%A0_13.23.41.jpg</t>
  </si>
  <si>
    <t>N'GA1509030001</t>
  </si>
  <si>
    <t>ANNE MARIE ROLANDE AKISSI</t>
  </si>
  <si>
    <t>https://myiipea.com/media/etudiant/photo/WhatsApp_Image_2023-10-02_at_13.02.54.jpeg</t>
  </si>
  <si>
    <t>N'GA3108050001</t>
  </si>
  <si>
    <t>APO GRACE FLORA</t>
  </si>
  <si>
    <t>https://myiipea.com/media/etudiant/photo/WhatsApp_Image_2023-10-16_at_14.16.25_1.jpeg</t>
  </si>
  <si>
    <t>N'GA2504980001</t>
  </si>
  <si>
    <t>ATCHO JEAN MARC</t>
  </si>
  <si>
    <t>https://myiipea.com/media/etudiant/photo/WhatsApp_Image_2023-10-04_at_16_resized.png</t>
  </si>
  <si>
    <t>N'GA0512050001</t>
  </si>
  <si>
    <t>ATTREH JACOB KONAN</t>
  </si>
  <si>
    <t>https://myiipea.com/media/etudiant/photo/WhatsApp_Image_2023-10-05_at_11.18.32.jpeg</t>
  </si>
  <si>
    <t>N'GA1503050001</t>
  </si>
  <si>
    <t>AYA ANGE MAVIE</t>
  </si>
  <si>
    <t>https://myiipea.com/media/etudiant/photo/WhatsApp_Image_2023-09-28_at_11.08.08.jpeg</t>
  </si>
  <si>
    <t>N'GB1009030002</t>
  </si>
  <si>
    <t>BEKANTY MARIE STEPHANIE ASHLEY</t>
  </si>
  <si>
    <t>https://myiipea.com/media/etudiant/photo/WhatsApp_Image_2023-10-05_at_13.09.57_NYk5X14.jpeg</t>
  </si>
  <si>
    <t>N'GB2811990002</t>
  </si>
  <si>
    <t>https://myiipea.com/media/etudiant/photo/WhatsApp_Image_2023-10-30_at_10.44.50.jpeg</t>
  </si>
  <si>
    <t>N'GD0712050001</t>
  </si>
  <si>
    <t>DEGLANDE KORECIA</t>
  </si>
  <si>
    <t>https://myiipea.com/media/etudiant/photo/WhatsApp_Image_2023-10-31_at_10.54.03_7JIAtUO.jpeg</t>
  </si>
  <si>
    <t>N'GE2606000001</t>
  </si>
  <si>
    <t>EMMANUEL KOUASSI</t>
  </si>
  <si>
    <t>https://myiipea.com/media/etudiant/photo/WhatsApp_Image_2023-10-12_at_14.24.38.jpeg</t>
  </si>
  <si>
    <t>N'GE2309010001</t>
  </si>
  <si>
    <t>ESSEVO ANGE ALEXANDRA</t>
  </si>
  <si>
    <t>https://myiipea.com/media/etudiant/photo/WhatsApp_Image_2023-10-12_at_13.29.17.jpeg</t>
  </si>
  <si>
    <t>N'GF2911050001</t>
  </si>
  <si>
    <t>FARELLE JEMIMA</t>
  </si>
  <si>
    <t>https://myiipea.com/media/etudiant/photo/FARELLE.jpg</t>
  </si>
  <si>
    <t>N'GF3107040001</t>
  </si>
  <si>
    <t>FOWUNDI ORELIA</t>
  </si>
  <si>
    <t>https://myiipea.com/media/etudiant/photo/WhatsApp_Image_2023-10-09_at_13.55.43.jpeg</t>
  </si>
  <si>
    <t>N'GG1710060001</t>
  </si>
  <si>
    <t>GRACE LESLYE IRINE</t>
  </si>
  <si>
    <t>https://myiipea.com/media/etudiant/photo/WhatsApp_Image_2023-10-27_at_4.13.51_PM.jpeg</t>
  </si>
  <si>
    <t>N'GH2812030001</t>
  </si>
  <si>
    <t>HANS MEYER</t>
  </si>
  <si>
    <t>https://myiipea.com/media/etudiant/photo/WhatsApp_Image_2023-11-14_at_09.36.10.jpeg</t>
  </si>
  <si>
    <t>N'GI2605010001</t>
  </si>
  <si>
    <t>IVAN JEAN SERGE EMMANUEL KOFFI</t>
  </si>
  <si>
    <t>https://myiipea.com/media/etudiant/photo/WhatsApp_Image_2023-10-05_at_14.59.36.jpeg</t>
  </si>
  <si>
    <t>N'GJ2104040001</t>
  </si>
  <si>
    <t>JEAN YVES KONAN</t>
  </si>
  <si>
    <t>https://myiipea.com/media/etudiant/photo/IIPEA_OvbdYdi.jpg</t>
  </si>
  <si>
    <t>N'GK0101020002</t>
  </si>
  <si>
    <t>KOFFI ARMEL</t>
  </si>
  <si>
    <t>https://myiipea.com/media/etudiant/photo/WhatsApp_Image_2023-11-24_at_12_resized.png</t>
  </si>
  <si>
    <t>N'GK1605010001</t>
  </si>
  <si>
    <t>KONAN JEAN-NOEL</t>
  </si>
  <si>
    <t>https://myiipea.com/media/etudiant/photo/WhatsApp_Image_2023-10-04_at_14.00.22.jpeg</t>
  </si>
  <si>
    <t>N'GK2707000001</t>
  </si>
  <si>
    <t>KOUAKOU ROMARIC SAMSON</t>
  </si>
  <si>
    <t>https://myiipea.com/media/etudiant/photo/WhatsApp_Image_2023-11-20_at_11.30.15_AM.jpeg</t>
  </si>
  <si>
    <t>N'GK1012000001</t>
  </si>
  <si>
    <t>KOUAME ROMARIC</t>
  </si>
  <si>
    <t>https://myiipea.com/media/etudiant/photo/WhatsApp_Image_2023-11-20_at_11.33.34.jpeg</t>
  </si>
  <si>
    <t>N'GM0804040001</t>
  </si>
  <si>
    <t>MAHOUWENAN JULIE</t>
  </si>
  <si>
    <t>https://myiipea.com/media/etudiant/photo/WhatsApp_Image_2023-10-06_at_10.03.17.jpeg</t>
  </si>
  <si>
    <t>N'GM1310040001</t>
  </si>
  <si>
    <t>MANZIE GRACE MARIE LESLINE</t>
  </si>
  <si>
    <t>https://myiipea.com/media/etudiant/photo/WhatsApp_Image_2023-10-25_at_12.32.08.jpeg</t>
  </si>
  <si>
    <t>N'GM2407050001</t>
  </si>
  <si>
    <t>MARIE CELINE</t>
  </si>
  <si>
    <t>https://myiipea.com/media/etudiant/photo/WhatsApp_Image_2023-09-26_at_11.59.39.jpeg</t>
  </si>
  <si>
    <t>N'GM1806030001</t>
  </si>
  <si>
    <t>MARILINE SIALOU</t>
  </si>
  <si>
    <t>https://myiipea.com/media/etudiant/photo/WhatsApp_Image_2023-10-02_at_17.12.00.jpeg</t>
  </si>
  <si>
    <t>N'GM2812020001</t>
  </si>
  <si>
    <t>MYWA ANGE HENRI JOEL</t>
  </si>
  <si>
    <t>https://myiipea.com/media/etudiant/photo/WhatsApp_Image_2023-10-03_at_10.50.26.jpeg</t>
  </si>
  <si>
    <t>N'GN2701040001</t>
  </si>
  <si>
    <t>N'CHO JEAN YVES</t>
  </si>
  <si>
    <t>https://myiipea.com/media/etudiant/photo/WhatsApp_Image_2023-10-02_at_08.37.02.jpeg</t>
  </si>
  <si>
    <t>N'GN1503030001</t>
  </si>
  <si>
    <t>N'GUESSAN JEAN-CHARLES</t>
  </si>
  <si>
    <t>https://myiipea.com/media/etudiant/photo/WhatsApp_Image_2023-11-23_at_12.03.30.jpeg</t>
  </si>
  <si>
    <t>N'GN0207040001</t>
  </si>
  <si>
    <t>N'GUESSAN JOSUE</t>
  </si>
  <si>
    <t>https://myiipea.com/media/etudiant/photo/WhatsApp_Image_2023-10-06_at_12.44.48.jpeg</t>
  </si>
  <si>
    <t>N'GN2006030001</t>
  </si>
  <si>
    <t>N'MOUAYE YVAN</t>
  </si>
  <si>
    <t>https://myiipea.com/media/etudiant/photo/WhatsApp_Image_2023-10-09_at_5_resized.png</t>
  </si>
  <si>
    <t>N'GN2202050001</t>
  </si>
  <si>
    <t>NELLY ESTHER REGINA</t>
  </si>
  <si>
    <t>https://myiipea.com/media/etudiant/photo/WhatsApp_Image_2023-10-02_at_14.41.30.jpeg</t>
  </si>
  <si>
    <t>N'GN1504050001</t>
  </si>
  <si>
    <t>NOELLY ANNE-ODELIA</t>
  </si>
  <si>
    <t>https://myiipea.com/media/etudiant/photo/t%C3%A9l%C3%A9chargement_2.jpg</t>
  </si>
  <si>
    <t>N'GP0906040001</t>
  </si>
  <si>
    <t>PAULE EMMANUELLA</t>
  </si>
  <si>
    <t>https://myiipea.com/media/etudiant/photo/WhatsApp_Image_2023-10-16_at_10.36.36.jpeg</t>
  </si>
  <si>
    <t>N'GS1506060001</t>
  </si>
  <si>
    <t>SUZANNE MATHIEU EUNICE</t>
  </si>
  <si>
    <t>https://myiipea.com/media/etudiant/photo/WhatsApp_Image_2023-10-03_at_11.40.44_AM.jpeg</t>
  </si>
  <si>
    <t>N'GA0102050001</t>
  </si>
  <si>
    <t>N'GUETTA</t>
  </si>
  <si>
    <t>AMA PAULINE</t>
  </si>
  <si>
    <t>https://myiipea.com/media/etudiant/photo/WhatsApp_Image_2023-10-13_at_7.38.24_PM.jpeg</t>
  </si>
  <si>
    <t>N'GC1411040001</t>
  </si>
  <si>
    <t>CORINNE GRACE</t>
  </si>
  <si>
    <t>https://myiipea.com/media/etudiant/photo/WhatsApp_Image_2023-09-29_at_14.18.34.jpeg</t>
  </si>
  <si>
    <t>N'GE2010050001</t>
  </si>
  <si>
    <t>EHOUSSOU EMMANUEL JUNIOR</t>
  </si>
  <si>
    <t>https://myiipea.com/media/etudiant/photo/WhatsApp_Image_2023-09-28_at_11_resized_GanKo1G.png</t>
  </si>
  <si>
    <t>N'GN0311030001</t>
  </si>
  <si>
    <t>NOUAMAN SERGE</t>
  </si>
  <si>
    <t>https://myiipea.com/media/etudiant/photo/WhatsApp_Image_2023-11-07_at_12.23.08_PM.jpeg</t>
  </si>
  <si>
    <t>N'GA0210040001</t>
  </si>
  <si>
    <t>N'GUETTIA</t>
  </si>
  <si>
    <t>ADJOU SEPHORA</t>
  </si>
  <si>
    <t>https://myiipea.com/media/etudiant/photo/WhatsApp_Image_2023-11-02_at_15.18.48.jpeg</t>
  </si>
  <si>
    <t>N'GY0210020001</t>
  </si>
  <si>
    <t>YAO FABRICE</t>
  </si>
  <si>
    <t>https://myiipea.com/media/etudiant/photo/WhatsApp_Image_2023-10-13_at_17.43.02.jpeg</t>
  </si>
  <si>
    <t>N'KD2304040002</t>
  </si>
  <si>
    <t>N'KIENO</t>
  </si>
  <si>
    <t>DOMINIQUE MARIE-ROSE</t>
  </si>
  <si>
    <t>https://myiipea.com/media/etudiant/photo/WhatsApp_Image_2023-10-12_at_11.48.24.jpeg</t>
  </si>
  <si>
    <t>N'KN1406020001</t>
  </si>
  <si>
    <t>N'KOGHOU</t>
  </si>
  <si>
    <t>NDENGUINO</t>
  </si>
  <si>
    <t>https://myiipea.com/media/etudiant/photo/WhatsApp_Image_2023-10-03_at_11.14.56_AM_HWLThDn.jpeg</t>
  </si>
  <si>
    <t>N'SA1406020001</t>
  </si>
  <si>
    <t>N'SAN</t>
  </si>
  <si>
    <t>ALLECHI EUNICE ESTHER</t>
  </si>
  <si>
    <t>https://myiipea.com/media/etudiant/photo/WhatsApp_Image_2023-10-23_at_11.12.34.jpeg</t>
  </si>
  <si>
    <t>N'TA0505040001</t>
  </si>
  <si>
    <t>N'TA</t>
  </si>
  <si>
    <t>ABO GRACE MICHELLE</t>
  </si>
  <si>
    <t>https://myiipea.com/media/etudiant/photo/WhatsApp_Image_2023-10-04_at_15.54.01.jpeg</t>
  </si>
  <si>
    <t>N'TB1305050001</t>
  </si>
  <si>
    <t>N'TAKPE</t>
  </si>
  <si>
    <t>BOKA HUGUES EVRARD CORNEILLE</t>
  </si>
  <si>
    <t>https://myiipea.com/media/etudiant/photo/WhatsApp_Image_2023-09-29_at_16.44.58.jpeg</t>
  </si>
  <si>
    <t>N'TG1505010001</t>
  </si>
  <si>
    <t>N'TAMON</t>
  </si>
  <si>
    <t>GRACE NOELLY</t>
  </si>
  <si>
    <t>https://myiipea.com/media/etudiant/photo/WhatsApp_Image_2023-10-02_at_6.12.30_PM.jpeg</t>
  </si>
  <si>
    <t>N'TN1512000001</t>
  </si>
  <si>
    <t>N'CHO  EPHRAIM</t>
  </si>
  <si>
    <t>https://myiipea.com/media/etudiant/photo/WhatsApp_Image_2023-11-07_at_5.54.03_PM.jpeg</t>
  </si>
  <si>
    <t>N'VE0901030001</t>
  </si>
  <si>
    <t>N'VODJO</t>
  </si>
  <si>
    <t>ELIE PAUL YVANN</t>
  </si>
  <si>
    <t>https://myiipea.com/media/etudiant/photo/WhatsApp_Image_2023-10-28_at_13.59.34.jpeg</t>
  </si>
  <si>
    <t>N'ZG1211010001</t>
  </si>
  <si>
    <t>N'ZI</t>
  </si>
  <si>
    <t>GRACE MARIE ROSE</t>
  </si>
  <si>
    <t>https://myiipea.com/media/etudiant/photo/WhatsApp_Image_2023-09-28_at_13.06.45.jpeg</t>
  </si>
  <si>
    <t>N'ZK0912040001</t>
  </si>
  <si>
    <t>KOFFI AIME CESAIR</t>
  </si>
  <si>
    <t>https://myiipea.com/media/etudiant/photo/WhatsApp_Image_2023-11-02_at_10.52.18.jpeg</t>
  </si>
  <si>
    <t>N'ZR0908030001</t>
  </si>
  <si>
    <t>RYVEL ANGE DOMINIQUE</t>
  </si>
  <si>
    <t>https://myiipea.com/media/etudiant/photo/WhatsApp_Image_2023-11-29_at_11.51.58_AM.jpeg</t>
  </si>
  <si>
    <t>N'ZY0709030001</t>
  </si>
  <si>
    <t>YA KOUAME CHRIST</t>
  </si>
  <si>
    <t>https://myiipea.com/media/etudiant/photo/WhatsApp_Image_2023-10-03_at_12.28.49.jpeg</t>
  </si>
  <si>
    <t>N'ZA1904060001</t>
  </si>
  <si>
    <t>N'ZUE</t>
  </si>
  <si>
    <t>https://myiipea.com/media/etudiant/photo/WhatsApp_Image_2023-10-05_at_16_resized.png</t>
  </si>
  <si>
    <t>NABG0510020001</t>
  </si>
  <si>
    <t>NABILA</t>
  </si>
  <si>
    <t>GRACE EMMANUELLE</t>
  </si>
  <si>
    <t>https://myiipea.com/media/etudiant/photo/WhatsApp_Image_2023-11-27_at_5.17.36_PM.jpeg</t>
  </si>
  <si>
    <t>NACF3009020001</t>
  </si>
  <si>
    <t>NACOULIMA</t>
  </si>
  <si>
    <t>https://myiipea.com/media/etudiant/photo/WhatsApp_Image_2023-10-30_at_16.38.22.jpeg</t>
  </si>
  <si>
    <t>NACR2608000001</t>
  </si>
  <si>
    <t>NACOULMA</t>
  </si>
  <si>
    <t>https://myiipea.com/media/etudiant/photo/WhatsApp_Image_2023-11-10_at_1.54.38_PM.jpeg</t>
  </si>
  <si>
    <t>NADS0804020001</t>
  </si>
  <si>
    <t>NADE</t>
  </si>
  <si>
    <t>SAKI GRACE MARILYN ANGE</t>
  </si>
  <si>
    <t>https://myiipea.com/media/etudiant/photo/WhatsApp_Image_2023-10-20_at_08.30.12.jpeg</t>
  </si>
  <si>
    <t>NAGB2606030001</t>
  </si>
  <si>
    <t>NAGONE</t>
  </si>
  <si>
    <t>BI TRAH BARTHEZ</t>
  </si>
  <si>
    <t>https://myiipea.com/media/etudiant/photo/WhatsApp_Image_2023-11-20_at_13.15.28.jpeg</t>
  </si>
  <si>
    <t>NAHK0701030001</t>
  </si>
  <si>
    <t>NAHO</t>
  </si>
  <si>
    <t>KEMONDE JUNIOR   TRESOR</t>
  </si>
  <si>
    <t>https://myiipea.com/media/etudiant/photo/WhatsApp_Image_2023-10-31_at_3.30.15_PM.jpeg</t>
  </si>
  <si>
    <t>NAHK1202030001</t>
  </si>
  <si>
    <t>NAHOUNOU</t>
  </si>
  <si>
    <t>KORE JOE WILLIAMS</t>
  </si>
  <si>
    <t>https://myiipea.com/media/etudiant/photo/WhatsApp_Image_2023-10-05_at_10.58.23.jpeg</t>
  </si>
  <si>
    <t>NAKK1111010001</t>
  </si>
  <si>
    <t>NAKI</t>
  </si>
  <si>
    <t>KOUDRO OLIVIA LAURELLE</t>
  </si>
  <si>
    <t>https://myiipea.com/media/etudiant/photo/IIPEA_W3mzc5I.png</t>
  </si>
  <si>
    <t>NALI2411020001</t>
  </si>
  <si>
    <t>NALLO</t>
  </si>
  <si>
    <t>IVAN EMMANUEL</t>
  </si>
  <si>
    <t>https://myiipea.com/media/etudiant/photo/WhatsApp_Image_2023-10-06_at_09.46.15.jpeg</t>
  </si>
  <si>
    <t>NAMO0108040001</t>
  </si>
  <si>
    <t>NAMBOU</t>
  </si>
  <si>
    <t>OYOUA KETURA MARIE VIANNEY</t>
  </si>
  <si>
    <t>https://myiipea.com/media/etudiant/photo/WhatsApp_Image_2023-11-16_at_13.37.47.jpeg</t>
  </si>
  <si>
    <t>NAMD2403010001</t>
  </si>
  <si>
    <t>NAMENE</t>
  </si>
  <si>
    <t>DAHI CHRISTELLE</t>
  </si>
  <si>
    <t>https://myiipea.com/media/etudiant/photo/WhatsApp_Image_2023-10-20_at_16.53.15.jpeg</t>
  </si>
  <si>
    <t>NANK0311030001</t>
  </si>
  <si>
    <t>NANAN</t>
  </si>
  <si>
    <t>KOUASSI SAMUEL</t>
  </si>
  <si>
    <t>https://myiipea.com/media/etudiant/photo/WhatsApp_Image_2023-10-20_at_13.05.13.jpeg</t>
  </si>
  <si>
    <t>NANK0309030001</t>
  </si>
  <si>
    <t>KRA GRACE-ELVIRE</t>
  </si>
  <si>
    <t>https://myiipea.com/media/etudiant/photo/WhatsApp_Image_2023-09-22_at_12.39.34.jpeg</t>
  </si>
  <si>
    <t>NANM1909980001</t>
  </si>
  <si>
    <t>NANDI</t>
  </si>
  <si>
    <t>MARIE CHRISTELLE ANDREE</t>
  </si>
  <si>
    <t>https://myiipea.com/media/etudiant/photo/WhatsApp_Image_2023-11-29_at_1.47.37_PM.jpeg</t>
  </si>
  <si>
    <t>NANN1307030001</t>
  </si>
  <si>
    <t>NANDO</t>
  </si>
  <si>
    <t>N'GUETTA MAC-AUREL</t>
  </si>
  <si>
    <t>https://myiipea.com/media/etudiant/photo/WhatsApp_Image_2023-10-03_at_08.42.12.jpeg</t>
  </si>
  <si>
    <t>NANH1803020001</t>
  </si>
  <si>
    <t>NANGA</t>
  </si>
  <si>
    <t>HILARION CARMEL ANELKA</t>
  </si>
  <si>
    <t>https://myiipea.com/media/etudiant/photo/WhatsApp_Image_2023-11-23_at_1.13.37_PM.jpeg</t>
  </si>
  <si>
    <t>NAND0807010001</t>
  </si>
  <si>
    <t>NANGUI</t>
  </si>
  <si>
    <t>DJOMAN ROSEMONDE</t>
  </si>
  <si>
    <t>https://myiipea.com/media/etudiant/photo/WhatsApp_Image_2023-10-10_at_16.32.13.jpeg</t>
  </si>
  <si>
    <t>NAOA0707040001</t>
  </si>
  <si>
    <t>NAO</t>
  </si>
  <si>
    <t>ADJEI MELISSA ANNE</t>
  </si>
  <si>
    <t>https://myiipea.com/media/etudiant/photo/WhatsApp_Image_2023-10-03_at_16.19.28.jpeg</t>
  </si>
  <si>
    <t>NAPA1701040001</t>
  </si>
  <si>
    <t>NAPAONGO</t>
  </si>
  <si>
    <t>ABDOUL-KARIM</t>
  </si>
  <si>
    <t>https://myiipea.com/media/etudiant/photo/WhatsApp_Image_2023-10-03_at_16.59.02.jpeg</t>
  </si>
  <si>
    <t>NEAB2412980001</t>
  </si>
  <si>
    <t>NEANTIEN</t>
  </si>
  <si>
    <t>BI GUESSAN VERLAC</t>
  </si>
  <si>
    <t>https://myiipea.com/media/etudiant/photo/WhatsApp_Image_2023-10-05_at_16.29.33.jpeg</t>
  </si>
  <si>
    <t>NEBJ0101000001</t>
  </si>
  <si>
    <t>NEBA</t>
  </si>
  <si>
    <t>JOSE EMMANUEL</t>
  </si>
  <si>
    <t>https://myiipea.com/media/etudiant/photo/WhatsApp_Image_2023-11-16_at_13.20.07.jpeg</t>
  </si>
  <si>
    <t>NEBC1503020001</t>
  </si>
  <si>
    <t>NEBEANI</t>
  </si>
  <si>
    <t>CHINENYE PRISCA</t>
  </si>
  <si>
    <t>https://myiipea.com/media/etudiant/photo/WhatsApp_Image_2023-09-26_at_15.23.15.jpeg</t>
  </si>
  <si>
    <t>NEBO1912010001</t>
  </si>
  <si>
    <t>NEBIE</t>
  </si>
  <si>
    <t>OSEE OTHINIEL DAVID</t>
  </si>
  <si>
    <t>https://myiipea.com/media/etudiant/photo/WhatsApp_Image_2023-10-04_at_2_resized_lnQrcGh.png</t>
  </si>
  <si>
    <t>NEDA0106060001</t>
  </si>
  <si>
    <t>NEDIOULA</t>
  </si>
  <si>
    <t>AUDREY ESTELLE GEMIMA</t>
  </si>
  <si>
    <t>https://myiipea.com/media/etudiant/photo/WhatsApp_Image_2023-10-02_at_6.09.36_PM.jpeg</t>
  </si>
  <si>
    <t>NEKC0704040001</t>
  </si>
  <si>
    <t>NEKE</t>
  </si>
  <si>
    <t>CHRIST ARNOLD</t>
  </si>
  <si>
    <t>https://myiipea.com/media/etudiant/photo/WhatsApp_Image_2023-09-19_at_12.22.30.jpeg</t>
  </si>
  <si>
    <t>NENB1311010001</t>
  </si>
  <si>
    <t>NENE</t>
  </si>
  <si>
    <t>BA BI TIZIE MARDOCHEE EMMANUEL</t>
  </si>
  <si>
    <t>https://myiipea.com/media/etudiant/photo/WhatsApp_Image_2023-11-23_at_11.13.47_AM.jpeg</t>
  </si>
  <si>
    <t>NENY2007050001</t>
  </si>
  <si>
    <t>YOHOU SARAH MAELISS</t>
  </si>
  <si>
    <t>https://myiipea.com/media/etudiant/photo/WhatsApp_Image_2023-10-13_at_11_resized.png</t>
  </si>
  <si>
    <t>NEYD1207000001</t>
  </si>
  <si>
    <t>NEYA</t>
  </si>
  <si>
    <t>DRISSA</t>
  </si>
  <si>
    <t>https://myiipea.com/media/etudiant/photo/WhatsApp_Image_2023-10-04_at_13.32.55.jpeg</t>
  </si>
  <si>
    <t>NEYE1307070001</t>
  </si>
  <si>
    <t>EMMANUELLA LESLIE ORLANE</t>
  </si>
  <si>
    <t>https://myiipea.com/media/etudiant/photo/WhatsApp_Image_2023-10-12_at_4.29.46_PM.jpeg</t>
  </si>
  <si>
    <t>NGAE0110990001</t>
  </si>
  <si>
    <t>NGALA</t>
  </si>
  <si>
    <t>ELISHAMA JEROME</t>
  </si>
  <si>
    <t>https://myiipea.com/media/etudiant/photo/WhatsApp_Image_2023-11-24_at_5.42.10_PM.jpeg</t>
  </si>
  <si>
    <t>NIAK2712050001</t>
  </si>
  <si>
    <t>NIABA</t>
  </si>
  <si>
    <t>KOUADIO JACQUES JUNIOR</t>
  </si>
  <si>
    <t>https://myiipea.com/media/etudiant/photo/WhatsApp_Image_2023-10-02_at_10.43.39.jpeg</t>
  </si>
  <si>
    <t>NIAC3112040001</t>
  </si>
  <si>
    <t>NIADA</t>
  </si>
  <si>
    <t>CHEICK ABOUBACAR SIDIK</t>
  </si>
  <si>
    <t>https://myiipea.com/media/etudiant/photo/WhatsApp_Image_2023-10-23_at_15.42.55.jpeg</t>
  </si>
  <si>
    <t>NIAA2003050002</t>
  </si>
  <si>
    <t>NIAGNE</t>
  </si>
  <si>
    <t>ANOH MOYET ADONIA</t>
  </si>
  <si>
    <t>https://myiipea.com/media/etudiant/photo/WhatsApp_Image_2023-09-28_at_10.32.08.jpeg</t>
  </si>
  <si>
    <t>NIAG1002040001</t>
  </si>
  <si>
    <t>NIAHI</t>
  </si>
  <si>
    <t>GUEYE ABLEANIN DORIANE</t>
  </si>
  <si>
    <t>https://myiipea.com/media/etudiant/photo/WhatsApp_Image_2023-10-16_at_17.01.17.jpeg</t>
  </si>
  <si>
    <t>NIAF2010000001</t>
  </si>
  <si>
    <t>NIAMBA</t>
  </si>
  <si>
    <t>https://myiipea.com/media/etudiant/photo/WhatsApp_Image_2023-11-06_at_10.49.35.jpeg</t>
  </si>
  <si>
    <t>NIAA1304010001</t>
  </si>
  <si>
    <t>NIAMBE</t>
  </si>
  <si>
    <t>AKOUA GRACE LAURIANE</t>
  </si>
  <si>
    <t>https://myiipea.com/media/etudiant/photo/WhatsApp_Image_2023-09-28_at_12.32.05.jpeg</t>
  </si>
  <si>
    <t>NIAF2001020001</t>
  </si>
  <si>
    <t>NIAMBELE</t>
  </si>
  <si>
    <t>https://myiipea.com/media/etudiant/photo/WhatsApp_Image_2023-10-02_at_18.38.21.jpeg</t>
  </si>
  <si>
    <t>NIAJ1002000001</t>
  </si>
  <si>
    <t>NIAMIEN</t>
  </si>
  <si>
    <t>JEAN-BAPTISTE ARNAUD</t>
  </si>
  <si>
    <t>https://myiipea.com/media/etudiant/photo/WhatsApp_Image_2023-11-06_at_14.39.41.jpeg</t>
  </si>
  <si>
    <t>NIAK2505010001</t>
  </si>
  <si>
    <t>KABRAN FRED IVAN</t>
  </si>
  <si>
    <t>https://myiipea.com/media/etudiant/photo/WhatsApp_Image_2023-11-30_at_09.25.20.jpeg</t>
  </si>
  <si>
    <t>NIAE1205020001</t>
  </si>
  <si>
    <t>NIAMKE</t>
  </si>
  <si>
    <t>ECHUA KOUGON CYNTHIA</t>
  </si>
  <si>
    <t>https://myiipea.com/media/etudiant/photo/IIPEA2_b1pZVv1.jpeg</t>
  </si>
  <si>
    <t>NIAJ2711040001</t>
  </si>
  <si>
    <t>JEAN AUGUST</t>
  </si>
  <si>
    <t>https://myiipea.com/media/etudiant/photo/WhatsApp_Image_2023-10-02_at_18.11.38.jpeg</t>
  </si>
  <si>
    <t>NIAM0405050001</t>
  </si>
  <si>
    <t>MIESSAN ANGE GUY-NOE</t>
  </si>
  <si>
    <t>https://myiipea.com/media/etudiant/photo/WhatsApp_Image_2023-10-05_at_12.05.05.jpeg</t>
  </si>
  <si>
    <t>NIAE0402050001</t>
  </si>
  <si>
    <t>NIAMKEY</t>
  </si>
  <si>
    <t>ETCHIE MARIE THERESE ERICKA</t>
  </si>
  <si>
    <t>https://myiipea.com/media/etudiant/photo/WhatsApp_Image_2023-10-12_at_09.20.48_1.jpeg</t>
  </si>
  <si>
    <t>NIAA0509020001</t>
  </si>
  <si>
    <t>NIANGBO</t>
  </si>
  <si>
    <t>ALAN DURAND AKA</t>
  </si>
  <si>
    <t>https://myiipea.com/media/etudiant/photo/WhatsApp_Image_2023-10-17_at_17.45.28.jpeg</t>
  </si>
  <si>
    <t>NIAD1808030001</t>
  </si>
  <si>
    <t>NIANGO</t>
  </si>
  <si>
    <t>DALIE JEREMIE OTHNIEL</t>
  </si>
  <si>
    <t>https://myiipea.com/media/etudiant/photo/WhatsApp_Image_2023-09-26_at_12.31.56.jpeg</t>
  </si>
  <si>
    <t>NIAN2012020001</t>
  </si>
  <si>
    <t>N'DJOCHI ANGE LANDRY JORDAN</t>
  </si>
  <si>
    <t>https://myiipea.com/media/etudiant/photo/WhatsApp_Image_2023-10-10_at_10.58.27.jpeg</t>
  </si>
  <si>
    <t>NIAA2009010001</t>
  </si>
  <si>
    <t>NIANGORAN</t>
  </si>
  <si>
    <t>ALLOUAN LUCETTE ANDREA</t>
  </si>
  <si>
    <t>https://myiipea.com/media/etudiant/photo/photo_bSczqNJ.jpg</t>
  </si>
  <si>
    <t>NIAG3010040001</t>
  </si>
  <si>
    <t>GNANGORAN TIPHANIE EMMANUELLE</t>
  </si>
  <si>
    <t>https://myiipea.com/media/etudiant/photo/WhatsApp_Image_2023-10-02_at_16.41.08.jpeg</t>
  </si>
  <si>
    <t>NIAA0307000001</t>
  </si>
  <si>
    <t>NIANZOU</t>
  </si>
  <si>
    <t>AKA-BLA AUGUSTINE</t>
  </si>
  <si>
    <t>https://myiipea.com/media/etudiant/photo/WhatsApp_Image_2023-10-24_at_15.23.36.jpeg</t>
  </si>
  <si>
    <t>NIAH2807030001</t>
  </si>
  <si>
    <t>NIASSI</t>
  </si>
  <si>
    <t>HOBBAH KEMISSET JEAN DE DIEU</t>
  </si>
  <si>
    <t>https://myiipea.com/media/etudiant/photo/WhatsApp_Image_2023-10-24_at_12.02.05.jpeg</t>
  </si>
  <si>
    <t>NIAD2702020001</t>
  </si>
  <si>
    <t>NIAWA</t>
  </si>
  <si>
    <t>DESIRE DALLO JUNIOR</t>
  </si>
  <si>
    <t>https://myiipea.com/media/etudiant/photo/WhatsApp_Image_2023-10-11_at_13.53.47.jpeg</t>
  </si>
  <si>
    <t>NIKA2104020001</t>
  </si>
  <si>
    <t>NIKIEMA</t>
  </si>
  <si>
    <t>ANICET FLORE</t>
  </si>
  <si>
    <t>https://myiipea.com/media/etudiant/photo/WhatsApp_Image_2023-11-22_at_14.56.56.jpeg</t>
  </si>
  <si>
    <t>NIKC0508040001</t>
  </si>
  <si>
    <t>CHEICK OMAR</t>
  </si>
  <si>
    <t>https://myiipea.com/media/etudiant/photo/WhatsApp_Image_2023-10-04_at_09.22.02.jpeg</t>
  </si>
  <si>
    <t>NIKJ2308980001</t>
  </si>
  <si>
    <t>JEAN FABRICE</t>
  </si>
  <si>
    <t>https://myiipea.com/media/etudiant/photo/WhatsApp_Image_2023-11-06_at_17.27.04.jpeg</t>
  </si>
  <si>
    <t>NIKC3007060001</t>
  </si>
  <si>
    <t>NIKIEMAH</t>
  </si>
  <si>
    <t>CHEICK FADEL SEYDOUH</t>
  </si>
  <si>
    <t>https://myiipea.com/media/etudiant/photo/WhatsApp_Image_2023-10-03_at_12.48.53_PM.jpeg</t>
  </si>
  <si>
    <t>NIMF1411040001</t>
  </si>
  <si>
    <t>NIMAGA</t>
  </si>
  <si>
    <t>https://myiipea.com/media/etudiant/photo/WhatsApp_Image_2023-10-23_at_2.00.19_PM.jpeg</t>
  </si>
  <si>
    <t>NINS2406000001</t>
  </si>
  <si>
    <t>NINKAN</t>
  </si>
  <si>
    <t>SRA LAURE ANNICK</t>
  </si>
  <si>
    <t>https://myiipea.com/media/etudiant/photo/WhatsApp_Image_2023-11-14_at_11.37.12_AM.jpeg</t>
  </si>
  <si>
    <t>NINN1308020001</t>
  </si>
  <si>
    <t>NINO</t>
  </si>
  <si>
    <t>NASSER NELY JOHANE MOUNIRA</t>
  </si>
  <si>
    <t>https://myiipea.com/media/etudiant/photo/WhatsApp_Image_2023-10-04_at_14.09.41.jpeg</t>
  </si>
  <si>
    <t>N'NG1805970001</t>
  </si>
  <si>
    <t>NIONDO</t>
  </si>
  <si>
    <t>GUEASSA JEREMIE</t>
  </si>
  <si>
    <t>https://myiipea.com/media/etudiant/photo/WhatsApp_Image_2023-10-30_at_14.53.50.jpeg</t>
  </si>
  <si>
    <t>NOGK0210010001</t>
  </si>
  <si>
    <t>NOGBOU</t>
  </si>
  <si>
    <t>KOUAME JEAN-MARC</t>
  </si>
  <si>
    <t>https://myiipea.com/media/etudiant/photo/WhatsApp_Image_2023-09-15_at_09.46.19.jpeg</t>
  </si>
  <si>
    <t>NOHE2012050001</t>
  </si>
  <si>
    <t>NOHON</t>
  </si>
  <si>
    <t>ERIC SAMUEL</t>
  </si>
  <si>
    <t>https://myiipea.com/media/etudiant/photo/WhatsApp_Image_2023-11-22_at_12.44.00.jpeg</t>
  </si>
  <si>
    <t>NOHK1001050001</t>
  </si>
  <si>
    <t>KAGNE ROXANE SALY</t>
  </si>
  <si>
    <t>https://myiipea.com/media/etudiant/photo/WhatsApp_Image_2023-10-09_at_20.18.53.jpeg</t>
  </si>
  <si>
    <t>NOHT1408010001</t>
  </si>
  <si>
    <t>NOHONIN</t>
  </si>
  <si>
    <t>TOALY CHARLEMAGNE OLIVIER</t>
  </si>
  <si>
    <t>https://myiipea.com/media/etudiant/photo/WhatsApp_Image_2023-11-06_at_09.58.18.jpeg</t>
  </si>
  <si>
    <t>NOMD2806010001</t>
  </si>
  <si>
    <t>NOMEL</t>
  </si>
  <si>
    <t>DOMINIQUE JUNIOR</t>
  </si>
  <si>
    <t>https://myiipea.com/media/etudiant/photo/WhatsApp_Image_2023-11-30_at_3.09.22_PM.jpeg</t>
  </si>
  <si>
    <t>NOMM2404020001</t>
  </si>
  <si>
    <t>MELE CARMEL BEOLE</t>
  </si>
  <si>
    <t>https://myiipea.com/media/etudiant/photo/WhatsApp_Image_2023-10-03_at_13.53.31.jpeg</t>
  </si>
  <si>
    <t>NOMN1503020001</t>
  </si>
  <si>
    <t>NOMMAN</t>
  </si>
  <si>
    <t>N'DA PAULINE</t>
  </si>
  <si>
    <t>https://myiipea.com/media/etudiant/photo/WhatsApp_Image_2023-10-23_at_15.16.03.jpeg</t>
  </si>
  <si>
    <t>NOUY1201020001</t>
  </si>
  <si>
    <t>NOUFE</t>
  </si>
  <si>
    <t>YERIE TRYPHENE</t>
  </si>
  <si>
    <t>https://myiipea.com/media/etudiant/photo/WhatsApp_Image_2023-10-20_at_18.08.41.jpeg</t>
  </si>
  <si>
    <t>NOUK0102040001</t>
  </si>
  <si>
    <t>NOUMEKPO</t>
  </si>
  <si>
    <t>KOSSIWA ELLA</t>
  </si>
  <si>
    <t>https://myiipea.com/media/etudiant/photo/WhatsApp_Image_2023-10-13_at_12.37.24.jpeg</t>
  </si>
  <si>
    <t>NOUK1208980002</t>
  </si>
  <si>
    <t>NOUTOUA</t>
  </si>
  <si>
    <t>KOUIA VICTORIEN</t>
  </si>
  <si>
    <t>https://myiipea.com/media/etudiant/photo/WhatsApp_Image_2023-10-23_at_17.06.38_H7acIhT.jpeg</t>
  </si>
  <si>
    <t>OBAJ0902050001</t>
  </si>
  <si>
    <t>OBA</t>
  </si>
  <si>
    <t>JEAN-NOE AQUILAS</t>
  </si>
  <si>
    <t>https://myiipea.com/media/etudiant/photo/WhatsApp_Image_2023-10-13_at_17.42.19.jpeg</t>
  </si>
  <si>
    <t>OBIC3110040001</t>
  </si>
  <si>
    <t>OBIN</t>
  </si>
  <si>
    <t>CHARLES MARCELLIN ELIE</t>
  </si>
  <si>
    <t>https://myiipea.com/media/etudiant/photo/WhatsApp_Image_2023-10-03_at_11.11.38.jpeg</t>
  </si>
  <si>
    <t>OBRA1411020001</t>
  </si>
  <si>
    <t>OBROU</t>
  </si>
  <si>
    <t>AKA ARTHUR BERANGER</t>
  </si>
  <si>
    <t>https://myiipea.com/media/etudiant/photo/WhatsApp_Image_2023-10-16_at_09.28.03.jpeg</t>
  </si>
  <si>
    <t>OBRH1909040001</t>
  </si>
  <si>
    <t>HONOBEHI CHRISTIANE LAURE</t>
  </si>
  <si>
    <t>https://myiipea.com/media/etudiant/photo/WhatsApp_Image_2023-10-03_at_08.41.48.jpeg</t>
  </si>
  <si>
    <t>ODIC2509050001</t>
  </si>
  <si>
    <t>ODI</t>
  </si>
  <si>
    <t>CHI-ACHI MARIE EMMANUELLA</t>
  </si>
  <si>
    <t>https://myiipea.com/media/etudiant/photo/WhatsApp_Image_2023-10-04_at_08.54.57.jpeg</t>
  </si>
  <si>
    <t>ODJG2205050001</t>
  </si>
  <si>
    <t>ODJE</t>
  </si>
  <si>
    <t>GRACE CECILE EMMANUELLE YIE</t>
  </si>
  <si>
    <t>https://myiipea.com/media/etudiant/photo/WhatsApp_Image_2023-10-04_at_13.50.13.jpeg</t>
  </si>
  <si>
    <t>ODJK0503020001</t>
  </si>
  <si>
    <t>ODJOUA</t>
  </si>
  <si>
    <t>KOUADIO YVES ANSELME</t>
  </si>
  <si>
    <t>https://myiipea.com/media/etudiant/photo/WhatsApp_Image_2023-09-22_%C3%A0_10.22.22.jpg</t>
  </si>
  <si>
    <t>ODRY2509010001</t>
  </si>
  <si>
    <t>ODREKOU</t>
  </si>
  <si>
    <t>YANN EMMANUEL</t>
  </si>
  <si>
    <t>https://myiipea.com/media/etudiant/photo/WhatsApp_Image_2023-11-03_at_13.37.51.jpeg</t>
  </si>
  <si>
    <t>OGOE2503030001</t>
  </si>
  <si>
    <t>OGOU</t>
  </si>
  <si>
    <t>ELLOH WILFRIED DYLANE</t>
  </si>
  <si>
    <t>https://myiipea.com/media/etudiant/photo/WhatsApp_Image_2023-10-13_at_10.54.40.jpeg</t>
  </si>
  <si>
    <t>OGUD2910010001</t>
  </si>
  <si>
    <t>OGUNGBILE</t>
  </si>
  <si>
    <t>DJIBRIL</t>
  </si>
  <si>
    <t>https://myiipea.com/media/etudiant/photo/WhatsApp_Image_2023-11-02_at_12.14.12.jpeg</t>
  </si>
  <si>
    <t>OHID0109980001</t>
  </si>
  <si>
    <t>OHI</t>
  </si>
  <si>
    <t>DOH CONSTANT ELISEE</t>
  </si>
  <si>
    <t>https://myiipea.com/media/etudiant/photo/WhatsApp_Image_2023-11-30_at_09.24.33.jpeg</t>
  </si>
  <si>
    <t>OHOC3008040001</t>
  </si>
  <si>
    <t>OHOUO</t>
  </si>
  <si>
    <t>CHANCE TREVIS</t>
  </si>
  <si>
    <t>https://myiipea.com/media/etudiant/photo/WhatsApp_Image_2023-09-22_at_12.34.41.jpeg</t>
  </si>
  <si>
    <t>OKEK0811030001</t>
  </si>
  <si>
    <t>OKE</t>
  </si>
  <si>
    <t>KODIR OLUWASEUN BUKOLA</t>
  </si>
  <si>
    <t>https://myiipea.com/media/etudiant/photo/WhatsApp_Image_2023-10-05_at_13.16.14.jpeg</t>
  </si>
  <si>
    <t>OKOM0305000001</t>
  </si>
  <si>
    <t>OKO</t>
  </si>
  <si>
    <t>MISCHADO GAMBOU</t>
  </si>
  <si>
    <t>https://myiipea.com/media/etudiant/photo/WhatsApp_Image_2023-10-23_at_3.43.50_PM.jpeg</t>
  </si>
  <si>
    <t>OKOG1704020001</t>
  </si>
  <si>
    <t>OKOBET</t>
  </si>
  <si>
    <t>GRALLAU BEATRICE GERVELINE</t>
  </si>
  <si>
    <t>https://myiipea.com/media/etudiant/photo/IIPEA_h12lHKT.jpg</t>
  </si>
  <si>
    <t>OKOL2104030001</t>
  </si>
  <si>
    <t>OKON</t>
  </si>
  <si>
    <t>LOUISE ANGELA</t>
  </si>
  <si>
    <t>https://myiipea.com/media/etudiant/photo/WhatsApp_Image_2023-11-22_at_11.07.55_AM.jpeg</t>
  </si>
  <si>
    <t>OKOJ1312030001</t>
  </si>
  <si>
    <t>OKOU</t>
  </si>
  <si>
    <t>https://myiipea.com/media/etudiant/photo/WhatsApp_Image_2023-10-03_at_10.22.17.jpeg</t>
  </si>
  <si>
    <t>OKOM2503070001</t>
  </si>
  <si>
    <t>MARIE DORCAS ANNONCIATION</t>
  </si>
  <si>
    <t>https://myiipea.com/media/etudiant/photo/WhatsApp_Image_2023-10-03_at_10.21.49.jpeg</t>
  </si>
  <si>
    <t>OKOB2108010001</t>
  </si>
  <si>
    <t>OKOUE</t>
  </si>
  <si>
    <t>BADIEL</t>
  </si>
  <si>
    <t>https://myiipea.com/media/etudiant/photo/WhatsApp_Image_2023-10-11_at_16.19.23.jpeg</t>
  </si>
  <si>
    <t>OKOB1804980001</t>
  </si>
  <si>
    <t>BADIEL ANDREA</t>
  </si>
  <si>
    <t>https://myiipea.com/media/etudiant/photo/WhatsApp_Image_2023-11-02_at_15.50.47.jpeg</t>
  </si>
  <si>
    <t>OKOB1804030001</t>
  </si>
  <si>
    <t>BADIEL MIREILLE</t>
  </si>
  <si>
    <t>https://myiipea.com/media/etudiant/photo/WhatsApp_Image_2023-11-02_at_15.51.11.jpeg</t>
  </si>
  <si>
    <t>OKPP0410040001</t>
  </si>
  <si>
    <t>OKPALACHUKU</t>
  </si>
  <si>
    <t>PRECIOUS UDOCHI ONYEKACHUKU</t>
  </si>
  <si>
    <t>https://myiipea.com/media/etudiant/photo/WhatsApp_Image_2023-11-06_at_12.57.31.jpeg</t>
  </si>
  <si>
    <t>OKRG2801040001</t>
  </si>
  <si>
    <t>OKRI</t>
  </si>
  <si>
    <t>GOGOUA MOISE</t>
  </si>
  <si>
    <t>https://myiipea.com/media/etudiant/photo/IIPEA_xkjjAkM.jpg</t>
  </si>
  <si>
    <t>OKUY3112050001</t>
  </si>
  <si>
    <t>OKUNKA</t>
  </si>
  <si>
    <t>YAWA ESTHER</t>
  </si>
  <si>
    <t>https://myiipea.com/media/etudiant/photo/WhatsApp_Image_2023-10-26_at_11.55.31.jpeg</t>
  </si>
  <si>
    <t>OLAK1705060001</t>
  </si>
  <si>
    <t>OLAIFA</t>
  </si>
  <si>
    <t>KAASHIFU KHAERI AKINKUNMI</t>
  </si>
  <si>
    <t>https://myiipea.com/media/etudiant/photo/WhatsApp_Image_2023-10-03_at_11.39.17_AM.jpeg</t>
  </si>
  <si>
    <t>OLAM2307030001</t>
  </si>
  <si>
    <t>OLANIYAN</t>
  </si>
  <si>
    <t>MARGUERITE ANOU OLUWA</t>
  </si>
  <si>
    <t>https://myiipea.com/media/etudiant/photo/WhatsApp_Image_2023-10-25_at_5.09.25_PM.jpeg</t>
  </si>
  <si>
    <t>OLAO3006040001</t>
  </si>
  <si>
    <t>OLAROTIMI</t>
  </si>
  <si>
    <t>OLAWUMI ANGE WILFRIED FAWAS</t>
  </si>
  <si>
    <t>https://myiipea.com/media/etudiant/photo/WhatsApp_Image_2023-10-23_at_15.22.59_2.jpeg</t>
  </si>
  <si>
    <t>OLAA1901040001</t>
  </si>
  <si>
    <t>OLAYIWOLA</t>
  </si>
  <si>
    <t>AFFIS ABAYOMI AYOOLA</t>
  </si>
  <si>
    <t>https://myiipea.com/media/etudiant/photo/WhatsApp_Image_2023-11-13_at_2_resized.png</t>
  </si>
  <si>
    <t>OLOF2207040001</t>
  </si>
  <si>
    <t>OLOYEDE</t>
  </si>
  <si>
    <t>FAISAT MUSA ADJOKE</t>
  </si>
  <si>
    <t>https://myiipea.com/media/etudiant/photo/WhatsApp_Image_2023-10-19_at_14.15.30.jpeg</t>
  </si>
  <si>
    <t>OLYG2803020001</t>
  </si>
  <si>
    <t>OLYMPIO</t>
  </si>
  <si>
    <t>GLADYS BIOOMKEYS</t>
  </si>
  <si>
    <t>https://myiipea.com/media/etudiant/photo/WhatsApp_Image_2023-09-26_at_16.14.35.jpeg</t>
  </si>
  <si>
    <t>OMOM2006050001</t>
  </si>
  <si>
    <t>OMOTOSHO</t>
  </si>
  <si>
    <t>MICHAEL</t>
  </si>
  <si>
    <t>https://myiipea.com/media/etudiant/photo/t%C3%A9l%C3%A9charg%C3%A9_1SLGrcg.jpeg</t>
  </si>
  <si>
    <t>ONEK2805010001</t>
  </si>
  <si>
    <t>ONE</t>
  </si>
  <si>
    <t>KANON ARCHIL ARMEL ARISTIDE</t>
  </si>
  <si>
    <t>https://myiipea.com/media/etudiant/photo/WhatsApp_Image_2023-10-26_at_10.58.17.jpeg</t>
  </si>
  <si>
    <t>ONGW0605050001</t>
  </si>
  <si>
    <t>ONGOIBA</t>
  </si>
  <si>
    <t>WASSA SAMIRA</t>
  </si>
  <si>
    <t>https://myiipea.com/media/etudiant/photo/WhatsApp_Image_2023-10-26_at_14.48.11.jpeg</t>
  </si>
  <si>
    <t>ONOG2607990001</t>
  </si>
  <si>
    <t>ONOZA</t>
  </si>
  <si>
    <t>GUY CLAUDE</t>
  </si>
  <si>
    <t>https://myiipea.com/media/etudiant/photo/WhatsApp_Image_2023-10-09_at_15.43.30.jpeg</t>
  </si>
  <si>
    <t>OPAP0601000001</t>
  </si>
  <si>
    <t>OPAYOU</t>
  </si>
  <si>
    <t>POLY FRANCK OLIVIER</t>
  </si>
  <si>
    <t>https://myiipea.com/media/etudiant/photo/WhatsApp_Image_2023-10-14_at_08.50.35.jpeg</t>
  </si>
  <si>
    <t>OPEB1002030001</t>
  </si>
  <si>
    <t>OPELI</t>
  </si>
  <si>
    <t>BLEYOU LIONEL</t>
  </si>
  <si>
    <t>https://myiipea.com/media/etudiant/photo/WhatsApp_Image_2023-10-17_at_15.23.50.jpeg</t>
  </si>
  <si>
    <t>ORIM2208050001</t>
  </si>
  <si>
    <t>ORI</t>
  </si>
  <si>
    <t>MARIE ANGE</t>
  </si>
  <si>
    <t>https://myiipea.com/media/etudiant/photo/WhatsApp_Image_2023-10-05_at_15_resized_xMmVSxJ.png</t>
  </si>
  <si>
    <t>OROH2810050001</t>
  </si>
  <si>
    <t>ORO</t>
  </si>
  <si>
    <t>HOPLY ALEX KARELL ESTHER</t>
  </si>
  <si>
    <t>https://myiipea.com/media/etudiant/photo/WhatsApp_Image_2023-09-29_at_16.26.30.jpeg</t>
  </si>
  <si>
    <t>OSES2707030001</t>
  </si>
  <si>
    <t>OSENI</t>
  </si>
  <si>
    <t>SEMIRATOU</t>
  </si>
  <si>
    <t>https://myiipea.com/media/etudiant/photo/WhatsApp_Image_2023-10-04_at_15.27.43.jpeg</t>
  </si>
  <si>
    <t>OSSA2110050001</t>
  </si>
  <si>
    <t>OSSENI</t>
  </si>
  <si>
    <t>ABDEL AZEEZ</t>
  </si>
  <si>
    <t>https://myiipea.com/media/etudiant/photo/ee805a7a-bd0f-4cfc-a70e-cbab604ca96a_6g0XKjd.jpeg</t>
  </si>
  <si>
    <t>OSSN1606020001</t>
  </si>
  <si>
    <t>NAFISATOU ANGNEI OLIVIA ARIELLE</t>
  </si>
  <si>
    <t>https://myiipea.com/media/etudiant/photo/WhatsApp_Image_2023-11-16_at_14.06.48.jpeg</t>
  </si>
  <si>
    <t>OSSE1603040001</t>
  </si>
  <si>
    <t>OSSIRY</t>
  </si>
  <si>
    <t>EMMANUELA LAURORE</t>
  </si>
  <si>
    <t>https://myiipea.com/media/etudiant/photo/WhatsApp_Image_2023-10-04_at_12.31.31.jpeg</t>
  </si>
  <si>
    <t>OSSA2508040001</t>
  </si>
  <si>
    <t>OSSOUKOU</t>
  </si>
  <si>
    <t>AISSA RUTH EUNICE</t>
  </si>
  <si>
    <t>https://myiipea.com/media/etudiant/photo/WhatsApp_Image_2023-10-05_at_12.49.18.jpeg</t>
  </si>
  <si>
    <t>OTCK0202030001</t>
  </si>
  <si>
    <t>OTCHEY</t>
  </si>
  <si>
    <t>KOMENAN GNOGNO PARFAIT</t>
  </si>
  <si>
    <t>https://myiipea.com/media/etudiant/photo/WhatsApp_Image_2023-10-13_at_15.18.55.jpeg</t>
  </si>
  <si>
    <t>OTCA1701030001</t>
  </si>
  <si>
    <t>OTCHOUMOU</t>
  </si>
  <si>
    <t>AMOU JACQUE HENOCH</t>
  </si>
  <si>
    <t>https://myiipea.com/media/etudiant/photo/OTCHOUMOU.jpg</t>
  </si>
  <si>
    <t>OTCA2503030001</t>
  </si>
  <si>
    <t>ANTCHROBI MARLENE ESCHEBA</t>
  </si>
  <si>
    <t>https://myiipea.com/media/etudiant/photo/WhatsApp_Image_2023-09-20_at_10.46.18.jpeg</t>
  </si>
  <si>
    <t>OTRA0102020001</t>
  </si>
  <si>
    <t>OTRON</t>
  </si>
  <si>
    <t>ANNAN CHRISTELLE FRANCISCA</t>
  </si>
  <si>
    <t>https://myiipea.com/media/etudiant/photo/WhatsApp_Image_2023-09-28_at_14.58.31.jpeg</t>
  </si>
  <si>
    <t>OTRS0206050001</t>
  </si>
  <si>
    <t>OTROU</t>
  </si>
  <si>
    <t>SHERRY CHANCE</t>
  </si>
  <si>
    <t>https://myiipea.com/media/etudiant/photo/WhatsApp_Image_2023-11-09_at_4.05.24_PM_UndEBBa.jpeg</t>
  </si>
  <si>
    <t>OTTM2005050001</t>
  </si>
  <si>
    <t>OTTRO</t>
  </si>
  <si>
    <t>MIAKA EMMANUEL</t>
  </si>
  <si>
    <t>https://myiipea.com/media/etudiant/photo/photo_o92WPg8.jpg</t>
  </si>
  <si>
    <t>OUAL2504040001</t>
  </si>
  <si>
    <t>OUAKA</t>
  </si>
  <si>
    <t>LOBE FELIX ROMARIC</t>
  </si>
  <si>
    <t>https://myiipea.com/media/etudiant/photo/WhatsApp_Image_2023-11-07_at_12.55.07.jpeg</t>
  </si>
  <si>
    <t>OUAB1611040001</t>
  </si>
  <si>
    <t>OUALY</t>
  </si>
  <si>
    <t>BOIZO CHRISTELLE EMMANUELLA</t>
  </si>
  <si>
    <t>https://myiipea.com/media/etudiant/photo/WhatsApp_Image_2023-09-28_at_14.13.57.jpeg</t>
  </si>
  <si>
    <t>OUAS2404040001</t>
  </si>
  <si>
    <t>OUAMDAOGO</t>
  </si>
  <si>
    <t>https://myiipea.com/media/etudiant/photo/WhatsApp_Image_2023-10-04_at_6.53.07_PM_97W5sXq.jpeg</t>
  </si>
  <si>
    <t>OUAB1010030001</t>
  </si>
  <si>
    <t>OUANGUI</t>
  </si>
  <si>
    <t>BEHALE JOSIANE</t>
  </si>
  <si>
    <t>https://myiipea.com/media/etudiant/photo/WhatsApp_Image_2023-10-13_at_15.16.02.jpeg</t>
  </si>
  <si>
    <t>OUAC2702020001</t>
  </si>
  <si>
    <t>OUANHOU</t>
  </si>
  <si>
    <t>CYRIL EMMANUEL  DEKAO</t>
  </si>
  <si>
    <t>https://myiipea.com/media/etudiant/photo/WhatsApp_Image_2023-11-02_at_15.34.37.jpeg</t>
  </si>
  <si>
    <t>OUAF1908000001</t>
  </si>
  <si>
    <t>OUANYOU</t>
  </si>
  <si>
    <t>FLEUR DEBORA</t>
  </si>
  <si>
    <t>https://myiipea.com/media/etudiant/photo/WhatsApp_Image_2023-10-03_at_13.53.17.jpeg</t>
  </si>
  <si>
    <t>OUAM0501010001</t>
  </si>
  <si>
    <t>OUAPO</t>
  </si>
  <si>
    <t>MANOU GRACE MAURICETTE MANUELA</t>
  </si>
  <si>
    <t>https://myiipea.com/media/etudiant/photo/WhatsApp_Image_2023-11-21_at_16.09.16.jpeg</t>
  </si>
  <si>
    <t>OUAA0805990001</t>
  </si>
  <si>
    <t>OUASSA</t>
  </si>
  <si>
    <t>AFFOUE ANGE-PASCALINE</t>
  </si>
  <si>
    <t>https://myiipea.com/media/etudiant/photo/WhatsApp_Image_2023-10-04_at_14.04.12.jpeg</t>
  </si>
  <si>
    <t>OUAL1211030001</t>
  </si>
  <si>
    <t>LAGO KARIM</t>
  </si>
  <si>
    <t>https://myiipea.com/media/etudiant/photo/WhatsApp_Image_2023-10-23_at_4.41.38_PM.jpeg</t>
  </si>
  <si>
    <t>OUAA2508010001</t>
  </si>
  <si>
    <t>OUATTARA</t>
  </si>
  <si>
    <t>ABDOULAYE KASSOUM</t>
  </si>
  <si>
    <t>https://myiipea.com/media/etudiant/photo/WhatsApp_Image_2023-10-10_at_11.49.03.jpeg</t>
  </si>
  <si>
    <t>OUAA2202050001</t>
  </si>
  <si>
    <t>ABENAN ADINGRA FATIMA</t>
  </si>
  <si>
    <t>https://myiipea.com/media/etudiant/photo/WhatsApp_Image_2023-09-22_at_12.17.38.jpeg</t>
  </si>
  <si>
    <t>OUAA1410030001</t>
  </si>
  <si>
    <t>ABENAN BRAKISSA GRACE</t>
  </si>
  <si>
    <t>https://myiipea.com/media/etudiant/photo/WhatsApp_Image_2023-10-27_at_15.31.52.jpeg</t>
  </si>
  <si>
    <t>OUAA3007000001</t>
  </si>
  <si>
    <t>ABIBATA YASMINE</t>
  </si>
  <si>
    <t>https://myiipea.com/media/etudiant/photo/WhatsApp_Image_2023-11-10_at_10.57.39.jpeg</t>
  </si>
  <si>
    <t>OUAA0307050001</t>
  </si>
  <si>
    <t>https://myiipea.com/media/etudiant/photo/WhatsApp_Image_2023-09-28_at_13.32.14.jpeg</t>
  </si>
  <si>
    <t>OUAA1010040001</t>
  </si>
  <si>
    <t>https://myiipea.com/media/etudiant/photo/WhatsApp_Image_2023-10-16_at_16.53.10.jpeg</t>
  </si>
  <si>
    <t>OUAA1903060001</t>
  </si>
  <si>
    <t>AICHA SAMIRA</t>
  </si>
  <si>
    <t>https://myiipea.com/media/etudiant/photo/WhatsApp_Image_2023-10-04_at_12.49.49.jpeg</t>
  </si>
  <si>
    <t>OUAA1405010001</t>
  </si>
  <si>
    <t>https://myiipea.com/media/etudiant/photo/WhatsApp_Image_2023-10-12_at_13.30.01.jpeg</t>
  </si>
  <si>
    <t>OUAA1504030001</t>
  </si>
  <si>
    <t>ALI MALICK</t>
  </si>
  <si>
    <t>https://myiipea.com/media/etudiant/photo/WhatsApp_Image_2023-10-13_at_6.08.39_PM.jpeg</t>
  </si>
  <si>
    <t>OUAA0105030002</t>
  </si>
  <si>
    <t>AMA AMY GRACE</t>
  </si>
  <si>
    <t>https://myiipea.com/media/etudiant/photo/WhatsApp_Image_2023-11-09_at_15.05.26_1_4K2nnnd.jpeg</t>
  </si>
  <si>
    <t>OUAA0401060001</t>
  </si>
  <si>
    <t>AMA GRACE EMMANUELLA</t>
  </si>
  <si>
    <t>https://myiipea.com/media/etudiant/photo/WhatsApp_Image_2023-09-29_at_13.30.13.jpeg</t>
  </si>
  <si>
    <t>OUAA0307020002</t>
  </si>
  <si>
    <t>AMENAN ANGE LARISSA</t>
  </si>
  <si>
    <t>https://myiipea.com/media/etudiant/photo/photo_9MRCvkg.jpg</t>
  </si>
  <si>
    <t>OUAA0101980001</t>
  </si>
  <si>
    <t>https://myiipea.com/media/etudiant/photo/WhatsApp_Image_2023-10-30_at_09.21.31.jpeg</t>
  </si>
  <si>
    <t>OUAA2704030001</t>
  </si>
  <si>
    <t>AMOIN GRACE MANUELLA</t>
  </si>
  <si>
    <t>https://myiipea.com/media/etudiant/photo/WhatsApp_Image_2023-11-02_at_10.30.09.jpeg</t>
  </si>
  <si>
    <t>OUAA1909050001</t>
  </si>
  <si>
    <t>ANGE BIENVENUE AKOUA</t>
  </si>
  <si>
    <t>https://myiipea.com/media/etudiant/photo/WhatsApp_Image_2023-10-05_at_13_resized.png</t>
  </si>
  <si>
    <t>OUAA0910020001</t>
  </si>
  <si>
    <t>ASSANAN</t>
  </si>
  <si>
    <t>https://myiipea.com/media/etudiant/photo/WhatsApp_Image_2023-10-31_at_3.29.59_PM.jpeg</t>
  </si>
  <si>
    <t>OUAA2003030001</t>
  </si>
  <si>
    <t>ATTCHOUMOUTCHO JONAS MARIE-REINE</t>
  </si>
  <si>
    <t>https://myiipea.com/media/etudiant/photo/WhatsApp_Image_2023-11-10_at_15.11.04.jpeg</t>
  </si>
  <si>
    <t>OUAA0505020001</t>
  </si>
  <si>
    <t>https://myiipea.com/media/etudiant/photo/WhatsApp_Image_2023-10-03_at_16.16.42.jpeg</t>
  </si>
  <si>
    <t>OUAB2109060001</t>
  </si>
  <si>
    <t>BEKANTY ANGE MAEL</t>
  </si>
  <si>
    <t>https://myiipea.com/media/etudiant/photo/WhatsApp_Image_2023-10-03_at_10.18.53.jpeg</t>
  </si>
  <si>
    <t>OUAB0601020001</t>
  </si>
  <si>
    <t>BINTA</t>
  </si>
  <si>
    <t>https://myiipea.com/media/etudiant/photo/WhatsApp_Image_2023-10-05_at_12.38.11.jpeg</t>
  </si>
  <si>
    <t>OUAB2002040001</t>
  </si>
  <si>
    <t>BINTOU EMMANUELLA</t>
  </si>
  <si>
    <t>https://myiipea.com/media/etudiant/photo/WhatsApp_Image_2023-10-03_at_15.24.49.jpeg</t>
  </si>
  <si>
    <t>OUAB0301030001</t>
  </si>
  <si>
    <t>BINTOU STEPHANIE</t>
  </si>
  <si>
    <t>https://myiipea.com/media/etudiant/photo/WhatsApp_Image_2023-10-09_at_15.46.23.jpeg</t>
  </si>
  <si>
    <t>OUAB0401040001</t>
  </si>
  <si>
    <t>BOKORIBIA MARAMA AURORE</t>
  </si>
  <si>
    <t>https://myiipea.com/media/etudiant/photo/WhatsApp_Image_2023-09-20_at_09.41.09.jpeg</t>
  </si>
  <si>
    <t>OUAC1607000002</t>
  </si>
  <si>
    <t>CLINDJO CHARLOTTE</t>
  </si>
  <si>
    <t>https://myiipea.com/media/etudiant/photo/WhatsApp_Image_2023-10-06_at_14.24.51_1_AIix0km.jpeg</t>
  </si>
  <si>
    <t>OUAD0204990001</t>
  </si>
  <si>
    <t>DJAKALIA</t>
  </si>
  <si>
    <t>https://myiipea.com/media/etudiant/photo/WhatsApp_Image_2023-10-13_at_11.20.13.jpeg</t>
  </si>
  <si>
    <t>OUAD0903990001</t>
  </si>
  <si>
    <t>DJAMILA</t>
  </si>
  <si>
    <t>https://myiipea.com/media/etudiant/photo/WhatsApp_Image_2023-10-23_at_15.22.59_4.jpeg</t>
  </si>
  <si>
    <t>OUAD0101030001</t>
  </si>
  <si>
    <t>https://myiipea.com/media/etudiant/photo/WhatsApp_Image_2023-10-13_at_14_resized.png</t>
  </si>
  <si>
    <t>OUAD1906000001</t>
  </si>
  <si>
    <t>https://myiipea.com/media/etudiant/photo/DRISSA.jpg</t>
  </si>
  <si>
    <t>OUAD1311020001</t>
  </si>
  <si>
    <t>DRISSA KIBEDJA</t>
  </si>
  <si>
    <t>https://myiipea.com/media/etudiant/photo/WhatsApp_Image_2023-10-11_at_10.31.58.jpeg</t>
  </si>
  <si>
    <t>OUAF0704050001</t>
  </si>
  <si>
    <t>FATIM LAURAINE RACHELLE</t>
  </si>
  <si>
    <t>https://myiipea.com/media/etudiant/photo/WhatsApp_Image_2023-10-02_at_18.13.11.jpeg</t>
  </si>
  <si>
    <t>OUAF3006020001</t>
  </si>
  <si>
    <t>FATOUMATA YABA</t>
  </si>
  <si>
    <t>https://myiipea.com/media/etudiant/photo/WhatsApp_Image_2023-10-16_at_15.36.53.jpeg</t>
  </si>
  <si>
    <t>OUAG1305020001</t>
  </si>
  <si>
    <t>GNELLE MAIMOUNA</t>
  </si>
  <si>
    <t>https://myiipea.com/media/etudiant/photo/WhatsApp_Image_2023-10-04_at_5_resized.png</t>
  </si>
  <si>
    <t>OUAG1901040001</t>
  </si>
  <si>
    <t>GRACE SECOLTEGUI RUTH</t>
  </si>
  <si>
    <t>https://myiipea.com/media/etudiant/photo/ee805a7a-bd0f-4cfc-a70e-cbab604ca96a_kbaY1rg.jpeg</t>
  </si>
  <si>
    <t>OUAG0307030001</t>
  </si>
  <si>
    <t>GUY JEAN MARIE</t>
  </si>
  <si>
    <t>https://myiipea.com/media/etudiant/photo/WhatsApp_Image_2023-10-18_at_14.16.07.jpeg</t>
  </si>
  <si>
    <t>OUAH0404040001</t>
  </si>
  <si>
    <t>HADJA MAIMOUNA MICHAELLA</t>
  </si>
  <si>
    <t>https://myiipea.com/media/etudiant/photo/WhatsApp_Image_2023-10-12_at_08.29.58.jpeg</t>
  </si>
  <si>
    <t>OUAH1703020001</t>
  </si>
  <si>
    <t>HAMED DANIEL</t>
  </si>
  <si>
    <t>https://myiipea.com/media/etudiant/photo/DANIEL.jpg</t>
  </si>
  <si>
    <t>OUAH2906020001</t>
  </si>
  <si>
    <t>HASSAN YVAN</t>
  </si>
  <si>
    <t>https://myiipea.com/media/etudiant/photo/unnamed-2_Ln5FWhI.png</t>
  </si>
  <si>
    <t>OUAH1405040001</t>
  </si>
  <si>
    <t>HOSSAMAN PRUNELLE</t>
  </si>
  <si>
    <t>https://myiipea.com/media/etudiant/photo/WhatsApp_Image_2023-10-31_at_4.30.22_PM.jpeg</t>
  </si>
  <si>
    <t>OUAI2401030001</t>
  </si>
  <si>
    <t>https://myiipea.com/media/etudiant/photo/WhatsApp_Image_2023-12-01_at_4_resized_v1t4fVf_resized.png</t>
  </si>
  <si>
    <t>OUAI0101030001</t>
  </si>
  <si>
    <t>ISAAC</t>
  </si>
  <si>
    <t>https://myiipea.com/media/etudiant/photo/WhatsApp_Image_2023-11-08_at_16.01.13.jpeg</t>
  </si>
  <si>
    <t>OUAK0504000001</t>
  </si>
  <si>
    <t>KAMANTO EMMANUELLE</t>
  </si>
  <si>
    <t>https://myiipea.com/media/etudiant/photo/WhatsApp_Image_2023-09-20_%C3%A0_14.47.58.jpg</t>
  </si>
  <si>
    <t>OUAK2410010001</t>
  </si>
  <si>
    <t>KANIDANAN DJENEBA MALIKA</t>
  </si>
  <si>
    <t>https://myiipea.com/media/etudiant/photo/WhatsApp_Image_2023-11-20_at_3.37.18_PM.jpeg</t>
  </si>
  <si>
    <t>OUAK3112010001</t>
  </si>
  <si>
    <t>KHALIDOU</t>
  </si>
  <si>
    <t>https://myiipea.com/media/etudiant/photo/WhatsApp_Image_2023-10-16_at_14.19.31.jpeg</t>
  </si>
  <si>
    <t>OUAK1506040001</t>
  </si>
  <si>
    <t>KOBENAN SINAN BIRAM</t>
  </si>
  <si>
    <t>https://myiipea.com/media/etudiant/photo/WhatsApp_Image_2023-09-28_at_16.36.42.jpeg</t>
  </si>
  <si>
    <t>OUAK0306010001</t>
  </si>
  <si>
    <t>KOUAKOU NOURA</t>
  </si>
  <si>
    <t>https://myiipea.com/media/etudiant/photo/WhatsApp_Image_2023-10-06_at_12.04.29.jpeg</t>
  </si>
  <si>
    <t>OUAK0512050001</t>
  </si>
  <si>
    <t>KOUASSI ABRAHAM</t>
  </si>
  <si>
    <t>https://myiipea.com/media/etudiant/photo/WhatsApp_Image_2023-10-04_at_12.58.19_1.jpeg</t>
  </si>
  <si>
    <t>OUAL3007020001</t>
  </si>
  <si>
    <t>LASSINA</t>
  </si>
  <si>
    <t>https://myiipea.com/media/etudiant/photo/WhatsApp_Image_2023-10-24_at_09.43.33.jpeg</t>
  </si>
  <si>
    <t>OUAM0608030001</t>
  </si>
  <si>
    <t>https://myiipea.com/media/etudiant/photo/Logo_EMATECH_6eelRJb.png</t>
  </si>
  <si>
    <t>OUAM2510020001</t>
  </si>
  <si>
    <t>MAKISSA SAMIRA</t>
  </si>
  <si>
    <t>https://myiipea.com/media/etudiant/photo/WhatsApp_Image_2023-10-30_at_13_resized.png</t>
  </si>
  <si>
    <t>OUAM1809020001</t>
  </si>
  <si>
    <t>https://myiipea.com/media/etudiant/photo/WhatsApp_Image_2023-11-09_at_10.49.56.jpeg</t>
  </si>
  <si>
    <t>OUAM1501000001</t>
  </si>
  <si>
    <t>MARIAM HAMIDA</t>
  </si>
  <si>
    <t>https://myiipea.com/media/etudiant/photo/WhatsApp_Image_2023-10-16_at_11.57.56.jpeg</t>
  </si>
  <si>
    <t>OUAM1705010001</t>
  </si>
  <si>
    <t>MIGAYEGLAN ERICKA ARIELLE</t>
  </si>
  <si>
    <t>https://myiipea.com/media/etudiant/photo/WhatsApp_Image_2023-10-02_at_17.09.10.jpeg</t>
  </si>
  <si>
    <t>OUAM2711030001</t>
  </si>
  <si>
    <t>https://myiipea.com/media/etudiant/photo/WhatsApp_Image_2023-10-05_at_12.39.53.jpeg</t>
  </si>
  <si>
    <t>OUAM2310020001</t>
  </si>
  <si>
    <t>https://myiipea.com/media/etudiant/photo/WhatsApp_Image_2023-09-29_at_12.04.13.jpeg</t>
  </si>
  <si>
    <t>OUAM2805050001</t>
  </si>
  <si>
    <t>MOHAMED ABDOUL KADER</t>
  </si>
  <si>
    <t>https://myiipea.com/media/etudiant/photo/WhatsApp_Image_2023-10-13_at_18.14.52.jpeg</t>
  </si>
  <si>
    <t>OUAM0505010001</t>
  </si>
  <si>
    <t>MOHAMED ISMAEL</t>
  </si>
  <si>
    <t>https://myiipea.com/media/etudiant/photo/WhatsApp_Image_2023-11-28_at_1.49.49_PM.jpeg</t>
  </si>
  <si>
    <t>OUAM2709010001</t>
  </si>
  <si>
    <t>MYRIAM NONFARA EMMANUELA</t>
  </si>
  <si>
    <t>https://myiipea.com/media/etudiant/photo/WhatsApp_Image_2023-10-09_at_11.40.15.jpeg</t>
  </si>
  <si>
    <t>OUAN1404010001</t>
  </si>
  <si>
    <t>N'GOLO DIAKARIA</t>
  </si>
  <si>
    <t>https://myiipea.com/media/etudiant/photo/WhatsApp_Image_2023-10-31_at_17.17.45.jpeg</t>
  </si>
  <si>
    <t>OUAN3110050001</t>
  </si>
  <si>
    <t>NADIA</t>
  </si>
  <si>
    <t>https://myiipea.com/media/etudiant/photo/WhatsApp_Image_2023-10-04_at_13.49.38.jpeg</t>
  </si>
  <si>
    <t>OUAN2002040001</t>
  </si>
  <si>
    <t>NADIEN OUMAR</t>
  </si>
  <si>
    <t>https://myiipea.com/media/etudiant/photo/WhatsApp_Image_2023-10-17_at_11.45.54.jpeg</t>
  </si>
  <si>
    <t>OUAN0803020001</t>
  </si>
  <si>
    <t>NAH AHOUA STEPHANIE</t>
  </si>
  <si>
    <t>https://myiipea.com/media/etudiant/photo/t%C3%A9l%C3%A9chargement_ifMyOMO.png</t>
  </si>
  <si>
    <t>OUAO2705000001</t>
  </si>
  <si>
    <t>OMIENITIO LYDIE</t>
  </si>
  <si>
    <t>https://myiipea.com/media/etudiant/photo/WhatsApp_Image_2023-11-06_at_15.18.04.jpeg</t>
  </si>
  <si>
    <t>OUAO2404020001</t>
  </si>
  <si>
    <t>OSSEN</t>
  </si>
  <si>
    <t>https://myiipea.com/media/etudiant/photo/WhatsApp_Image_2023-10-06_at_08.54.12.jpeg</t>
  </si>
  <si>
    <t>OUAP2006030002</t>
  </si>
  <si>
    <t>PEDIENLIN KATAN NANGBO THEODORE MELVIN</t>
  </si>
  <si>
    <t>https://myiipea.com/media/etudiant/photo/WhatsApp_Image_2023-09-29_at_09.16.28.jpeg</t>
  </si>
  <si>
    <t>OUAP2010990001</t>
  </si>
  <si>
    <t>PENAGNOUFA  DAVID</t>
  </si>
  <si>
    <t>https://myiipea.com/media/etudiant/photo/WhatsApp_Image_2023-09-29_at_17.19.36.jpeg</t>
  </si>
  <si>
    <t>OUAR0609010001</t>
  </si>
  <si>
    <t>RACHIDATOU</t>
  </si>
  <si>
    <t>https://myiipea.com/media/etudiant/photo/WhatsApp_Image_2023-11-07_at_10.15.09.jpeg</t>
  </si>
  <si>
    <t>OUAR2502040001</t>
  </si>
  <si>
    <t>RAISSA HADAN</t>
  </si>
  <si>
    <t>https://myiipea.com/media/etudiant/photo/WhatsApp_Image_2023-10-13_at_17_resized.png</t>
  </si>
  <si>
    <t>OUAR1802030001</t>
  </si>
  <si>
    <t>RICHARD ABDOUL HAMID</t>
  </si>
  <si>
    <t>https://myiipea.com/media/etudiant/photo/WhatsApp_Image_2023-10-04_at_15.04.35.jpeg</t>
  </si>
  <si>
    <t>OUAS2511020001</t>
  </si>
  <si>
    <t>https://myiipea.com/media/etudiant/photo/ee805a7a-bd0f-4cfc-a70e-cbab604ca96a_PTHjiZf.jpeg</t>
  </si>
  <si>
    <t>OUAS1202020001</t>
  </si>
  <si>
    <t>https://myiipea.com/media/etudiant/photo/WhatsApp_Image_2023-10-02_at_15.22.44.jpeg</t>
  </si>
  <si>
    <t>OUAS2708010001</t>
  </si>
  <si>
    <t>https://myiipea.com/media/etudiant/photo/WhatsApp_Image_2023-11-08_at_4_resized.png</t>
  </si>
  <si>
    <t>OUAS2304990001</t>
  </si>
  <si>
    <t>SIE EMMANUEL</t>
  </si>
  <si>
    <t>https://myiipea.com/media/etudiant/photo/WhatsApp_Image_2023-10-02_at_4.23.52_PM.jpeg</t>
  </si>
  <si>
    <t>OUAT0505030001</t>
  </si>
  <si>
    <t>TAHIROU PEHOUE</t>
  </si>
  <si>
    <t>https://myiipea.com/media/etudiant/photo/WhatsApp_Image_2023-10-16_at_13.18.08.jpeg</t>
  </si>
  <si>
    <t>OUAT2201020001</t>
  </si>
  <si>
    <t>TAMIA RAYMOND SALIMATA</t>
  </si>
  <si>
    <t>https://myiipea.com/media/etudiant/photo/WhatsApp_Image_2023-10-09_at_11.40.16.jpeg</t>
  </si>
  <si>
    <t>OUAT1302050001</t>
  </si>
  <si>
    <t>TIEBA FATOUMA</t>
  </si>
  <si>
    <t>https://myiipea.com/media/etudiant/photo/WhatsApp_Image_2023-10-06_at_18.32.08.jpeg</t>
  </si>
  <si>
    <t>OUAY0103030001</t>
  </si>
  <si>
    <t>YASMINE JOELLE</t>
  </si>
  <si>
    <t>https://myiipea.com/media/etudiant/photo/WhatsApp_Image_2023-10-19_at_13.32.48.jpeg</t>
  </si>
  <si>
    <t>OUAY0108040001</t>
  </si>
  <si>
    <t>YAWA MARIAM</t>
  </si>
  <si>
    <t>https://myiipea.com/media/etudiant/photo/MARIAM.jpg</t>
  </si>
  <si>
    <t>OUAY1407000001</t>
  </si>
  <si>
    <t>https://myiipea.com/media/etudiant/photo/WhatsApp_Image_2023-10-12_at_15.09.25.jpeg</t>
  </si>
  <si>
    <t>OUAY2811040001</t>
  </si>
  <si>
    <t>YOUNOUSS ABRAHAM</t>
  </si>
  <si>
    <t>https://myiipea.com/media/etudiant/photo/IIPEA_ff29znK.jpg</t>
  </si>
  <si>
    <t>OUAB1306010001</t>
  </si>
  <si>
    <t>OUAYRO</t>
  </si>
  <si>
    <t>BEGUI MAHIET</t>
  </si>
  <si>
    <t>https://myiipea.com/media/etudiant/photo/WhatsApp_Image_2023-10-02_at_15.18.10.jpeg</t>
  </si>
  <si>
    <t>OUEN2009060001</t>
  </si>
  <si>
    <t>OUEDIE</t>
  </si>
  <si>
    <t>NUNGOMUN FRIGELAND HELKVISSERT</t>
  </si>
  <si>
    <t>https://myiipea.com/media/etudiant/photo/WhatsApp_Image_2023-11-21_at_12.14.49.jpeg</t>
  </si>
  <si>
    <t>OUEA3001050001</t>
  </si>
  <si>
    <t>OUEDRAOGO</t>
  </si>
  <si>
    <t>ABDOUL-RAZACK</t>
  </si>
  <si>
    <t>https://myiipea.com/media/etudiant/photo/WhatsApp_Image_2023-10-31_at_15_resized.png</t>
  </si>
  <si>
    <t>OUEA1406040001</t>
  </si>
  <si>
    <t>https://myiipea.com/media/etudiant/photo/WhatsApp_Image_2023-10-12_at_14.00.04.jpeg</t>
  </si>
  <si>
    <t>OUEA0305020001</t>
  </si>
  <si>
    <t>https://myiipea.com/media/etudiant/photo/WhatsApp_Image_2023-10-03_at_2.15.57_PM.jpeg</t>
  </si>
  <si>
    <t>OUEA3012000001</t>
  </si>
  <si>
    <t>https://myiipea.com/media/etudiant/photo/WhatsApp_Image_2023-11-16_at_11.25.28_AM.jpeg</t>
  </si>
  <si>
    <t>OUEA0901030001</t>
  </si>
  <si>
    <t>https://myiipea.com/media/etudiant/photo/WhatsApp_Image_2023-10-06_at_15.19.49.jpeg</t>
  </si>
  <si>
    <t>OUEA1902990001</t>
  </si>
  <si>
    <t>https://myiipea.com/media/etudiant/photo/WhatsApp_Image_2023-10-09_at_13.51.04.jpeg</t>
  </si>
  <si>
    <t>OUEB1604020001</t>
  </si>
  <si>
    <t>https://myiipea.com/media/etudiant/photo/balakissa.jpg</t>
  </si>
  <si>
    <t>OUEM2712020001</t>
  </si>
  <si>
    <t>MOUSSA RAHIM</t>
  </si>
  <si>
    <t>https://myiipea.com/media/etudiant/photo/WhatsApp_Image_2023-10-27_at_13.05.19.jpeg</t>
  </si>
  <si>
    <t>OUEN1303000001</t>
  </si>
  <si>
    <t>NAFISSATOU</t>
  </si>
  <si>
    <t>https://myiipea.com/media/etudiant/photo/WhatsApp_Image_2023-10-19_at_14.11.29.jpeg</t>
  </si>
  <si>
    <t>OUEN1212030001</t>
  </si>
  <si>
    <t>NATIFATA</t>
  </si>
  <si>
    <t>https://myiipea.com/media/etudiant/photo/WhatsApp_Image_2023-10-12_at_11.10.53.jpeg</t>
  </si>
  <si>
    <t>OUEQ1312040001</t>
  </si>
  <si>
    <t>QETSIA OTHNIELLE REBECCA</t>
  </si>
  <si>
    <t>https://myiipea.com/media/etudiant/photo/WhatsApp_Image_2023-09-26_at_14.03.48.jpeg</t>
  </si>
  <si>
    <t>OUER1704040001</t>
  </si>
  <si>
    <t>RAHIMATOU</t>
  </si>
  <si>
    <t>https://myiipea.com/media/etudiant/photo/WhatsApp_Image_2023-09-29_at_14.15.42.jpeg</t>
  </si>
  <si>
    <t>OUER0104020001</t>
  </si>
  <si>
    <t>RELWINDE ROSALIE</t>
  </si>
  <si>
    <t>https://myiipea.com/media/etudiant/photo/WhatsApp_Image_2023-11-28_at_1.02.22_PM.jpeg</t>
  </si>
  <si>
    <t>OUES2607030001</t>
  </si>
  <si>
    <t>https://myiipea.com/media/etudiant/photo/WhatsApp_Image_2023-10-11_at_17.27.17.jpeg</t>
  </si>
  <si>
    <t>OUEA0909020001</t>
  </si>
  <si>
    <t>OUEHE</t>
  </si>
  <si>
    <t>ADJOUA TRESOR MARIE AUBIERGE</t>
  </si>
  <si>
    <t>https://myiipea.com/media/etudiant/photo/OUEHE.jpg</t>
  </si>
  <si>
    <t>OUES0404020001</t>
  </si>
  <si>
    <t>OUEHI</t>
  </si>
  <si>
    <t>SIANE SARA LUCIE</t>
  </si>
  <si>
    <t>https://myiipea.com/media/etudiant/photo/WhatsApp_Image_2023-10-26_at_12.45.51_PM.jpeg</t>
  </si>
  <si>
    <t>OUFK2304020001</t>
  </si>
  <si>
    <t>OUFFOUE</t>
  </si>
  <si>
    <t>KOUADIO MARC STEPHANE</t>
  </si>
  <si>
    <t>https://myiipea.com/media/etudiant/photo/WhatsApp_Image_2023-11-27_at_13.21.31.jpeg</t>
  </si>
  <si>
    <t>OUFA2602010001</t>
  </si>
  <si>
    <t>OUFFOUET</t>
  </si>
  <si>
    <t>AKISSI FALONNE DJERA</t>
  </si>
  <si>
    <t>https://myiipea.com/media/etudiant/photo/WhatsApp_Image_2023-10-03_at_15.53.12.jpeg</t>
  </si>
  <si>
    <t>OUHN0909030001</t>
  </si>
  <si>
    <t>OUHOGNOHON</t>
  </si>
  <si>
    <t>NADJE DANIELLE</t>
  </si>
  <si>
    <t>https://myiipea.com/media/etudiant/photo/WhatsApp_Image_2023-11-06_at_4.34.01_PM.jpeg</t>
  </si>
  <si>
    <t>OULB2802040001</t>
  </si>
  <si>
    <t>OULA</t>
  </si>
  <si>
    <t>BI OULA ANGE GREGOIRE ARISTIDE</t>
  </si>
  <si>
    <t>https://myiipea.com/media/etudiant/photo/WhatsApp_Image_2023-10-09_at_1.02.33_PM.jpeg</t>
  </si>
  <si>
    <t>OULD2008990001</t>
  </si>
  <si>
    <t>DESIREE LYDIA ESTHER</t>
  </si>
  <si>
    <t>https://myiipea.com/media/etudiant/photo/WhatsApp_Image_2023-10-26_at_11.07.07.jpeg</t>
  </si>
  <si>
    <t>OULA0312040001</t>
  </si>
  <si>
    <t>OULAI</t>
  </si>
  <si>
    <t>ANGE EMMANUEL</t>
  </si>
  <si>
    <t>https://myiipea.com/media/etudiant/photo/WhatsApp_Image_2023-10-12_at_3.24.19_PM.jpeg</t>
  </si>
  <si>
    <t>OULB2512030001</t>
  </si>
  <si>
    <t>BATOUE WILFRIED WILLIAMS JUNIOR</t>
  </si>
  <si>
    <t>https://myiipea.com/media/etudiant/photo/WhatsApp_Image_2023-11-14_at_14.37.28.jpeg</t>
  </si>
  <si>
    <t>OULD1412030001</t>
  </si>
  <si>
    <t>DEKONTI ANGE SEPHORA</t>
  </si>
  <si>
    <t>https://myiipea.com/media/etudiant/photo/WhatsApp_Image_2023-10-12_at_15.46.39.jpeg</t>
  </si>
  <si>
    <t>OULD2006040001</t>
  </si>
  <si>
    <t>DEROU JUNIOR MONTORT</t>
  </si>
  <si>
    <t>https://myiipea.com/media/etudiant/photo/WhatsApp_Image_2023-10-06_at_10.03.30.jpeg</t>
  </si>
  <si>
    <t>OULD0204050001</t>
  </si>
  <si>
    <t>DOHISSEY NOEMI ALEXIA</t>
  </si>
  <si>
    <t>https://myiipea.com/media/etudiant/photo/WhatsApp_Image_2023-09-25_at_11.13.44.jpeg</t>
  </si>
  <si>
    <t>OULE2503020001</t>
  </si>
  <si>
    <t>ESMON ARIEL LEWIS</t>
  </si>
  <si>
    <t>https://myiipea.com/media/etudiant/photo/WhatsApp_Image_2023-09-28_at_18.44.15.jpeg</t>
  </si>
  <si>
    <t>OULM0310040001</t>
  </si>
  <si>
    <t>MONSEKEANE ORIANE FERLZE NOLIVEE</t>
  </si>
  <si>
    <t>https://myiipea.com/media/etudiant/photo/WhatsApp_Image_2023-10-23_at_17.26.48.jpeg</t>
  </si>
  <si>
    <t>OULR2012040001</t>
  </si>
  <si>
    <t>RAYAN DERICK EMMANUEL</t>
  </si>
  <si>
    <t>https://myiipea.com/media/etudiant/photo/WhatsApp_Image_2023-10-11_at_14.55.48.jpeg</t>
  </si>
  <si>
    <t>OULS2404030001</t>
  </si>
  <si>
    <t>SIGLUDEY JEANNE LILIANE</t>
  </si>
  <si>
    <t>https://myiipea.com/media/etudiant/photo/WhatsApp_Image_2023-10-09_at_15.00.54.jpeg</t>
  </si>
  <si>
    <t>OUOR0811050001</t>
  </si>
  <si>
    <t>OUOMBLEA</t>
  </si>
  <si>
    <t>RUTH D'AVILA</t>
  </si>
  <si>
    <t>https://myiipea.com/media/etudiant/photo/WhatsApp_Image_2023-10-13_at_14.02.34.jpeg</t>
  </si>
  <si>
    <t>OUPL2710050001</t>
  </si>
  <si>
    <t>OUPO</t>
  </si>
  <si>
    <t>LEHOUE ESTHER</t>
  </si>
  <si>
    <t>https://myiipea.com/media/etudiant/photo/IIPEA_OoH84bf.jpg</t>
  </si>
  <si>
    <t>OUPE2512030001</t>
  </si>
  <si>
    <t>OUPOH</t>
  </si>
  <si>
    <t>ELLA LAETICIA GWLADYS</t>
  </si>
  <si>
    <t>https://myiipea.com/media/etudiant/photo/WhatsApp_Image_2023-10-23_at_11.02.37.jpeg</t>
  </si>
  <si>
    <t>OURM0506010001</t>
  </si>
  <si>
    <t>OURA</t>
  </si>
  <si>
    <t>MODJOU DIANE-CLAIRE</t>
  </si>
  <si>
    <t>https://myiipea.com/media/etudiant/photo/WhatsApp_Image_2023-10-27_at_11.32.34.jpeg</t>
  </si>
  <si>
    <t>OURD2805040001</t>
  </si>
  <si>
    <t>OURAGA</t>
  </si>
  <si>
    <t>DORIS ROXANE MANUELLA</t>
  </si>
  <si>
    <t>https://myiipea.com/media/etudiant/photo/WhatsApp_Image_2023-10-10_at_11.36.04.jpeg</t>
  </si>
  <si>
    <t>OURK1903000001</t>
  </si>
  <si>
    <t>KOTOU YANN IVAN</t>
  </si>
  <si>
    <t>https://myiipea.com/media/etudiant/photo/WhatsApp_Image_2023-10-05_at_15.29.29.jpeg</t>
  </si>
  <si>
    <t>OURM1501040001</t>
  </si>
  <si>
    <t>MARC ELYSE</t>
  </si>
  <si>
    <t>https://myiipea.com/media/etudiant/photo/WhatsApp_Image_2023-10-04_at_16.45.40.jpeg</t>
  </si>
  <si>
    <t>OURS2912020001</t>
  </si>
  <si>
    <t>STEPHANE PRINCE</t>
  </si>
  <si>
    <t>https://myiipea.com/media/etudiant/photo/WhatsApp_Image_2023-10-13_at_3.58.03_PM.jpeg</t>
  </si>
  <si>
    <t>OURA2011020001</t>
  </si>
  <si>
    <t>OUREGA</t>
  </si>
  <si>
    <t>ADJOUA SANDRINE</t>
  </si>
  <si>
    <t>https://myiipea.com/media/etudiant/photo/WhatsApp_Image_2023-10-13_at_12.53.03.jpeg</t>
  </si>
  <si>
    <t>OURA2506030001</t>
  </si>
  <si>
    <t>AZODA MARIE-EMMANUEL</t>
  </si>
  <si>
    <t>https://myiipea.com/media/etudiant/photo/WhatsApp_Image_2023-10-27_at_13.05.45.jpeg</t>
  </si>
  <si>
    <t>OUTM2510020001</t>
  </si>
  <si>
    <t>OUTTARA</t>
  </si>
  <si>
    <t>https://myiipea.com/media/etudiant/photo/WhatsApp_Image_2023-10-04_at_12.07.15_PM.jpeg</t>
  </si>
  <si>
    <t>OWAK0101020001</t>
  </si>
  <si>
    <t>OWADOKUN</t>
  </si>
  <si>
    <t>KAOSSARA MIREILLE</t>
  </si>
  <si>
    <t>https://myiipea.com/media/etudiant/photo/WhatsApp_Image_2023-10-02_at_18.10.33.jpeg</t>
  </si>
  <si>
    <t>OYEE0804050001</t>
  </si>
  <si>
    <t>EUNICE COLOMBE</t>
  </si>
  <si>
    <t>https://myiipea.com/media/etudiant/photo/WhatsApp_Image_2023-10-02_at_18.38.07.jpeg</t>
  </si>
  <si>
    <t>OYES2501040001</t>
  </si>
  <si>
    <t>OYEBAMIJI</t>
  </si>
  <si>
    <t>SOFIATU ADEJOKE OLAMIDE</t>
  </si>
  <si>
    <t>https://myiipea.com/media/etudiant/photo/OYEBAMIJI.jpg</t>
  </si>
  <si>
    <t>OYEW2602030001</t>
  </si>
  <si>
    <t>OYELAMI</t>
  </si>
  <si>
    <t>WARDAT OYENIKE BIBOLA</t>
  </si>
  <si>
    <t>https://myiipea.com/media/etudiant/photo/WhatsApp_Image_2023-10-09_at_12.05.26_PM.jpeg</t>
  </si>
  <si>
    <t>OYEM1710020001</t>
  </si>
  <si>
    <t>OYEWUMI</t>
  </si>
  <si>
    <t>MATEEN RASHEED ABDUL</t>
  </si>
  <si>
    <t>https://myiipea.com/media/etudiant/photo/WhatsApp_Image_2023-09-22_at_14.35.14.jpeg</t>
  </si>
  <si>
    <t>OYOC0101960001</t>
  </si>
  <si>
    <t>OYOU</t>
  </si>
  <si>
    <t>CHARLES</t>
  </si>
  <si>
    <t>https://myiipea.com/media/etudiant/photo/WhatsApp_Image_2023-09-20_%C3%A0_12.19.25.jpg</t>
  </si>
  <si>
    <t>PABP1608040001</t>
  </si>
  <si>
    <t>PABO</t>
  </si>
  <si>
    <t>POHOGNON ULRICH</t>
  </si>
  <si>
    <t>https://myiipea.com/media/etudiant/photo/WhatsApp_Image_2023-10-10_at_14.03.03.jpeg</t>
  </si>
  <si>
    <t>PADY2102050001</t>
  </si>
  <si>
    <t>PADE</t>
  </si>
  <si>
    <t>YOUANN ANDRIX CHRIST AUREL</t>
  </si>
  <si>
    <t>https://myiipea.com/media/etudiant/photo/WhatsApp_Image_2023-10-13_at_17.01.43.jpeg</t>
  </si>
  <si>
    <t>PALK1101030001</t>
  </si>
  <si>
    <t>PALANGUE</t>
  </si>
  <si>
    <t>KOFFI ANDRE MICKAEL</t>
  </si>
  <si>
    <t>https://myiipea.com/media/etudiant/photo/WhatsApp_Image_2023-10-30_at_16.25.14.jpeg</t>
  </si>
  <si>
    <t>PALE1512050001</t>
  </si>
  <si>
    <t>PALE</t>
  </si>
  <si>
    <t>ERI ANNICK LAURE NINON</t>
  </si>
  <si>
    <t>https://myiipea.com/media/etudiant/photo/WhatsApp_Image_2023-10-10_at_15.18.45.jpeg</t>
  </si>
  <si>
    <t>PALH0101000001</t>
  </si>
  <si>
    <t>HOHO FLORENCE</t>
  </si>
  <si>
    <t>https://myiipea.com/media/etudiant/photo/WhatsApp_Image_2023-11-07_at_10.16.17.jpeg</t>
  </si>
  <si>
    <t>PALS2207050001</t>
  </si>
  <si>
    <t>SIE SYLVAIN</t>
  </si>
  <si>
    <t>https://myiipea.com/media/etudiant/photo/WhatsApp_Image_2023-10-03_at_11.14.56_AM_NcyxxUA.jpeg</t>
  </si>
  <si>
    <t>PALT1305030001</t>
  </si>
  <si>
    <t>TOTOH BEATRICE</t>
  </si>
  <si>
    <t>https://myiipea.com/media/etudiant/photo/WhatsApp_Image_2023-10-26_at_09.49.35.jpeg</t>
  </si>
  <si>
    <t>PASB0701010001</t>
  </si>
  <si>
    <t>PASKIER</t>
  </si>
  <si>
    <t>BRANDON JUNIOR</t>
  </si>
  <si>
    <t>https://myiipea.com/media/etudiant/photo/WhatsApp_Image_2023-12-04_at_10_resized.png</t>
  </si>
  <si>
    <t>PEDN1210990002</t>
  </si>
  <si>
    <t>PEDOU</t>
  </si>
  <si>
    <t>N'DA BEHEGBIN  GRACE EMMANUELLE</t>
  </si>
  <si>
    <t>https://myiipea.com/media/etudiant/photo/WhatsApp_Image_2023-11-06_at_3.15.56_PM.jpeg</t>
  </si>
  <si>
    <t>PEDN1210990001</t>
  </si>
  <si>
    <t>N'DA BEHEGBIN GRACE ELISABETH</t>
  </si>
  <si>
    <t>https://myiipea.com/media/etudiant/photo/WhatsApp_Image_2023-10-13_at_11.29.39.jpeg</t>
  </si>
  <si>
    <t>PEHD1309050001</t>
  </si>
  <si>
    <t>PEHE</t>
  </si>
  <si>
    <t>DECONTI ANGE ROXANE</t>
  </si>
  <si>
    <t>https://myiipea.com/media/etudiant/photo/WhatsApp_Image_2023-10-31_at_10.14.49.jpeg</t>
  </si>
  <si>
    <t>PENG2710030001</t>
  </si>
  <si>
    <t>PENIE</t>
  </si>
  <si>
    <t>GBESSI ABOUBAKAR FRANCK</t>
  </si>
  <si>
    <t>https://myiipea.com/media/etudiant/photo/t%C3%A9l%C3%A9chargement_eoZoLHd.png</t>
  </si>
  <si>
    <t>PEUW2005060001</t>
  </si>
  <si>
    <t>PEUZINGO</t>
  </si>
  <si>
    <t>WENDSONGRE ELIZIER</t>
  </si>
  <si>
    <t>https://myiipea.com/media/etudiant/photo/WhatsApp_Image_2023-10-03_at_09.17.05.jpeg</t>
  </si>
  <si>
    <t>PLEY0104010001</t>
  </si>
  <si>
    <t>PLEA</t>
  </si>
  <si>
    <t>https://myiipea.com/media/etudiant/photo/WhatsApp_Image_2023-10-11_at_15.58.42.jpeg</t>
  </si>
  <si>
    <t>POEA2906040001</t>
  </si>
  <si>
    <t>POENOU</t>
  </si>
  <si>
    <t>ADJOUA ORNELLA MARIE STEPHANE</t>
  </si>
  <si>
    <t>https://myiipea.com/media/etudiant/photo/WhatsApp_Image_2023-10-04_at_15.31.34.jpeg</t>
  </si>
  <si>
    <t>POKA1808060002</t>
  </si>
  <si>
    <t>POKOU</t>
  </si>
  <si>
    <t>AYA HOPE ELVIRE</t>
  </si>
  <si>
    <t>https://myiipea.com/media/etudiant/photo/WhatsApp_Image_2023-10-03_at_4.39.23_PM.jpeg</t>
  </si>
  <si>
    <t>POKK1707030001</t>
  </si>
  <si>
    <t>KOFFI FRANCK LEONCE JUNIOR</t>
  </si>
  <si>
    <t>https://myiipea.com/media/etudiant/photo/WhatsApp_Image_2023-10-10_at_09.09.13.jpeg</t>
  </si>
  <si>
    <t>POLA2002040001</t>
  </si>
  <si>
    <t>POLLY HINO</t>
  </si>
  <si>
    <t>ANNE SANDRINE</t>
  </si>
  <si>
    <t>https://myiipea.com/media/etudiant/photo/WhatsApp_Image_2023-10-03_at_12.41.10.jpeg</t>
  </si>
  <si>
    <t>POLB2210010001</t>
  </si>
  <si>
    <t>POLNEAU</t>
  </si>
  <si>
    <t>BOGUI ALEXANDRE WILFRIED</t>
  </si>
  <si>
    <t>https://myiipea.com/media/etudiant/photo/WhatsApp_Image_2023-10-16_at_09.41.00.jpeg</t>
  </si>
  <si>
    <t>POOG1504040001</t>
  </si>
  <si>
    <t>POODA</t>
  </si>
  <si>
    <t>GNOHITE SIE VENUS</t>
  </si>
  <si>
    <t>https://myiipea.com/media/etudiant/photo/WhatsApp_Image_2023-10-04_at_14.11.49.jpeg</t>
  </si>
  <si>
    <t>POTA1008010001</t>
  </si>
  <si>
    <t>POTTY</t>
  </si>
  <si>
    <t>ANGE DAVID</t>
  </si>
  <si>
    <t>https://myiipea.com/media/etudiant/photo/WhatsApp_Image_2023-11-13_at_2_resized_yYYCkXJ.png</t>
  </si>
  <si>
    <t>POUA2106020002</t>
  </si>
  <si>
    <t>POUDIOGO</t>
  </si>
  <si>
    <t>https://myiipea.com/media/etudiant/photo/IIPEA2_Pwg9C70.jpeg</t>
  </si>
  <si>
    <t>PRAM0502030001</t>
  </si>
  <si>
    <t>PRAO</t>
  </si>
  <si>
    <t>MATALI OTHNIEL</t>
  </si>
  <si>
    <t>https://myiipea.com/media/etudiant/photo/WhatsApp_Image_2023-10-17_at_18.58.10.jpeg</t>
  </si>
  <si>
    <t>PRAS0104050001</t>
  </si>
  <si>
    <t>SIALA REINE ADOLAHIM</t>
  </si>
  <si>
    <t>https://myiipea.com/media/etudiant/photo/WhatsApp_Image_2023-10-09_at_14.04.39.jpeg</t>
  </si>
  <si>
    <t>PREE2610020002</t>
  </si>
  <si>
    <t>PREGNON</t>
  </si>
  <si>
    <t>EMMANUELA DORGELES</t>
  </si>
  <si>
    <t>https://myiipea.com/media/etudiant/photo/WhatsApp_Image_2023-10-03_at_15.44.04.jpeg</t>
  </si>
  <si>
    <t>QUEE2011040001</t>
  </si>
  <si>
    <t>QUENUM</t>
  </si>
  <si>
    <t>EMMANUEL JOSEPH</t>
  </si>
  <si>
    <t>https://myiipea.com/media/etudiant/photo/WhatsApp_Image_2023-09-25_at_12.28.20.jpeg</t>
  </si>
  <si>
    <t>RABP0810020001</t>
  </si>
  <si>
    <t>RABE</t>
  </si>
  <si>
    <t>PAMELA</t>
  </si>
  <si>
    <t>https://myiipea.com/media/etudiant/photo/WhatsApp_Image_2023-10-17_at_13.55.13.jpeg</t>
  </si>
  <si>
    <t>RAHK2412050001</t>
  </si>
  <si>
    <t>RAH</t>
  </si>
  <si>
    <t>KOUAME MONICA AKISSI JOCELINE</t>
  </si>
  <si>
    <t>https://myiipea.com/media/etudiant/photo/WhatsApp_Image_2023-10-09_at_19.24.32.jpeg</t>
  </si>
  <si>
    <t>RELD0801050001</t>
  </si>
  <si>
    <t>RELE</t>
  </si>
  <si>
    <t>DOUDA ENOCK</t>
  </si>
  <si>
    <t>https://myiipea.com/media/etudiant/photo/WhatsApp_Image_2023-10-05_at_15.41.06.jpeg</t>
  </si>
  <si>
    <t>ROAA2102990001</t>
  </si>
  <si>
    <t>ROAMBA</t>
  </si>
  <si>
    <t>ABDOUL</t>
  </si>
  <si>
    <t>https://myiipea.com/media/etudiant/photo/WhatsApp_Image_2023-10-20_at_13.39.23.jpeg</t>
  </si>
  <si>
    <t>ROAI2102980001</t>
  </si>
  <si>
    <t>https://myiipea.com/media/etudiant/photo/WhatsApp_Image_2023-10-20_at_13.39.36.jpeg</t>
  </si>
  <si>
    <t>ROBA0702030001</t>
  </si>
  <si>
    <t>ROBE</t>
  </si>
  <si>
    <t>ANGE PRISCA ZEPO</t>
  </si>
  <si>
    <t>https://myiipea.com/media/etudiant/photo/WhatsApp_Image_2023-10-14_at_09.43.38.jpeg</t>
  </si>
  <si>
    <t>ROUL1808000001</t>
  </si>
  <si>
    <t>ROULEAUX</t>
  </si>
  <si>
    <t>LESLI BLANCHE</t>
  </si>
  <si>
    <t>https://myiipea.com/media/etudiant/photo/WhatsApp_Image_2023-10-03_at_11_resized_IrbE0ah.png</t>
  </si>
  <si>
    <t>SALS1211030001</t>
  </si>
  <si>
    <t>SABA</t>
  </si>
  <si>
    <t>SARA HAWA</t>
  </si>
  <si>
    <t>https://myiipea.com/media/etudiant/photo/WhatsApp_Image_2023-11-22_at_15.44.05.jpeg</t>
  </si>
  <si>
    <t>SACA1004030001</t>
  </si>
  <si>
    <t>SACKO</t>
  </si>
  <si>
    <t>ABOUBACAR SIDICK</t>
  </si>
  <si>
    <t>https://myiipea.com/media/etudiant/photo/WhatsApp_Image_2023-10-25_at_14.19.25_1.jpeg</t>
  </si>
  <si>
    <t>SACB1803020001</t>
  </si>
  <si>
    <t>https://myiipea.com/media/etudiant/photo/WhatsApp_Image_2023-11-07_at_3.47.03_PM.jpeg</t>
  </si>
  <si>
    <t>SACM2002050001</t>
  </si>
  <si>
    <t>MODIBO</t>
  </si>
  <si>
    <t>https://myiipea.com/media/etudiant/photo/WhatsApp_Image_2023-10-16_at_11.58.11_AM.jpeg</t>
  </si>
  <si>
    <t>SADB0508000001</t>
  </si>
  <si>
    <t>SADIA</t>
  </si>
  <si>
    <t>BAKARY ALEX YVAN</t>
  </si>
  <si>
    <t>https://myiipea.com/media/etudiant/photo/WhatsApp_Image_2023-09-21_at_17.26.01.jpeg</t>
  </si>
  <si>
    <t>SADD1509010001</t>
  </si>
  <si>
    <t>DETI JEAN GENEVOIX</t>
  </si>
  <si>
    <t>https://myiipea.com/media/etudiant/photo/WhatsApp_Image_2023-10-13_at_18.23.53.jpeg</t>
  </si>
  <si>
    <t>SAEC2609000001</t>
  </si>
  <si>
    <t>SAEGOU</t>
  </si>
  <si>
    <t>COME ARIEL</t>
  </si>
  <si>
    <t>https://myiipea.com/media/etudiant/photo/WhatsApp_Image_2023-10-28_at_13.25.49.jpeg</t>
  </si>
  <si>
    <t>SAHL2712030001</t>
  </si>
  <si>
    <t>SAH</t>
  </si>
  <si>
    <t>LOU ZANAN DORINE</t>
  </si>
  <si>
    <t>https://myiipea.com/media/etudiant/photo/WhatsApp_Image_2023-11-10_at_10_resized.png</t>
  </si>
  <si>
    <t>SAHW2012020001</t>
  </si>
  <si>
    <t>SAHAN</t>
  </si>
  <si>
    <t>WILFRIED LEMANOI</t>
  </si>
  <si>
    <t>https://myiipea.com/media/etudiant/photo/WhatsApp_Image_2023-10-04_at_13.33.39.jpeg</t>
  </si>
  <si>
    <t>SAHG2004060001</t>
  </si>
  <si>
    <t>SAHI</t>
  </si>
  <si>
    <t>GOMA RUTH HORTENSE</t>
  </si>
  <si>
    <t>https://myiipea.com/media/etudiant/photo/WhatsApp_Image_2023-10-05_at_11.56.08.jpeg</t>
  </si>
  <si>
    <t>SAHN1411030001</t>
  </si>
  <si>
    <t>NOHON REELLE CELIA</t>
  </si>
  <si>
    <t>https://myiipea.com/media/etudiant/photo/WhatsApp_Image_2023-11-03_at_13.26.33.jpeg</t>
  </si>
  <si>
    <t>SAHP1107020001</t>
  </si>
  <si>
    <t>SAHIRI</t>
  </si>
  <si>
    <t>PAUL ELYSEE KEVIN</t>
  </si>
  <si>
    <t>https://myiipea.com/media/etudiant/photo/WhatsApp_Image_2023-11-23_at_10.51.47.jpeg</t>
  </si>
  <si>
    <t>SAHR0109030001</t>
  </si>
  <si>
    <t>RITA STEPHANIE</t>
  </si>
  <si>
    <t>https://myiipea.com/media/etudiant/photo/WhatsApp_Image_2023-10-27_at_6.07.05_PM.jpeg</t>
  </si>
  <si>
    <t>SAHE1909020001</t>
  </si>
  <si>
    <t>SAHOUIN</t>
  </si>
  <si>
    <t>ELVIS DONALD</t>
  </si>
  <si>
    <t>https://myiipea.com/media/etudiant/photo/WhatsApp_Image_2023-10-02_at_7_resized.png</t>
  </si>
  <si>
    <t>SAHC2612970001</t>
  </si>
  <si>
    <t>SAHUIE</t>
  </si>
  <si>
    <t>CAILLOU SANDRINE KARELLE</t>
  </si>
  <si>
    <t>https://myiipea.com/media/etudiant/photo/ee805a7a-bd0f-4cfc-a70e-cbab604ca96a_ckyYOjY.jpeg</t>
  </si>
  <si>
    <t>SAKF0104010001</t>
  </si>
  <si>
    <t>SAKO</t>
  </si>
  <si>
    <t>https://myiipea.com/media/etudiant/photo/WhatsApp_Image_2023-10-05_at_14.04.56.jpeg</t>
  </si>
  <si>
    <t>SAKN2802040001</t>
  </si>
  <si>
    <t>NAHOUA ASSA</t>
  </si>
  <si>
    <t>https://myiipea.com/media/etudiant/photo/WhatsApp_Image_2023-11-13_at_11.02.07_AM.jpeg</t>
  </si>
  <si>
    <t>SAKO1301040001</t>
  </si>
  <si>
    <t>https://myiipea.com/media/etudiant/photo/WhatsApp_Image_2023-10-06_at_14.12.12.jpeg</t>
  </si>
  <si>
    <t>SALE0604050001</t>
  </si>
  <si>
    <t>SALA</t>
  </si>
  <si>
    <t>EVODIE ANGE ERICA</t>
  </si>
  <si>
    <t>https://myiipea.com/media/etudiant/photo/WhatsApp_Image_2023-10-02_at_14.35.59.jpeg</t>
  </si>
  <si>
    <t>SALM1901040001</t>
  </si>
  <si>
    <t>SALAMI</t>
  </si>
  <si>
    <t>MUFIDAT</t>
  </si>
  <si>
    <t>https://myiipea.com/media/etudiant/photo/WhatsApp_Image_2023-10-13_at_16.55.46_VtaW6Dc.jpeg</t>
  </si>
  <si>
    <t>SALB1503050001</t>
  </si>
  <si>
    <t>SALAWU</t>
  </si>
  <si>
    <t>BILAL OLAMILEKAN ADEKUNLE</t>
  </si>
  <si>
    <t>https://myiipea.com/media/etudiant/photo/WhatsApp_Image_2023-09-28_at_13.24.33.jpeg</t>
  </si>
  <si>
    <t>SALH1006060001</t>
  </si>
  <si>
    <t>HAMZA KOREDE AYONI TITILOPE</t>
  </si>
  <si>
    <t>https://myiipea.com/media/etudiant/photo/IIPEA_Bn4Cl05.jpg</t>
  </si>
  <si>
    <t>SALA1712990001</t>
  </si>
  <si>
    <t>SALE</t>
  </si>
  <si>
    <t>ALIKA SALOME</t>
  </si>
  <si>
    <t>https://myiipea.com/media/etudiant/photo/WhatsApp_Image_2023-10-02_at_13.20.52.jpeg</t>
  </si>
  <si>
    <t>SAMA1905030001</t>
  </si>
  <si>
    <t>SAMAKE</t>
  </si>
  <si>
    <t>ABDEL BAKER SIDIK SAMUEL</t>
  </si>
  <si>
    <t>https://myiipea.com/media/etudiant/photo/WhatsApp_Image_2023-10-10_at_12.32.24.jpeg</t>
  </si>
  <si>
    <t>SAMA3101040001</t>
  </si>
  <si>
    <t>https://myiipea.com/media/etudiant/photo/WhatsApp_Image_2023-09-28_at_17.38.26.jpeg</t>
  </si>
  <si>
    <t>SAML0209050001</t>
  </si>
  <si>
    <t>LEILA BEN SIRA</t>
  </si>
  <si>
    <t>https://myiipea.com/media/etudiant/photo/WhatsApp_Image_2023-10-03_at_12.52.36.jpeg</t>
  </si>
  <si>
    <t>SAMR0511030001</t>
  </si>
  <si>
    <t>ROKIA</t>
  </si>
  <si>
    <t>https://myiipea.com/media/etudiant/photo/WhatsApp_Image_2023-10-05_at_16.37.23.jpeg</t>
  </si>
  <si>
    <t>SAMA1604050001</t>
  </si>
  <si>
    <t>SAMASSA</t>
  </si>
  <si>
    <t>https://myiipea.com/media/etudiant/photo/WhatsApp_Image_2023-10-24_at_15.24.47.jpeg</t>
  </si>
  <si>
    <t>SAMK1608050001</t>
  </si>
  <si>
    <t>KOUADIO SAGODAN HANS CAMEL</t>
  </si>
  <si>
    <t>https://myiipea.com/media/etudiant/photo/WhatsApp_Image_2023-10-05_at_12.32.16.jpeg</t>
  </si>
  <si>
    <t>SANA1210990002</t>
  </si>
  <si>
    <t>SAN</t>
  </si>
  <si>
    <t>AMAN ATTAWA PELAGIE</t>
  </si>
  <si>
    <t>https://myiipea.com/media/etudiant/photo/WhatsApp_Image_2023-11-20_at_09.31.40.jpeg</t>
  </si>
  <si>
    <t>SANI1103030001</t>
  </si>
  <si>
    <t>SANA</t>
  </si>
  <si>
    <t>ISSOUF YANN</t>
  </si>
  <si>
    <t>https://myiipea.com/media/etudiant/photo/WhatsApp_Image_2023-10-09_at_15.22.24.jpeg</t>
  </si>
  <si>
    <t>SANL3008050001</t>
  </si>
  <si>
    <t>LATIFATOU</t>
  </si>
  <si>
    <t>https://myiipea.com/media/etudiant/photo/WhatsApp_Image_2023-10-11_at_16_resized.png</t>
  </si>
  <si>
    <t>SANA2403010001</t>
  </si>
  <si>
    <t>SANGARE</t>
  </si>
  <si>
    <t>ABDOU-RAZAK</t>
  </si>
  <si>
    <t>https://myiipea.com/media/etudiant/photo/WhatsApp_Image_2023-10-05_at_09.57.55.jpeg</t>
  </si>
  <si>
    <t>SANA1812030001</t>
  </si>
  <si>
    <t>ABIBATOU</t>
  </si>
  <si>
    <t>https://myiipea.com/media/etudiant/photo/WhatsApp_Image_2023-10-03_at_08.42.31.jpeg</t>
  </si>
  <si>
    <t>SANA1110010001</t>
  </si>
  <si>
    <t>https://myiipea.com/media/etudiant/photo/WhatsApp_Image_2023-10-25_at_09.26.49.jpeg</t>
  </si>
  <si>
    <t>SANA0106010001</t>
  </si>
  <si>
    <t>AHMED JUNIOR</t>
  </si>
  <si>
    <t>https://myiipea.com/media/etudiant/photo/WhatsApp_Image_2023-11-08_at_12.44.56_PM.jpeg</t>
  </si>
  <si>
    <t>SANA0410060001</t>
  </si>
  <si>
    <t>https://myiipea.com/media/etudiant/photo/WhatsApp_Image_2023-10-25_at_12.57.33.jpeg</t>
  </si>
  <si>
    <t>SANA1701010001</t>
  </si>
  <si>
    <t>ALIMATOU</t>
  </si>
  <si>
    <t>https://myiipea.com/media/etudiant/photo/WhatsApp_Image_2023-11-06_at_15_resized.png</t>
  </si>
  <si>
    <t>SANA0111040001</t>
  </si>
  <si>
    <t>https://myiipea.com/media/etudiant/photo/WhatsApp_Image_2023-10-09_at_19.56.41.jpeg</t>
  </si>
  <si>
    <t>SANA1403040001</t>
  </si>
  <si>
    <t>ANAN</t>
  </si>
  <si>
    <t>https://myiipea.com/media/etudiant/photo/WhatsApp_Image_2023-10-17_at_12.05.39.jpeg</t>
  </si>
  <si>
    <t>SAND1310030001</t>
  </si>
  <si>
    <t>https://myiipea.com/media/etudiant/photo/WhatsApp_Image_2023-10-06_at_10.35.11.jpeg</t>
  </si>
  <si>
    <t>SANI1401050001</t>
  </si>
  <si>
    <t>https://myiipea.com/media/etudiant/photo/WhatsApp_Image_2023-11-06_at_4.17.46_PM.jpeg</t>
  </si>
  <si>
    <t>SANM2708020001</t>
  </si>
  <si>
    <t>https://myiipea.com/media/etudiant/photo/WhatsApp_Image_2023-09-25_at_12.40.15.jpeg</t>
  </si>
  <si>
    <t>SANM0603030001</t>
  </si>
  <si>
    <t>https://myiipea.com/media/etudiant/photo/WhatsApp_Image_2023-09-26_%C3%A0_17.12.13.jpg</t>
  </si>
  <si>
    <t>SANM0612030001</t>
  </si>
  <si>
    <t>https://myiipea.com/media/etudiant/photo/WhatsApp_Image_2023-10-02_at_15.24.31.jpeg</t>
  </si>
  <si>
    <t>SANO0910040001</t>
  </si>
  <si>
    <t>https://myiipea.com/media/etudiant/photo/WhatsApp_Image_2023-10-12_at_10.31.08.jpeg</t>
  </si>
  <si>
    <t>SANR2906030001</t>
  </si>
  <si>
    <t>RAHAMATA FLORENTINE</t>
  </si>
  <si>
    <t>https://myiipea.com/media/etudiant/photo/WhatsApp_Image_2023-10-10_at_10.43.33.jpeg</t>
  </si>
  <si>
    <t>SANK0202000001</t>
  </si>
  <si>
    <t>SANGUISSO</t>
  </si>
  <si>
    <t>KOROTIMI</t>
  </si>
  <si>
    <t>https://myiipea.com/media/etudiant/photo/WhatsApp_Image_2023-10-12_at_09.40.39.jpeg</t>
  </si>
  <si>
    <t>SAND1101960001</t>
  </si>
  <si>
    <t>SANKARA</t>
  </si>
  <si>
    <t>https://myiipea.com/media/etudiant/photo/WhatsApp_Image_2023-11-09_at_09.50.11.jpeg</t>
  </si>
  <si>
    <t>SANK0701040001</t>
  </si>
  <si>
    <t>KOROTOUM ANGE MICHELLE</t>
  </si>
  <si>
    <t>https://myiipea.com/media/etudiant/photo/WhatsApp_Image_2023-10-20_at_14.48.13.jpeg</t>
  </si>
  <si>
    <t>SANR1609030001</t>
  </si>
  <si>
    <t>RISSANATA</t>
  </si>
  <si>
    <t>https://myiipea.com/media/etudiant/photo/WhatsApp_Image_2023-11-02_at_2.59.51_PM.jpeg</t>
  </si>
  <si>
    <t>SANA1502050001</t>
  </si>
  <si>
    <t>SANOGO</t>
  </si>
  <si>
    <t>AMINATA NOURA</t>
  </si>
  <si>
    <t>https://myiipea.com/media/etudiant/photo/WhatsApp_Image_2023-10-02_at_16.36.52545545.jpeg</t>
  </si>
  <si>
    <t>SANC1606050001</t>
  </si>
  <si>
    <t>CHEICK NOUFOU KAMAL</t>
  </si>
  <si>
    <t>https://myiipea.com/media/etudiant/photo/WhatsApp_Image_2023-10-12_at_15.49.52.jpeg</t>
  </si>
  <si>
    <t>SANF1405030001</t>
  </si>
  <si>
    <t>FOUNGOTHIN ZAKARIA</t>
  </si>
  <si>
    <t>https://myiipea.com/media/etudiant/photo/WhatsApp_Image_2023-10-07_at_14.00.02.jpeg</t>
  </si>
  <si>
    <t>SANI2006040001</t>
  </si>
  <si>
    <t>https://myiipea.com/media/etudiant/photo/WhatsApp_Image_2023-10-24_at_15.13.10.jpeg</t>
  </si>
  <si>
    <t>SANK1711020001</t>
  </si>
  <si>
    <t>KADY GRACE YASMINE</t>
  </si>
  <si>
    <t>https://myiipea.com/media/etudiant/photo/WhatsApp_Image_2023-09-28_at_13.13.30.jpeg</t>
  </si>
  <si>
    <t>SANM0106030001</t>
  </si>
  <si>
    <t>https://myiipea.com/media/etudiant/photo/WhatsApp_Image_2023-10-02_at_08.01.03.jpeg</t>
  </si>
  <si>
    <t>SANN2311020001</t>
  </si>
  <si>
    <t>NAMBINTOU</t>
  </si>
  <si>
    <t>https://myiipea.com/media/etudiant/photo/WhatsApp_Image_2023-10-04_at_16.14.02.jpeg</t>
  </si>
  <si>
    <t>SANN0412000001</t>
  </si>
  <si>
    <t>NIELE RANIA</t>
  </si>
  <si>
    <t>https://myiipea.com/media/etudiant/photo/WhatsApp_Image_2023-10-02_at_14.25.15.jpeg</t>
  </si>
  <si>
    <t>SANO0306040002</t>
  </si>
  <si>
    <t>OUMOU KOULSOUM NIELEY</t>
  </si>
  <si>
    <t>https://myiipea.com/media/etudiant/photo/WhatsApp_Image_2023-10-20_at_6.41.56_PM_0h04orb.jpeg</t>
  </si>
  <si>
    <t>SANR0707020001</t>
  </si>
  <si>
    <t>https://myiipea.com/media/etudiant/photo/WhatsApp_Image_2023-12-01_at_5_resized.png</t>
  </si>
  <si>
    <t>SANS2412000001</t>
  </si>
  <si>
    <t>SALLY ENICE</t>
  </si>
  <si>
    <t>https://myiipea.com/media/etudiant/photo/WhatsApp_Image_2023-10-16_at_13.48.03.jpeg</t>
  </si>
  <si>
    <t>SANS1811020001</t>
  </si>
  <si>
    <t>SENIDJOU MARCELINE</t>
  </si>
  <si>
    <t>https://myiipea.com/media/etudiant/photo/WhatsApp_Image_2023-11-27_at_15.59.23.jpeg</t>
  </si>
  <si>
    <t>SANS1805040001</t>
  </si>
  <si>
    <t>SEYDOU ZANA</t>
  </si>
  <si>
    <t>https://myiipea.com/media/etudiant/photo/WhatsApp_Image_2023-09-26_at_13.03.24.jpeg</t>
  </si>
  <si>
    <t>SANS1101030001</t>
  </si>
  <si>
    <t>https://myiipea.com/media/etudiant/photo/WhatsApp_Image_2023-10-09_at_5.47.51_PM.jpeg</t>
  </si>
  <si>
    <t>SANY2311020001</t>
  </si>
  <si>
    <t>https://myiipea.com/media/etudiant/photo/WhatsApp_Image_2023-10-04_at_16.13.02.jpeg</t>
  </si>
  <si>
    <t>SANK1709020001</t>
  </si>
  <si>
    <t>SANOU</t>
  </si>
  <si>
    <t>KOFFI AYA ESTHER</t>
  </si>
  <si>
    <t>https://myiipea.com/media/etudiant/photo/WhatsApp_Image_2023-10-03_at_10.04.19.jpeg</t>
  </si>
  <si>
    <t>SANM0705040001</t>
  </si>
  <si>
    <t>MARIATOU STEPHANIE</t>
  </si>
  <si>
    <t>https://myiipea.com/media/etudiant/photo/WhatsApp_Image_2023-10-18_at_11.32.21.jpeg</t>
  </si>
  <si>
    <t>SANS1006050001</t>
  </si>
  <si>
    <t>SANUSI</t>
  </si>
  <si>
    <t>SHAHIMOT OYELEKAN</t>
  </si>
  <si>
    <t>https://myiipea.com/media/etudiant/photo/WhatsApp_Image_2023-10-13_at_11.37.45.jpeg</t>
  </si>
  <si>
    <t>SARK1004010001</t>
  </si>
  <si>
    <t>SARAKA</t>
  </si>
  <si>
    <t>KOUASSI FRANCK MICHAEL</t>
  </si>
  <si>
    <t>https://myiipea.com/media/etudiant/photo/WhatsApp_Image_2023-10-25_at_11.33.54.jpeg</t>
  </si>
  <si>
    <t>SARF3107990001</t>
  </si>
  <si>
    <t>SARRE</t>
  </si>
  <si>
    <t>https://myiipea.com/media/etudiant/photo/WhatsApp_Image_2023-12-01_at_3_resized_fKBWjy0.png</t>
  </si>
  <si>
    <t>SASG0907050001</t>
  </si>
  <si>
    <t>SASSOU</t>
  </si>
  <si>
    <t>GBEI GRACE JEMIMA</t>
  </si>
  <si>
    <t>https://myiipea.com/media/etudiant/photo/WhatsApp_Image_2023-10-02_at_13.42.04.jpeg</t>
  </si>
  <si>
    <t>SATG0204030001</t>
  </si>
  <si>
    <t>SATCHET</t>
  </si>
  <si>
    <t>GUY VINCENT ELOHIM</t>
  </si>
  <si>
    <t>https://myiipea.com/media/etudiant/photo/WhatsApp_Image_2023-09-19_at_12.01.33.jpeg</t>
  </si>
  <si>
    <t>SATN2501030001</t>
  </si>
  <si>
    <t>SATOU</t>
  </si>
  <si>
    <t>NAOURA</t>
  </si>
  <si>
    <t>https://myiipea.com/media/etudiant/photo/WhatsApp_Image_2023-10-16_at_14.01.59.jpeg</t>
  </si>
  <si>
    <t>SAVM0212050001</t>
  </si>
  <si>
    <t>SAVADOGO</t>
  </si>
  <si>
    <t>MARIAM ADELE</t>
  </si>
  <si>
    <t>https://myiipea.com/media/etudiant/photo/WhatsApp_Image_2023-10-03_at_10.50.48.jpeg</t>
  </si>
  <si>
    <t>SAVS1504040001</t>
  </si>
  <si>
    <t>SAVANE</t>
  </si>
  <si>
    <t>SARATA HYACHMINE</t>
  </si>
  <si>
    <t>https://myiipea.com/media/etudiant/photo/WhatsApp_Image_2023-10-02_at_08.39.13.jpeg</t>
  </si>
  <si>
    <t>SAWD2105020001</t>
  </si>
  <si>
    <t>SAWADOGO</t>
  </si>
  <si>
    <t>DAVID</t>
  </si>
  <si>
    <t>https://myiipea.com/media/etudiant/photo/photo_cR4MISx.jpg</t>
  </si>
  <si>
    <t>SAWD0609010001</t>
  </si>
  <si>
    <t>DUNIYASUGRI PIERRE JUNIOR</t>
  </si>
  <si>
    <t>https://myiipea.com/media/etudiant/photo/WhatsApp_Image_2023-10-05_at_12.04.24.jpeg</t>
  </si>
  <si>
    <t>SAWM2006020001</t>
  </si>
  <si>
    <t>https://myiipea.com/media/etudiant/photo/WhatsApp_Image_2023-10-13_at_14.21.22.jpeg</t>
  </si>
  <si>
    <t>SAWN2901030001</t>
  </si>
  <si>
    <t>NOUFOU</t>
  </si>
  <si>
    <t>https://myiipea.com/media/etudiant/photo/WhatsApp_Image_2023-11-03_at_12.06.32_1.jpeg</t>
  </si>
  <si>
    <t>SAWR3006040001</t>
  </si>
  <si>
    <t>RAHAMATOULAYE</t>
  </si>
  <si>
    <t>https://myiipea.com/media/etudiant/photo/WhatsApp_Image_2023-09-28_at_14.17.00.jpeg</t>
  </si>
  <si>
    <t>SAWS1401020001</t>
  </si>
  <si>
    <t>SARATA</t>
  </si>
  <si>
    <t>https://myiipea.com/media/etudiant/photo/IIPEA_Oo3pdUF.png</t>
  </si>
  <si>
    <t>SAYR0901050001</t>
  </si>
  <si>
    <t>SAYE</t>
  </si>
  <si>
    <t>ROODE CYNTICHE LESLIE</t>
  </si>
  <si>
    <t>https://myiipea.com/media/etudiant/photo/WhatsApp_Image_2023-11-27_at_14.31.09.jpeg</t>
  </si>
  <si>
    <t>SEAK0805030001</t>
  </si>
  <si>
    <t>SEA</t>
  </si>
  <si>
    <t>KINIAN DAVID ANGE EMILE</t>
  </si>
  <si>
    <t>https://myiipea.com/media/etudiant/photo/WhatsApp_Image_2023-10-20_at_11.19.36_AM.jpeg</t>
  </si>
  <si>
    <t>SEAS0604030001</t>
  </si>
  <si>
    <t>SOGBETI GRACE</t>
  </si>
  <si>
    <t>https://myiipea.com/media/etudiant/photo/WhatsApp_Image_2023-10-06_at_09.27.41.jpeg</t>
  </si>
  <si>
    <t>SEDM2607030001</t>
  </si>
  <si>
    <t>SEDE</t>
  </si>
  <si>
    <t>MOHANDE AGGEE JUNIAS</t>
  </si>
  <si>
    <t>https://myiipea.com/media/etudiant/photo/WhatsApp_Image_2023-11-03_at_16.30.19.jpeg</t>
  </si>
  <si>
    <t>SEDD1205020001</t>
  </si>
  <si>
    <t>SEDJOU</t>
  </si>
  <si>
    <t>DEBORA CHRISTELLE</t>
  </si>
  <si>
    <t>https://myiipea.com/media/etudiant/photo/239422487_405915444207421_8131329350063382999_n_sZQ3zTd.jpg</t>
  </si>
  <si>
    <t>SEGG0611020001</t>
  </si>
  <si>
    <t>SEGLOUIN</t>
  </si>
  <si>
    <t>GRACE ZLANWONZON</t>
  </si>
  <si>
    <t>https://myiipea.com/media/etudiant/photo/WhatsApp_Image_2023-10-13_at_09.13.50.jpeg</t>
  </si>
  <si>
    <t>SEGG0108030001</t>
  </si>
  <si>
    <t>SEGUI</t>
  </si>
  <si>
    <t>GANON MARIE ORLANE CLAUDINE</t>
  </si>
  <si>
    <t>https://myiipea.com/media/etudiant/photo/IMG_4175_resized.png</t>
  </si>
  <si>
    <t>SEHD2812040001</t>
  </si>
  <si>
    <t>SEHI</t>
  </si>
  <si>
    <t>DJEOUE ANAIS ANGE KELLY</t>
  </si>
  <si>
    <t>https://myiipea.com/media/etudiant/photo/WhatsApp_Image_2023-09-28_at_12.38.28.jpeg</t>
  </si>
  <si>
    <t>SEKA1301050001</t>
  </si>
  <si>
    <t>SEKA</t>
  </si>
  <si>
    <t>AHIZI EHOUMAN EMILIENNE</t>
  </si>
  <si>
    <t>https://myiipea.com/media/etudiant/photo/WhatsApp_Image_2023-10-10_at_10.23.45.jpeg</t>
  </si>
  <si>
    <t>SEKA2602030001</t>
  </si>
  <si>
    <t>AKAFFOU JEAN PHILIPPE</t>
  </si>
  <si>
    <t>https://myiipea.com/media/etudiant/photo/WhatsApp_Image_2023-12-01_at_12.06.02_PM.jpeg</t>
  </si>
  <si>
    <t>SEKA1607020001</t>
  </si>
  <si>
    <t>APIE ROSETTE MICHELLA</t>
  </si>
  <si>
    <t>https://myiipea.com/media/etudiant/photo/WhatsApp_Image_2023-10-05_at_12.17.58.jpeg</t>
  </si>
  <si>
    <t>SEKE0905010001</t>
  </si>
  <si>
    <t>EMMANUELLA SATURINE</t>
  </si>
  <si>
    <t>https://myiipea.com/media/etudiant/photo/WhatsApp_Image_2023-11-03_at_12.06.44.jpeg</t>
  </si>
  <si>
    <t>SEKK0112020002</t>
  </si>
  <si>
    <t>KOUSSO CHRIS EUNICE</t>
  </si>
  <si>
    <t>https://myiipea.com/media/etudiant/photo/WhatsApp_Image_2023-10-18_at_11.45.26_AM.jpeg</t>
  </si>
  <si>
    <t>SEKM1005060001</t>
  </si>
  <si>
    <t>MARIANNE LESLEY</t>
  </si>
  <si>
    <t>https://myiipea.com/media/etudiant/photo/WhatsApp_Image_2023-09-29_at_11.34.57.jpeg</t>
  </si>
  <si>
    <t>SEKM3107050001</t>
  </si>
  <si>
    <t>MERYLLE OLIVE ORPHEE</t>
  </si>
  <si>
    <t>https://myiipea.com/media/etudiant/photo/ee805a7a-bd0f-4cfc-a70e-cbab604ca96a_MJu2jtI.jpeg</t>
  </si>
  <si>
    <t>SEKS3011020001</t>
  </si>
  <si>
    <t>SEKE</t>
  </si>
  <si>
    <t>SEUPI CEDRIC ELIE</t>
  </si>
  <si>
    <t>https://myiipea.com/media/etudiant/photo/WhatsApp_Image_2023-10-11_at_15.33.08.jpeg</t>
  </si>
  <si>
    <t>SEKG0104030001</t>
  </si>
  <si>
    <t>SEKEDI</t>
  </si>
  <si>
    <t>GRACE PHANUELLE</t>
  </si>
  <si>
    <t>https://myiipea.com/media/etudiant/photo/WhatsApp_Image_2023-09-25_at_16_resized.png</t>
  </si>
  <si>
    <t>SEKK0205030001</t>
  </si>
  <si>
    <t>SEKONGO</t>
  </si>
  <si>
    <t>KIGBAFORY AIME</t>
  </si>
  <si>
    <t>https://myiipea.com/media/etudiant/photo/WhatsApp_Image_2023-10-05_at_12.57.57.jpeg</t>
  </si>
  <si>
    <t>SEKS0309000001</t>
  </si>
  <si>
    <t>https://myiipea.com/media/etudiant/photo/WhatsApp_Image_2023-11-24_at_12.44.55.jpeg</t>
  </si>
  <si>
    <t>SEKK1208030001</t>
  </si>
  <si>
    <t>SEKRE</t>
  </si>
  <si>
    <t>KOBENAN MAXWELL IGNACE</t>
  </si>
  <si>
    <t>https://myiipea.com/media/etudiant/photo/WhatsApp_Image_2023-09-20_at_11.38.47.jpeg</t>
  </si>
  <si>
    <t>SEMY2505040001</t>
  </si>
  <si>
    <t>SEMDE</t>
  </si>
  <si>
    <t>YIBOULA</t>
  </si>
  <si>
    <t>https://myiipea.com/media/etudiant/photo/WhatsApp_Image_2023-10-12_at_12.19.04.jpeg</t>
  </si>
  <si>
    <t>SENM0112040001</t>
  </si>
  <si>
    <t>SENE</t>
  </si>
  <si>
    <t>MAME DIARRA</t>
  </si>
  <si>
    <t>https://myiipea.com/media/etudiant/photo/WhatsApp_Image_2023-10-05_at_09.34.33.jpeg</t>
  </si>
  <si>
    <t>SENK0111040001</t>
  </si>
  <si>
    <t>SENOU</t>
  </si>
  <si>
    <t>KOUASSI PRINCE JUNIOR</t>
  </si>
  <si>
    <t>https://myiipea.com/media/etudiant/photo/A89B4D64-AA03-4D5F-B9C7-7502068B4AD9_resized.png</t>
  </si>
  <si>
    <t>SEPA0108040001</t>
  </si>
  <si>
    <t>SEPI</t>
  </si>
  <si>
    <t>ASTRID MARILYNE DESIREE</t>
  </si>
  <si>
    <t>https://myiipea.com/media/etudiant/photo/WhatsApp_Image_2023-10-04_at_11.02.44.jpeg</t>
  </si>
  <si>
    <t>SEPA2010050001</t>
  </si>
  <si>
    <t>AZAUD ANGE KEVIN</t>
  </si>
  <si>
    <t>https://myiipea.com/media/etudiant/photo/WhatsApp_Image_2023-10-12_at_09.23.41.jpeg</t>
  </si>
  <si>
    <t>SERK1512030001</t>
  </si>
  <si>
    <t>SEREGORE</t>
  </si>
  <si>
    <t>KPIDINOGUES DEMISAIRE</t>
  </si>
  <si>
    <t>https://myiipea.com/media/etudiant/photo/WhatsApp_Image_2023-10-25_at_11.33.35.jpeg</t>
  </si>
  <si>
    <t>SERD2107010001</t>
  </si>
  <si>
    <t>SEREY</t>
  </si>
  <si>
    <t>DOH EMMANUELLA</t>
  </si>
  <si>
    <t>https://myiipea.com/media/etudiant/photo/WhatsApp_Image_2023-09-26_at_11.05.14.jpeg</t>
  </si>
  <si>
    <t>SERA3003970001</t>
  </si>
  <si>
    <t>SERI</t>
  </si>
  <si>
    <t>ANGE CHRISTIAN PASCAL</t>
  </si>
  <si>
    <t>https://myiipea.com/media/etudiant/photo/ee805a7a-bd0f-4cfc-a70e-cbab604ca96a_UPhIAcg.jpeg</t>
  </si>
  <si>
    <t>SERD1806040002</t>
  </si>
  <si>
    <t>DOUBEGNON MARC IVAN</t>
  </si>
  <si>
    <t>https://myiipea.com/media/etudiant/photo/WhatsApp_Image_2023-10-13_at_15.07.02.jpeg</t>
  </si>
  <si>
    <t>SERG1405040001</t>
  </si>
  <si>
    <t>GRAUD MENEDE FRANCESCA</t>
  </si>
  <si>
    <t>https://myiipea.com/media/etudiant/photo/WhatsApp_Image_2023-09-21_at_15.14.43.jpeg</t>
  </si>
  <si>
    <t>SERY1405040001</t>
  </si>
  <si>
    <t>YANN-JUNIOR</t>
  </si>
  <si>
    <t>https://myiipea.com/media/etudiant/photo/WhatsApp_Image_2023-10-02_at_13.14.12.jpeg</t>
  </si>
  <si>
    <t>SERK0101010001</t>
  </si>
  <si>
    <t>SERIGBALE</t>
  </si>
  <si>
    <t>KIPRE ALEX ELISEE</t>
  </si>
  <si>
    <t>https://myiipea.com/media/etudiant/photo/WhatsApp_Image_2023-10-03_at_16.20.21.jpeg</t>
  </si>
  <si>
    <t>SERN2003000001</t>
  </si>
  <si>
    <t>SERME</t>
  </si>
  <si>
    <t>NAFISSATA VITORINE</t>
  </si>
  <si>
    <t>https://myiipea.com/media/etudiant/photo/SERME.jpg</t>
  </si>
  <si>
    <t>SERA0602030001</t>
  </si>
  <si>
    <t>SERY</t>
  </si>
  <si>
    <t>ANGE EMMANUELLE</t>
  </si>
  <si>
    <t>https://myiipea.com/media/etudiant/photo/WhatsApp_Image_2023-10-09_at_14.23.20.jpeg</t>
  </si>
  <si>
    <t>SERA2310030001</t>
  </si>
  <si>
    <t>AXELLE ORLANE</t>
  </si>
  <si>
    <t>https://myiipea.com/media/etudiant/photo/WhatsApp_Image_2023-10-17_at_13.45.46.jpeg</t>
  </si>
  <si>
    <t>SERD0809040001</t>
  </si>
  <si>
    <t>DJOLLO IVAN BIENVENU</t>
  </si>
  <si>
    <t>https://myiipea.com/media/etudiant/photo/WhatsApp_Image_2023-10-04_at_13.16.36.jpeg</t>
  </si>
  <si>
    <t>SERD2704060001</t>
  </si>
  <si>
    <t>DOUDOU LYKASSA SAMUEL</t>
  </si>
  <si>
    <t>https://myiipea.com/media/etudiant/photo/WhatsApp_Image_2023-10-11_at_12.29.30.jpeg</t>
  </si>
  <si>
    <t>SERE2012050001</t>
  </si>
  <si>
    <t>ESTHER JEMIMA</t>
  </si>
  <si>
    <t>https://myiipea.com/media/etudiant/photo/WhatsApp_Image_2023-11-02_at_16.09.50.jpeg</t>
  </si>
  <si>
    <t>SERH1702030001</t>
  </si>
  <si>
    <t>HENRY ARTHUR BRISSI</t>
  </si>
  <si>
    <t>https://myiipea.com/media/etudiant/photo/WhatsApp_Image_2023-10-17_at_12.35.53.jpeg</t>
  </si>
  <si>
    <t>SERJ1507020001</t>
  </si>
  <si>
    <t>JEMIMA MARILYNE</t>
  </si>
  <si>
    <t>https://myiipea.com/media/etudiant/photo/WhatsApp_Image_2023-10-03_at_17.34.50.jpeg</t>
  </si>
  <si>
    <t>SERM1109000001</t>
  </si>
  <si>
    <t>MARC DORGELES</t>
  </si>
  <si>
    <t>https://myiipea.com/media/etudiant/photo/IMG_1668_resized.png</t>
  </si>
  <si>
    <t>SERO0307010001</t>
  </si>
  <si>
    <t>OPRI GRACE EMMANUELLA</t>
  </si>
  <si>
    <t>https://myiipea.com/media/etudiant/photo/WhatsApp_Image_2023-10-19_at_12.16.34.jpeg</t>
  </si>
  <si>
    <t>SERP2011050001</t>
  </si>
  <si>
    <t>PATRICK DESCHARM GEASMIN</t>
  </si>
  <si>
    <t>https://myiipea.com/media/etudiant/photo/WhatsApp_Image_2023-11-20_at_11.30.16_AM.jpeg</t>
  </si>
  <si>
    <t>SEWL1904970001</t>
  </si>
  <si>
    <t>SEWO</t>
  </si>
  <si>
    <t>LANDRY ODILE</t>
  </si>
  <si>
    <t>https://myiipea.com/media/etudiant/photo/WhatsApp_Image_2023-09-20_at_11.27.18.jpeg</t>
  </si>
  <si>
    <t>SEYA1105980001</t>
  </si>
  <si>
    <t>ADJA LISE AURORE</t>
  </si>
  <si>
    <t>https://myiipea.com/media/etudiant/photo/WhatsApp_Image_2023-10-17_at_11.26.10.jpeg</t>
  </si>
  <si>
    <t>SHEP0805010001</t>
  </si>
  <si>
    <t>SHEMIDA</t>
  </si>
  <si>
    <t>PHANUELLE ASTA NADINE</t>
  </si>
  <si>
    <t>https://myiipea.com/media/etudiant/photo/WhatsApp_Image_2023-10-04_at_14.36.45.jpeg</t>
  </si>
  <si>
    <t>SIAB2208990001</t>
  </si>
  <si>
    <t>SIAGBE</t>
  </si>
  <si>
    <t>BATO JEAN YVES</t>
  </si>
  <si>
    <t>https://myiipea.com/media/etudiant/photo/WhatsApp_Image_2023-11-08_at_12.40.05_1.jpeg</t>
  </si>
  <si>
    <t>SIAM0402030001</t>
  </si>
  <si>
    <t>SIALLOU</t>
  </si>
  <si>
    <t>MIENSA MARIE LAETICIA</t>
  </si>
  <si>
    <t>https://myiipea.com/media/etudiant/photo/WhatsApp_Image_2023-11-21_at_3.54.19_PM.jpeg</t>
  </si>
  <si>
    <t>SALK1211040001</t>
  </si>
  <si>
    <t>SIALOU</t>
  </si>
  <si>
    <t>KANGAH YAO ANGE WILFRIED</t>
  </si>
  <si>
    <t>https://myiipea.com/media/etudiant/photo/WhatsApp_Image_2023-10-10_at_13.30.09.jpeg</t>
  </si>
  <si>
    <t>SIAS2005010001</t>
  </si>
  <si>
    <t>SIASI</t>
  </si>
  <si>
    <t>SAMUEL ESLI</t>
  </si>
  <si>
    <t>https://myiipea.com/media/etudiant/photo/WhatsApp_Image_2023-11-22_at_14.58.08.jpeg</t>
  </si>
  <si>
    <t>SIBA0106050001</t>
  </si>
  <si>
    <t>SIB</t>
  </si>
  <si>
    <t>ADORA MAKANIE</t>
  </si>
  <si>
    <t>https://myiipea.com/media/etudiant/photo/WhatsApp_Image_2023-10-12_at_11.58.22.jpeg</t>
  </si>
  <si>
    <t>SIBG2412020001</t>
  </si>
  <si>
    <t>SIBAHI</t>
  </si>
  <si>
    <t>GBADJI JESUS NOEL</t>
  </si>
  <si>
    <t>https://myiipea.com/media/etudiant/photo/WhatsApp_Image_2023-10-13_at_6.55.34_PM.jpeg</t>
  </si>
  <si>
    <t>SIBN0306050001</t>
  </si>
  <si>
    <t>N'GUESSAN YAH GRACE DANIELLA</t>
  </si>
  <si>
    <t>https://myiipea.com/media/etudiant/photo/WhatsApp_Image_2023-10-10_at_14.55.25_1.jpeg</t>
  </si>
  <si>
    <t>SIDB2303050001</t>
  </si>
  <si>
    <t>SIDIBE</t>
  </si>
  <si>
    <t>BARAKISSA</t>
  </si>
  <si>
    <t>https://myiipea.com/media/etudiant/photo/WhatsApp_Image_2023-10-02_at_14.35.26.jpeg</t>
  </si>
  <si>
    <t>SIDD3012040001</t>
  </si>
  <si>
    <t>https://myiipea.com/media/etudiant/photo/WhatsApp_Image_2023-10-10_at_3.09.49_PM.jpeg</t>
  </si>
  <si>
    <t>SIDF2106040001</t>
  </si>
  <si>
    <t>https://myiipea.com/media/etudiant/photo/WhatsApp_Image_2023-11-17_at_11_resized.png</t>
  </si>
  <si>
    <t>SIDF0307030001</t>
  </si>
  <si>
    <t>https://myiipea.com/media/etudiant/photo/WhatsApp_Image_2023-10-05_at_12.20.03.jpeg</t>
  </si>
  <si>
    <t>SIDK2003040001</t>
  </si>
  <si>
    <t>KADY GRACE EMMANUELLA</t>
  </si>
  <si>
    <t>https://myiipea.com/media/etudiant/photo/WhatsApp_Image_2023-10-24_at_17.21.38.jpeg</t>
  </si>
  <si>
    <t>SIDM1807040001</t>
  </si>
  <si>
    <t>MARIAMA</t>
  </si>
  <si>
    <t>https://myiipea.com/media/etudiant/photo/WhatsApp_Image_2023-10-05_at_11.57.52.jpeg</t>
  </si>
  <si>
    <t>SIDM3010010001</t>
  </si>
  <si>
    <t>MASSOGBE TCHEFIGUE YASMINE</t>
  </si>
  <si>
    <t>https://myiipea.com/media/etudiant/photo/WhatsApp_Image_2023-10-11_at_5.53.15_PM.jpeg</t>
  </si>
  <si>
    <t>SIDM0303990001</t>
  </si>
  <si>
    <t>https://myiipea.com/media/etudiant/photo/WhatsApp_Image_2023-10-06_at_14.25.22.jpeg</t>
  </si>
  <si>
    <t>SIDM0206050001</t>
  </si>
  <si>
    <t>MYRIAM YASMINE</t>
  </si>
  <si>
    <t>https://myiipea.com/media/etudiant/photo/WhatsApp_Image_2023-10-02_at_12.52.37.jpeg</t>
  </si>
  <si>
    <t>SIDN1103010001</t>
  </si>
  <si>
    <t>NAHAWA</t>
  </si>
  <si>
    <t>https://myiipea.com/media/etudiant/photo/WhatsApp_Image_2023-11-07_at_5.53.30_PM.jpeg</t>
  </si>
  <si>
    <t>SIEE0104020001</t>
  </si>
  <si>
    <t>SIE</t>
  </si>
  <si>
    <t>ELIE PASCAL ANDERSON</t>
  </si>
  <si>
    <t>https://myiipea.com/media/etudiant/photo/WhatsApp_Image_2023-10-11_at_12.47.57.jpeg</t>
  </si>
  <si>
    <t>SIGO0401040001</t>
  </si>
  <si>
    <t>SIGNE</t>
  </si>
  <si>
    <t>OHOUO FERNAND JOSUE</t>
  </si>
  <si>
    <t>https://myiipea.com/media/etudiant/photo/WhatsApp_Image_2023-11-21_at_12.14.51.jpeg</t>
  </si>
  <si>
    <t>SIGY2005020001</t>
  </si>
  <si>
    <t>SIGNO</t>
  </si>
  <si>
    <t>YAO AZOUMANAN</t>
  </si>
  <si>
    <t>https://myiipea.com/media/etudiant/photo/WhatsApp_Image_2023-10-16_at_7.03.39_PM.jpeg</t>
  </si>
  <si>
    <t>SIKS0610040001</t>
  </si>
  <si>
    <t>SIKA</t>
  </si>
  <si>
    <t>SERGINE PENIELLE</t>
  </si>
  <si>
    <t>https://myiipea.com/media/etudiant/photo/WhatsApp_Image_2023-10-03_at_15.39.59.jpeg</t>
  </si>
  <si>
    <t>SIKS2008030001</t>
  </si>
  <si>
    <t>SIKA JOSUE URIEL</t>
  </si>
  <si>
    <t>https://myiipea.com/media/etudiant/photo/WhatsApp_Image_2023-10-13_at_17.37.32.jpeg</t>
  </si>
  <si>
    <t>SIKS0302040001</t>
  </si>
  <si>
    <t>SOPIE BLANDINE</t>
  </si>
  <si>
    <t>https://myiipea.com/media/etudiant/photo/WhatsApp_Image_2023-10-12_at_15.19.02_1.jpeg</t>
  </si>
  <si>
    <t>SILB0411030001</t>
  </si>
  <si>
    <t>SILUE</t>
  </si>
  <si>
    <t>BARGNANA ZAHATIO STEPHANIE</t>
  </si>
  <si>
    <t>https://myiipea.com/media/etudiant/photo/WhatsApp_Image_2023-10-18_at_11.41.20.jpeg</t>
  </si>
  <si>
    <t>SILD0503970001</t>
  </si>
  <si>
    <t>DONASSIGUI FRANCOIS</t>
  </si>
  <si>
    <t>https://myiipea.com/media/etudiant/photo/WhatsApp_Image_2023-11-13_at_12.06.46.jpeg</t>
  </si>
  <si>
    <t>SILF0606010001</t>
  </si>
  <si>
    <t>FILA</t>
  </si>
  <si>
    <t>https://myiipea.com/media/etudiant/photo/WhatsApp_Image_2023-11-09_at_11.14.49.jpeg</t>
  </si>
  <si>
    <t>SILK1501050001</t>
  </si>
  <si>
    <t>KLOYERI RANIA LESLIE</t>
  </si>
  <si>
    <t>https://myiipea.com/media/etudiant/photo/ee805a7a-bd0f-4cfc-a70e-cbab604ca96a_47Y6Fvk.jpeg</t>
  </si>
  <si>
    <t>SILM2306010001</t>
  </si>
  <si>
    <t>https://myiipea.com/media/etudiant/photo/WhatsApp_Image_2023-10-05_at_13.15.22.jpeg</t>
  </si>
  <si>
    <t>SILN1905050001</t>
  </si>
  <si>
    <t>NOUGNIMIN MAHOUA</t>
  </si>
  <si>
    <t>https://myiipea.com/media/etudiant/photo/WhatsApp_Image_2023-09-28_at_14.28.57.jpeg</t>
  </si>
  <si>
    <t>SIMA2603010001</t>
  </si>
  <si>
    <t>SIMBORO</t>
  </si>
  <si>
    <t>ANATOU</t>
  </si>
  <si>
    <t>https://myiipea.com/media/etudiant/photo/WhatsApp_Image_2023-10-23_at_10.53.57.jpeg</t>
  </si>
  <si>
    <t>SIMN2601040001</t>
  </si>
  <si>
    <t>https://myiipea.com/media/etudiant/photo/WhatsApp_Image_2023-11-21_at_09.50.57.jpeg</t>
  </si>
  <si>
    <t>SIMG0412040001</t>
  </si>
  <si>
    <t>SIMPORE</t>
  </si>
  <si>
    <t>GOUNWENDENDA GHISLAIN</t>
  </si>
  <si>
    <t>https://myiipea.com/media/etudiant/photo/WhatsApp_Image_2023-09-28_at_17.48.17.jpeg</t>
  </si>
  <si>
    <t>SINF2403060001</t>
  </si>
  <si>
    <t>SINA</t>
  </si>
  <si>
    <t>FATIMATA</t>
  </si>
  <si>
    <t>https://myiipea.com/media/etudiant/photo/WhatsApp_Image_2023-10-13_at_16.12.43.jpeg</t>
  </si>
  <si>
    <t>SIOG2907040001</t>
  </si>
  <si>
    <t>SIO</t>
  </si>
  <si>
    <t>GRACE ANNICK MIREILLE</t>
  </si>
  <si>
    <t>https://myiipea.com/media/etudiant/photo/WhatsApp_Image_2023-09-28_at_10.06.26.jpeg</t>
  </si>
  <si>
    <t>SISA1601020001</t>
  </si>
  <si>
    <t>SISSOKO</t>
  </si>
  <si>
    <t>AMENAN CATHERINE NOURA</t>
  </si>
  <si>
    <t>https://myiipea.com/media/etudiant/photo/WhatsApp_Image_2023-10-10_at_15.38.25.jpeg</t>
  </si>
  <si>
    <t>SISM0508000001</t>
  </si>
  <si>
    <t>MIRIAM RAPHAELLE</t>
  </si>
  <si>
    <t>https://myiipea.com/media/etudiant/photo/WhatsApp_Image_2023-09-19_at_11.07.20.jpeg</t>
  </si>
  <si>
    <t>SISM1605050001</t>
  </si>
  <si>
    <t>MOHAMED CHERIF</t>
  </si>
  <si>
    <t>https://myiipea.com/media/etudiant/photo/WhatsApp_Image_2023-10-02_at_15.24.54.jpeg</t>
  </si>
  <si>
    <t>SODJ2904040001</t>
  </si>
  <si>
    <t>SODEGLA</t>
  </si>
  <si>
    <t>JOEL DAUDY WILFRIED</t>
  </si>
  <si>
    <t>https://myiipea.com/media/etudiant/photo/WhatsApp_Image_2023-10-10_at_11.08.33.jpeg</t>
  </si>
  <si>
    <t>SOHN0902050001</t>
  </si>
  <si>
    <t>SOH</t>
  </si>
  <si>
    <t>N'GOUAN ARNAUD</t>
  </si>
  <si>
    <t>https://myiipea.com/media/etudiant/photo/WhatsApp_Image_2023-09-28_at_15.28.21.jpeg</t>
  </si>
  <si>
    <t>SOHE2310040001</t>
  </si>
  <si>
    <t>SOHEY</t>
  </si>
  <si>
    <t>EDEN OURIELLE AMI</t>
  </si>
  <si>
    <t>https://myiipea.com/media/etudiant/photo/WhatsApp_Image_2023-09-18_at_14.33.00.jpeg</t>
  </si>
  <si>
    <t>SOKM1309030001</t>
  </si>
  <si>
    <t>SOKOPRI</t>
  </si>
  <si>
    <t>MELYNDA LAURINE</t>
  </si>
  <si>
    <t>https://myiipea.com/media/etudiant/photo/WhatsApp_Image_2023-11-06_at_12.28.22.jpeg</t>
  </si>
  <si>
    <t>SOLM0505020001</t>
  </si>
  <si>
    <t>SOLLEN</t>
  </si>
  <si>
    <t>MESSANVI DORIS SARA</t>
  </si>
  <si>
    <t>https://myiipea.com/media/etudiant/photo/WhatsApp_Image_2023-11-06_at_17.58.47.jpeg</t>
  </si>
  <si>
    <t>SOMK0911000001</t>
  </si>
  <si>
    <t>SOMAN</t>
  </si>
  <si>
    <t>KOUASSI FRANCK JUNIOR</t>
  </si>
  <si>
    <t>https://myiipea.com/media/etudiant/photo/WhatsApp_Image_2023-10-17_at_13.54.38.jpeg</t>
  </si>
  <si>
    <t>SOMP0204030001</t>
  </si>
  <si>
    <t>SOME</t>
  </si>
  <si>
    <t>PAUL LEWIS</t>
  </si>
  <si>
    <t>https://myiipea.com/media/etudiant/photo/WhatsApp_Image_2023-10-17_at_12.54.51.jpeg</t>
  </si>
  <si>
    <t>SOMA2509050001</t>
  </si>
  <si>
    <t>SOMIAN</t>
  </si>
  <si>
    <t>AUDREY DELORE</t>
  </si>
  <si>
    <t>https://myiipea.com/media/etudiant/photo/WhatsApp_Image_2023-10-02_at_17.10.31.jpeg</t>
  </si>
  <si>
    <t>SOMN1309050001</t>
  </si>
  <si>
    <t>SOMOLO</t>
  </si>
  <si>
    <t>N'DRI EMIRA LYNDA</t>
  </si>
  <si>
    <t>https://myiipea.com/media/etudiant/photo/WhatsApp_Image_2023-10-24_at_15.26.04.jpeg</t>
  </si>
  <si>
    <t>SONA0406030001</t>
  </si>
  <si>
    <t>SON</t>
  </si>
  <si>
    <t>https://myiipea.com/media/etudiant/photo/WhatsApp_Image_2023-10-09_at_13.51.20.jpeg</t>
  </si>
  <si>
    <t>SONE1304050001</t>
  </si>
  <si>
    <t>SONAN</t>
  </si>
  <si>
    <t>EUNICE MURIELLE ARIANE</t>
  </si>
  <si>
    <t>https://myiipea.com/media/etudiant/photo/WhatsApp_Image_2023-09-28_at_11.18.37.jpeg</t>
  </si>
  <si>
    <t>SONN1710010001</t>
  </si>
  <si>
    <t>SONG</t>
  </si>
  <si>
    <t>NABA NEYMATA</t>
  </si>
  <si>
    <t>https://myiipea.com/media/etudiant/photo/WhatsApp_Image_2023-11-06_at_11.06.29.jpeg</t>
  </si>
  <si>
    <t>SORM2310050001</t>
  </si>
  <si>
    <t>SORE</t>
  </si>
  <si>
    <t>MADINATOU</t>
  </si>
  <si>
    <t>https://myiipea.com/media/etudiant/photo/WhatsApp_Image_2023-10-26_at_11.46.31.jpeg</t>
  </si>
  <si>
    <t>SORN0401040001</t>
  </si>
  <si>
    <t>NEMATOU</t>
  </si>
  <si>
    <t>https://myiipea.com/media/etudiant/photo/WhatsApp_Image_2023-10-12_at_15.51.57.jpeg</t>
  </si>
  <si>
    <t>SORA1604040001</t>
  </si>
  <si>
    <t>SORGO</t>
  </si>
  <si>
    <t>ASSIA DJAMILA YASMINE</t>
  </si>
  <si>
    <t>https://myiipea.com/media/etudiant/photo/WhatsApp_Image_2023-11-06_at_18.10.01.jpeg</t>
  </si>
  <si>
    <t>SORF2508040001</t>
  </si>
  <si>
    <t>SORO</t>
  </si>
  <si>
    <t>FOUNDANRA YANN STEPHANE</t>
  </si>
  <si>
    <t>https://myiipea.com/media/etudiant/photo/WhatsApp_Image_2023-11-06_at_10.07.13.jpeg</t>
  </si>
  <si>
    <t>SORF1212990001</t>
  </si>
  <si>
    <t>https://myiipea.com/media/etudiant/photo/WhatsApp_Image_2023-10-24_at_16.51.27.jpeg</t>
  </si>
  <si>
    <t>SORT1311060001</t>
  </si>
  <si>
    <t>TIEGNOUNON</t>
  </si>
  <si>
    <t>https://myiipea.com/media/etudiant/photo/WhatsApp_Image_2023-10-06_at_13_resized_cep2Kdx.png</t>
  </si>
  <si>
    <t>SORT2811020001</t>
  </si>
  <si>
    <t>TIELOUROUGO SALI</t>
  </si>
  <si>
    <t>https://myiipea.com/media/etudiant/photo/WhatsApp_Image_2023-09-22_at_09.53.42.jpeg</t>
  </si>
  <si>
    <t>SOSD1405040001</t>
  </si>
  <si>
    <t>SOSSAH</t>
  </si>
  <si>
    <t>DADIE GILLES ELIAS</t>
  </si>
  <si>
    <t>https://myiipea.com/media/etudiant/photo/WhatsApp_Image_2023-10-04_at_08.38.07.jpeg</t>
  </si>
  <si>
    <t>SOSS1604060001</t>
  </si>
  <si>
    <t>SOKORON OBIERGE MARIE PASCALE</t>
  </si>
  <si>
    <t>https://myiipea.com/media/etudiant/photo/WhatsApp_Image_2023-10-04_at_10.19.26.jpeg</t>
  </si>
  <si>
    <t>SOUC0211020001</t>
  </si>
  <si>
    <t>SOUARE</t>
  </si>
  <si>
    <t>CHEICK MOHAMED ARTHUR</t>
  </si>
  <si>
    <t>https://myiipea.com/media/etudiant/photo/WhatsApp_Image_2023-10-25_at_13.40.11.jpeg</t>
  </si>
  <si>
    <t>SOUI1011020001</t>
  </si>
  <si>
    <t>IBOURAHIM</t>
  </si>
  <si>
    <t>https://myiipea.com/media/etudiant/photo/WhatsApp_Image_2023-10-12_at_15.29.22.jpeg</t>
  </si>
  <si>
    <t>SOUB1711000001</t>
  </si>
  <si>
    <t>SOUKOU</t>
  </si>
  <si>
    <t>BADOU AMANI JEAN DANIEL</t>
  </si>
  <si>
    <t>https://myiipea.com/media/etudiant/photo/WhatsApp_Image_2023-11-08_at_3.36.26_PM.jpeg</t>
  </si>
  <si>
    <t>SOUC1212060001</t>
  </si>
  <si>
    <t>SOUKPO</t>
  </si>
  <si>
    <t>CHANTAL</t>
  </si>
  <si>
    <t>https://myiipea.com/media/etudiant/photo/WhatsApp_Image_2023-10-18_at_11.40.59.jpeg</t>
  </si>
  <si>
    <t>SOUD2302040001</t>
  </si>
  <si>
    <t>SOULAMA</t>
  </si>
  <si>
    <t>DILOMA JEAN MICHAEL VLADMIR</t>
  </si>
  <si>
    <t>https://myiipea.com/media/etudiant/photo/WhatsApp_Image_2023-10-27_at_17.30.22.jpeg</t>
  </si>
  <si>
    <t>SOUA0802030001</t>
  </si>
  <si>
    <t>SOULEY</t>
  </si>
  <si>
    <t>ABDOUL-RAHAMANE</t>
  </si>
  <si>
    <t>https://myiipea.com/media/etudiant/photo/WhatsApp_Image_2023-11-02_at_4.18.33_PM.jpeg</t>
  </si>
  <si>
    <t>SOUA2502030001</t>
  </si>
  <si>
    <t>SOUMAHORO</t>
  </si>
  <si>
    <t>https://myiipea.com/media/etudiant/photo/WhatsApp_Image_2023-10-03_at_14.00.29.jpeg</t>
  </si>
  <si>
    <t>SOUA2403040001</t>
  </si>
  <si>
    <t>AICHA YASSINE</t>
  </si>
  <si>
    <t>https://myiipea.com/media/etudiant/photo/WhatsApp_Image_2023-10-16_at_17.46.21.jpeg</t>
  </si>
  <si>
    <t>SOUF0307030001</t>
  </si>
  <si>
    <t>https://myiipea.com/media/etudiant/photo/WhatsApp_Image_2023-10-19_at_16.38.03.jpeg</t>
  </si>
  <si>
    <t>SOUF2403040002</t>
  </si>
  <si>
    <t>FATIM IMANE</t>
  </si>
  <si>
    <t>https://myiipea.com/media/etudiant/photo/WhatsApp_Image_2023-10-16_at_17.46.36.jpeg</t>
  </si>
  <si>
    <t>SOUI0301040001</t>
  </si>
  <si>
    <t>https://myiipea.com/media/etudiant/photo/WhatsApp_Image_2023-10-24_at_12_resized.png</t>
  </si>
  <si>
    <t>SOUM1204020001</t>
  </si>
  <si>
    <t>https://myiipea.com/media/etudiant/photo/WhatsApp_Image_2023-10-13_at_13.58.42.jpeg</t>
  </si>
  <si>
    <t>SOUM3010030001</t>
  </si>
  <si>
    <t>MASARAN</t>
  </si>
  <si>
    <t>https://myiipea.com/media/etudiant/photo/WhatsApp_Image_2023-10-31_at_11.44.20.jpeg</t>
  </si>
  <si>
    <t>SOUM2203040001</t>
  </si>
  <si>
    <t>MATOGOMA KADIDJA</t>
  </si>
  <si>
    <t>https://myiipea.com/media/etudiant/photo/WhatsApp_Image_2023-10-02_at_16.13.15.jpeg</t>
  </si>
  <si>
    <t>SOUM0109010001</t>
  </si>
  <si>
    <t>https://myiipea.com/media/etudiant/photo/WhatsApp_Image_2023-10-20_at_18.06.01_1.jpeg</t>
  </si>
  <si>
    <t>SOUM2704050001</t>
  </si>
  <si>
    <t>MYRIAL FATIM</t>
  </si>
  <si>
    <t>https://myiipea.com/media/etudiant/photo/WhatsApp_Image_2023-09-18_at_09.28.10.jpeg</t>
  </si>
  <si>
    <t>SOUN2910000001</t>
  </si>
  <si>
    <t>NOGOBALA FATIM</t>
  </si>
  <si>
    <t>https://myiipea.com/media/etudiant/photo/WhatsApp_Image_2023-10-05_at_3.04.38_PM.jpeg</t>
  </si>
  <si>
    <t>SOUZ0404040001</t>
  </si>
  <si>
    <t>ZEINABO</t>
  </si>
  <si>
    <t>https://myiipea.com/media/etudiant/photo/WhatsApp_Image_2023-10-31_at_15.25.08.jpeg</t>
  </si>
  <si>
    <t>SOUA2711030001</t>
  </si>
  <si>
    <t>https://myiipea.com/media/etudiant/photo/WhatsApp_Image_2023-11-14_at_12.04.04.jpeg</t>
  </si>
  <si>
    <t>SOUM2006030001</t>
  </si>
  <si>
    <t>SOUMAORO</t>
  </si>
  <si>
    <t>MARIAM TCHONGUI</t>
  </si>
  <si>
    <t>https://myiipea.com/media/etudiant/photo/WhatsApp_Image_2023-10-26_at_13_resized.png</t>
  </si>
  <si>
    <t>SOUA0408030001</t>
  </si>
  <si>
    <t>SOUMARE</t>
  </si>
  <si>
    <t>https://myiipea.com/media/etudiant/photo/photo_RVzvdrJ.jpg</t>
  </si>
  <si>
    <t>SOUB1207020001</t>
  </si>
  <si>
    <t>BEN JEAN PHILIPPE</t>
  </si>
  <si>
    <t>https://myiipea.com/media/etudiant/photo/WhatsApp_Image_2023-09-26_at_17.30.48.jpeg</t>
  </si>
  <si>
    <t>SOUS2709030001</t>
  </si>
  <si>
    <t>SOUNTOURA</t>
  </si>
  <si>
    <t>https://myiipea.com/media/etudiant/photo/WhatsApp_Image_2023-09-29_at_10_resized_TxzeiXC.png</t>
  </si>
  <si>
    <t>SOWA0701000001</t>
  </si>
  <si>
    <t>SOW</t>
  </si>
  <si>
    <t>https://myiipea.com/media/etudiant/photo/WhatsApp_Image_2023-10-26_at_11.29.22.jpeg</t>
  </si>
  <si>
    <t>SOWA2004010001</t>
  </si>
  <si>
    <t>ASSITA</t>
  </si>
  <si>
    <t>https://myiipea.com/media/etudiant/photo/WhatsApp_Image_2023-11-23_at_14.38.38.jpeg</t>
  </si>
  <si>
    <t>SOWB2605020001</t>
  </si>
  <si>
    <t>https://myiipea.com/media/etudiant/photo/WhatsApp_Image_2023-09-22_at_10.43.54.jpeg</t>
  </si>
  <si>
    <t>SROK3009020001</t>
  </si>
  <si>
    <t>SROVI</t>
  </si>
  <si>
    <t>KODJO HENOC</t>
  </si>
  <si>
    <t>https://myiipea.com/media/etudiant/photo/WhatsApp_Image_2023-10-12_at_13.51.28.jpeg</t>
  </si>
  <si>
    <t>SWAA1412040001</t>
  </si>
  <si>
    <t>SWATSON</t>
  </si>
  <si>
    <t>ABENAN MARIE ANGE</t>
  </si>
  <si>
    <t>https://myiipea.com/media/etudiant/photo/WhatsApp_Image_2023-10-03_at_12.02.19.jpeg</t>
  </si>
  <si>
    <t>SYLA1801020001</t>
  </si>
  <si>
    <t>SYLLA</t>
  </si>
  <si>
    <t>AICHA KADY</t>
  </si>
  <si>
    <t>https://myiipea.com/media/etudiant/photo/WhatsApp_Image_2023-10-03_at_16.48.18.jpeg</t>
  </si>
  <si>
    <t>SYLA0603020001</t>
  </si>
  <si>
    <t>ALLASSANE SAMIR</t>
  </si>
  <si>
    <t>https://myiipea.com/media/etudiant/photo/WhatsApp_Image_2023-11-07_at_3.18.19_PM.jpeg</t>
  </si>
  <si>
    <t>SYLM2411040001</t>
  </si>
  <si>
    <t>MAHANSO LARISSA</t>
  </si>
  <si>
    <t>https://myiipea.com/media/etudiant/photo/WhatsApp_Image_2023-10-31_at_11.06.43.jpeg</t>
  </si>
  <si>
    <t>SYLN3112030001</t>
  </si>
  <si>
    <t>NAWA</t>
  </si>
  <si>
    <t>https://myiipea.com/media/etudiant/photo/WhatsApp_Image_2023-10-02_at_15.47.38.jpeg</t>
  </si>
  <si>
    <t>SYLO0708040001</t>
  </si>
  <si>
    <t>OULAIMATOU</t>
  </si>
  <si>
    <t>https://myiipea.com/media/etudiant/photo/WhatsApp_Image_2023-10-04_at_14.40.28.jpeg</t>
  </si>
  <si>
    <t>SYLS2203010001</t>
  </si>
  <si>
    <t>https://myiipea.com/media/etudiant/photo/WhatsApp_Image_2023-10-06_at_14.56.50.jpeg</t>
  </si>
  <si>
    <t>SYLZ1205050001</t>
  </si>
  <si>
    <t>ZEINAB FATIM</t>
  </si>
  <si>
    <t>https://myiipea.com/media/etudiant/photo/WhatsApp_Image_2023-10-30_at_14.15.44.jpeg</t>
  </si>
  <si>
    <t>TABA0910030001</t>
  </si>
  <si>
    <t>TABOU</t>
  </si>
  <si>
    <t>ANGE DEBORAH</t>
  </si>
  <si>
    <t>https://myiipea.com/media/etudiant/photo/WhatsApp_Image_2023-11-03_at_16.30.34.jpeg</t>
  </si>
  <si>
    <t>TAGA0610060001</t>
  </si>
  <si>
    <t>TAGBO</t>
  </si>
  <si>
    <t>AKALE GRACE EMMANUELLA</t>
  </si>
  <si>
    <t>https://myiipea.com/media/etudiant/photo/WhatsApp_Image_2023-09-18_at_14.33.43.jpeg</t>
  </si>
  <si>
    <t>TAGV2702030001</t>
  </si>
  <si>
    <t>VAERONE PADRE</t>
  </si>
  <si>
    <t>https://myiipea.com/media/etudiant/photo/WhatsApp_Image_2023-09-28_at_16.09.55.jpeg</t>
  </si>
  <si>
    <t>TAHT0410010001</t>
  </si>
  <si>
    <t>TAH LOU</t>
  </si>
  <si>
    <t>TINA BLANDINE</t>
  </si>
  <si>
    <t>https://myiipea.com/media/etudiant/photo/WhatsApp_Image_2023-10-03_at_13.55.00.jpeg</t>
  </si>
  <si>
    <t>TAHG1510020001</t>
  </si>
  <si>
    <t>TAHA</t>
  </si>
  <si>
    <t>GNOMBLEI LIONEL LEVY GERVAIS</t>
  </si>
  <si>
    <t>https://myiipea.com/media/etudiant/photo/WhatsApp_Image_2023-10-24_at_15.27.43.jpeg</t>
  </si>
  <si>
    <t>TAHG2702060001</t>
  </si>
  <si>
    <t>TAHE</t>
  </si>
  <si>
    <t>GRACE LOIS OLIVIA</t>
  </si>
  <si>
    <t>https://myiipea.com/media/etudiant/photo/WhatsApp_Image_2023-10-13_at_18.04.07.jpeg</t>
  </si>
  <si>
    <t>TAHG3005030001</t>
  </si>
  <si>
    <t>GUELADE ABEL</t>
  </si>
  <si>
    <t>https://myiipea.com/media/etudiant/photo/WhatsApp_Image_2023-10-09_at_14.02.07.jpeg</t>
  </si>
  <si>
    <t>TAHM1105040001</t>
  </si>
  <si>
    <t>MEMON ANGE LOIC</t>
  </si>
  <si>
    <t>https://myiipea.com/media/etudiant/photo/WhatsApp_Image_2023-09-28_at_12.14.24.jpeg</t>
  </si>
  <si>
    <t>TAHD0804010001</t>
  </si>
  <si>
    <t>TAHOU</t>
  </si>
  <si>
    <t>DEGNAN ALICIA ESTELLE</t>
  </si>
  <si>
    <t>https://myiipea.com/media/etudiant/photo/WhatsApp_Image_2023-10-03_at_15.36.37.jpeg</t>
  </si>
  <si>
    <t>TAHI2507990001</t>
  </si>
  <si>
    <t>ISSIE</t>
  </si>
  <si>
    <t>https://myiipea.com/media/etudiant/photo/IMG_2962_resized.png</t>
  </si>
  <si>
    <t>TAHK2305040001</t>
  </si>
  <si>
    <t>TALL</t>
  </si>
  <si>
    <t>KADIDJATOU DEM</t>
  </si>
  <si>
    <t>https://myiipea.com/media/etudiant/photo/WhatsApp_Image_2023-11-21_at_4.47.16_PM.jpeg</t>
  </si>
  <si>
    <t>TANB0510050002</t>
  </si>
  <si>
    <t>TAN</t>
  </si>
  <si>
    <t>BOHE WONBLEGNON EZECHIEL</t>
  </si>
  <si>
    <t>https://myiipea.com/media/etudiant/photo/WhatsApp_Image_2023-10-17_at_1.27.41_PM.jpeg</t>
  </si>
  <si>
    <t>TANM1102020001</t>
  </si>
  <si>
    <t>MATODO LEO MIRA</t>
  </si>
  <si>
    <t>https://myiipea.com/media/etudiant/photo/WhatsApp_Image_2023-09-15_at_11.45.06.jpeg</t>
  </si>
  <si>
    <t>TANA2708040001</t>
  </si>
  <si>
    <t>TANO</t>
  </si>
  <si>
    <t>ANGE FALONE</t>
  </si>
  <si>
    <t>https://myiipea.com/media/etudiant/photo/WhatsApp_Image_2023-11-03_at_5_resized.png</t>
  </si>
  <si>
    <t>TANA1402020001</t>
  </si>
  <si>
    <t>ANNE SOPHIA PASCALE NAH VALENCIA</t>
  </si>
  <si>
    <t>https://myiipea.com/media/etudiant/photo/IMG_6309_resized.png</t>
  </si>
  <si>
    <t>TANA1502060001</t>
  </si>
  <si>
    <t>ASSAMALA MARIE CLAUDE</t>
  </si>
  <si>
    <t>https://myiipea.com/media/etudiant/photo/WhatsApp_Image_2023-10-04_at_5.28.22_PM.jpeg</t>
  </si>
  <si>
    <t>TANB1306980001</t>
  </si>
  <si>
    <t>BROU FERNAND</t>
  </si>
  <si>
    <t>https://myiipea.com/media/etudiant/photo/WhatsApp_Image_2023-10-04_at_18.33.34_uAXeANP_B5iVilR.jpeg</t>
  </si>
  <si>
    <t>TANK2504030001</t>
  </si>
  <si>
    <t>KOUASSI MARTIAL</t>
  </si>
  <si>
    <t>https://myiipea.com/media/etudiant/photo/WhatsApp_Image_2023-11-30_at_17.37.22.jpeg</t>
  </si>
  <si>
    <t>TANM0211040001</t>
  </si>
  <si>
    <t>MARIE ANGE ORPHEE</t>
  </si>
  <si>
    <t>https://myiipea.com/media/etudiant/photo/WhatsApp_Image_2023-10-10_at_14.08.14.jpeg</t>
  </si>
  <si>
    <t>TANR3108030001</t>
  </si>
  <si>
    <t>RHODE SALOME</t>
  </si>
  <si>
    <t>https://myiipea.com/media/etudiant/photo/WhatsApp_Image_2023-10-05_at_10.13.49.jpeg</t>
  </si>
  <si>
    <t>TANV2205000001</t>
  </si>
  <si>
    <t>VANESSA EDWIGE</t>
  </si>
  <si>
    <t>https://myiipea.com/media/etudiant/photo/WhatsApp_Image_2023-10-03_at_3.19.53_PM.jpeg</t>
  </si>
  <si>
    <t>TANM1304990001</t>
  </si>
  <si>
    <t>TANOE</t>
  </si>
  <si>
    <t>M'ASSEY DOLORES SYLVERA</t>
  </si>
  <si>
    <t>https://myiipea.com/media/etudiant/photo/WhatsApp_Image_2023-11-16_at_12.37.39_PM.jpeg</t>
  </si>
  <si>
    <t>TANA2502000001</t>
  </si>
  <si>
    <t>TANOH</t>
  </si>
  <si>
    <t>AHOU ROSALIE</t>
  </si>
  <si>
    <t>https://myiipea.com/media/etudiant/photo/WhatsApp_Image_2023-10-05_at_13.25.02.jpeg</t>
  </si>
  <si>
    <t>TANA2211040001</t>
  </si>
  <si>
    <t>AKOUA GRACE EMMANUELA</t>
  </si>
  <si>
    <t>https://myiipea.com/media/etudiant/photo/WhatsApp_Image_2023-11-03_at_11.27.30.jpeg</t>
  </si>
  <si>
    <t>TANE1903020001</t>
  </si>
  <si>
    <t>EKRA MOISE STEPHANE</t>
  </si>
  <si>
    <t>https://myiipea.com/media/etudiant/photo/WhatsApp_Image_2023-09-21_at_14.43.36.jpeg</t>
  </si>
  <si>
    <t>TANE1304020001</t>
  </si>
  <si>
    <t>EMMANUEL JULES</t>
  </si>
  <si>
    <t>https://myiipea.com/media/etudiant/photo/WhatsApp_Image_2023-10-03_at_09.44.31.jpeg</t>
  </si>
  <si>
    <t>TANK2303060001</t>
  </si>
  <si>
    <t>KOUAKOU CHARLES EPHRAÏM</t>
  </si>
  <si>
    <t>https://myiipea.com/media/etudiant/photo/TANOH.jpg</t>
  </si>
  <si>
    <t>TANK1903030001</t>
  </si>
  <si>
    <t>KOUAKOU JOSEPH JIOVANNY</t>
  </si>
  <si>
    <t>https://myiipea.com/media/etudiant/photo/WhatsApp_Image_2023-10-16_at_11.50.55.jpeg</t>
  </si>
  <si>
    <t>TANM2305050001</t>
  </si>
  <si>
    <t>MANOU STEPHANIE</t>
  </si>
  <si>
    <t>https://myiipea.com/media/etudiant/photo/WhatsApp_Image_2023-10-03_at_10.03.59.jpeg</t>
  </si>
  <si>
    <t>TANM0607020001</t>
  </si>
  <si>
    <t>MELIANE MARIE-LAURINE</t>
  </si>
  <si>
    <t>https://myiipea.com/media/etudiant/photo/WhatsApp_Image_2023-10-24_at_1.44.59_PM.jpeg</t>
  </si>
  <si>
    <t>TANS2005010001</t>
  </si>
  <si>
    <t>STEPHANIE ASTRID</t>
  </si>
  <si>
    <t>https://myiipea.com/media/etudiant/photo/WhatsApp_Image_2023-11-24_at_10.21.12.jpeg</t>
  </si>
  <si>
    <t>TAOS0807000001</t>
  </si>
  <si>
    <t>TAO</t>
  </si>
  <si>
    <t>SAKINATA</t>
  </si>
  <si>
    <t>https://myiipea.com/media/etudiant/photo/WhatsApp_Image_2023-09-14_at_14.53.52.jpeg</t>
  </si>
  <si>
    <t>TAPO0310040001</t>
  </si>
  <si>
    <t>TAPA</t>
  </si>
  <si>
    <t>OLIVIA EMMANUELLE</t>
  </si>
  <si>
    <t>https://myiipea.com/media/etudiant/photo/WhatsApp_Image_2023-10-16_at_11.50.00.jpeg</t>
  </si>
  <si>
    <t>TAPL2506050001</t>
  </si>
  <si>
    <t>TAPE</t>
  </si>
  <si>
    <t>LYSE AUDREY YABA</t>
  </si>
  <si>
    <t>https://myiipea.com/media/etudiant/photo/WhatsApp_Image_2023-10-17_at_16.20.00.jpeg</t>
  </si>
  <si>
    <t>TAPS0502030001</t>
  </si>
  <si>
    <t>SELLA STEPHANIE</t>
  </si>
  <si>
    <t>https://myiipea.com/media/etudiant/photo/WhatsApp_Image_2023-10-12_at_17.43.39.jpeg</t>
  </si>
  <si>
    <t>TAPT0809040001</t>
  </si>
  <si>
    <t>THIZIE PIERRE-DANIEL</t>
  </si>
  <si>
    <t>https://myiipea.com/media/etudiant/photo/WhatsApp_Image_2023-10-30_at_13.36.34.jpeg</t>
  </si>
  <si>
    <t>TAPD2810980001</t>
  </si>
  <si>
    <t>TAPILY</t>
  </si>
  <si>
    <t>DJENEBOU</t>
  </si>
  <si>
    <t>https://myiipea.com/media/etudiant/photo/WhatsApp_Image_2023-10-24_at_3.59.27_PM.jpeg</t>
  </si>
  <si>
    <t>TAPJ2309000001</t>
  </si>
  <si>
    <t>TAPSOBA</t>
  </si>
  <si>
    <t>JEAN ARNAUD CEDRIC</t>
  </si>
  <si>
    <t>https://myiipea.com/media/etudiant/photo/WhatsApp_Image_2023-11-07_at_14.57.42.jpeg</t>
  </si>
  <si>
    <t>TAPM0401030001</t>
  </si>
  <si>
    <t>https://myiipea.com/media/etudiant/photo/WhatsApp_Image_2023-10-24_at_7.17.47_PM.jpeg</t>
  </si>
  <si>
    <t>TAPS2101030001</t>
  </si>
  <si>
    <t>SONIA AGNES</t>
  </si>
  <si>
    <t>https://myiipea.com/media/etudiant/photo/WhatsApp_Image_2023-10-16_at_12.16.15.jpeg</t>
  </si>
  <si>
    <t>TARA0202030001</t>
  </si>
  <si>
    <t>TARNAGDA</t>
  </si>
  <si>
    <t>AMOIN BLANCHE ORLANE MARIA</t>
  </si>
  <si>
    <t>https://myiipea.com/media/etudiant/photo/WhatsApp_Image_2023-09-21_%C3%A0_10.56.34.jpg</t>
  </si>
  <si>
    <t>TARS2905990001</t>
  </si>
  <si>
    <t>https://myiipea.com/media/etudiant/photo/WhatsApp_Image_2023-10-16_at_3.41.23_PM.jpeg</t>
  </si>
  <si>
    <t>TATD0103050001</t>
  </si>
  <si>
    <t>DJRO EUGENIE AMANDINE</t>
  </si>
  <si>
    <t>https://myiipea.com/media/etudiant/photo/WhatsApp_Image_2023-10-03_at_17.03.37.jpeg</t>
  </si>
  <si>
    <t>TATN2307050001</t>
  </si>
  <si>
    <t>TATOU</t>
  </si>
  <si>
    <t>N'DRIN KARL EMMANUEL</t>
  </si>
  <si>
    <t>https://myiipea.com/media/etudiant/photo/WhatsApp_Image_2023-10-20_at_12.46.33.jpeg</t>
  </si>
  <si>
    <t>TCHY2401010001</t>
  </si>
  <si>
    <t>TCHATCHA</t>
  </si>
  <si>
    <t>YAOVI JEAN LUC</t>
  </si>
  <si>
    <t>https://myiipea.com/media/etudiant/photo/WhatsApp_Image_2023-10-03_at_15.33.13.jpeg</t>
  </si>
  <si>
    <t>TCHL1806020001</t>
  </si>
  <si>
    <t>TCHEKPA</t>
  </si>
  <si>
    <t>LIGOH SARAH STEPHANIE</t>
  </si>
  <si>
    <t>https://myiipea.com/media/etudiant/photo/WhatsApp_Image_2023-10-02_at_15_resized.png</t>
  </si>
  <si>
    <t>TCHG2806020001</t>
  </si>
  <si>
    <t>TCHEOUHON</t>
  </si>
  <si>
    <t>GNOMBLEI JEAN CHRIST DESIRE</t>
  </si>
  <si>
    <t>https://myiipea.com/media/etudiant/photo/WhatsApp_Image_2023-10-16_at_10.35.46.jpeg</t>
  </si>
  <si>
    <t>TCHE1804010001</t>
  </si>
  <si>
    <t>TCHIMOU</t>
  </si>
  <si>
    <t>EDEN SARAH</t>
  </si>
  <si>
    <t>https://myiipea.com/media/etudiant/photo/WhatsApp_Image_2023-10-26_at_11.07.24.jpeg</t>
  </si>
  <si>
    <t>TCHY1310030001</t>
  </si>
  <si>
    <t>YHIWOH MARLENE</t>
  </si>
  <si>
    <t>https://myiipea.com/media/etudiant/photo/WhatsApp_Image_2023-10-18_at_12.19.32.jpeg</t>
  </si>
  <si>
    <t>TCHY3010030001</t>
  </si>
  <si>
    <t>YIWO ANNICK DESIREE FATIM</t>
  </si>
  <si>
    <t>https://myiipea.com/media/etudiant/photo/WhatsApp_Image_2023-09-29_at_13.01.52.jpeg</t>
  </si>
  <si>
    <t>TCHT2409090001</t>
  </si>
  <si>
    <t>TCHOTCHO</t>
  </si>
  <si>
    <t>TCHETCHE MEL JEREMIE FRANCOIS</t>
  </si>
  <si>
    <t>https://myiipea.com/media/etudiant/photo/WhatsApp_Image_2023-10-12_at_13.08.14.jpeg</t>
  </si>
  <si>
    <t>TCHL0107020001</t>
  </si>
  <si>
    <t>TCHOUMOU</t>
  </si>
  <si>
    <t>LOU ATCHO ANNE DEBORAH</t>
  </si>
  <si>
    <t>https://myiipea.com/media/etudiant/photo/WhatsApp_Image_2023-10-06_at_11.44.38.jpeg</t>
  </si>
  <si>
    <t>TEBE2003020001</t>
  </si>
  <si>
    <t>TEBA</t>
  </si>
  <si>
    <t>EMMANUEL JUNIOR</t>
  </si>
  <si>
    <t>https://myiipea.com/media/etudiant/photo/WhatsApp_Image_2023-11-07_at_12.39.14.jpeg</t>
  </si>
  <si>
    <t>TEBD1903040001</t>
  </si>
  <si>
    <t>TEBY</t>
  </si>
  <si>
    <t>DELVIS NERAUL</t>
  </si>
  <si>
    <t>https://myiipea.com/media/etudiant/photo/WhatsApp_Image_2023-10-13_at_10.31.22.jpeg</t>
  </si>
  <si>
    <t>TEDH0111040001</t>
  </si>
  <si>
    <t>TEDJE</t>
  </si>
  <si>
    <t>HUGUE ECCLESIASTE</t>
  </si>
  <si>
    <t>https://myiipea.com/media/etudiant/photo/WhatsApp_Image_2023-09-29_at_16.46.58.jpeg</t>
  </si>
  <si>
    <t>TEGO1103030002</t>
  </si>
  <si>
    <t>TEGOUE</t>
  </si>
  <si>
    <t>ODILA CHRISTELLE</t>
  </si>
  <si>
    <t>https://myiipea.com/media/etudiant/photo/WhatsApp_Image_2023-10-05_at_14.52.26_e5LuEEA.jpeg</t>
  </si>
  <si>
    <t>TEHA2411000001</t>
  </si>
  <si>
    <t>TEHE</t>
  </si>
  <si>
    <t>ANGE PRISCILLE</t>
  </si>
  <si>
    <t>https://myiipea.com/media/etudiant/photo/WhatsApp_Image_2023-10-03_at_14.28.35.jpeg</t>
  </si>
  <si>
    <t>TEHG2107040001</t>
  </si>
  <si>
    <t>GOULIA SEMAMBON EMMANUELA</t>
  </si>
  <si>
    <t>https://myiipea.com/media/etudiant/photo/WhatsApp_Image_2023-11-22_at_11.52.42.jpeg</t>
  </si>
  <si>
    <t>TEHH1505020001</t>
  </si>
  <si>
    <t>HOULOU BLETCHE REGINE CHARLENE</t>
  </si>
  <si>
    <t>https://myiipea.com/media/etudiant/photo/WhatsApp_Image_2023-10-31_at_11.15.55.jpeg</t>
  </si>
  <si>
    <t>TEHM1406020001</t>
  </si>
  <si>
    <t>MAEWOUE JOEL PRIVAT</t>
  </si>
  <si>
    <t>https://myiipea.com/media/etudiant/photo/WhatsApp_Image_2023-10-19_at_19.22.25.jpeg</t>
  </si>
  <si>
    <t>TEHR2512050001</t>
  </si>
  <si>
    <t>ROXANNE EMMANUELA</t>
  </si>
  <si>
    <t>https://myiipea.com/media/etudiant/photo/239422487_405915444207421_8131329350063382999_n_YrcFsGK.jpg</t>
  </si>
  <si>
    <t>TEHY2403050001</t>
  </si>
  <si>
    <t>TEHUA</t>
  </si>
  <si>
    <t>YAWA REINE ELISABETH</t>
  </si>
  <si>
    <t>https://myiipea.com/media/etudiant/photo/WhatsApp_Image_2023-10-23_at_10.07.16.jpeg</t>
  </si>
  <si>
    <t>TELA2503030001</t>
  </si>
  <si>
    <t>TELLY</t>
  </si>
  <si>
    <t>https://myiipea.com/media/etudiant/photo/WhatsApp_Image_2023-10-03_at_16.13.42.jpeg</t>
  </si>
  <si>
    <t>TELI0809010001</t>
  </si>
  <si>
    <t>https://myiipea.com/media/etudiant/photo/WhatsApp_Image_2023-10-06_at_13_resized.png</t>
  </si>
  <si>
    <t>TELK1103020001</t>
  </si>
  <si>
    <t>https://myiipea.com/media/etudiant/photo/ee805a7a-bd0f-4cfc-a70e-cbab604ca96a_MF6m3mc.jpeg</t>
  </si>
  <si>
    <t>TEMI1207020001</t>
  </si>
  <si>
    <t>TEMBELY</t>
  </si>
  <si>
    <t>https://myiipea.com/media/etudiant/photo/WhatsApp_Image_2023-11-02_at_09.56.49_3GBnU4Q.jpeg</t>
  </si>
  <si>
    <t>TERE1106030001</t>
  </si>
  <si>
    <t>TERA</t>
  </si>
  <si>
    <t>ELIASSE ABOUBACAR</t>
  </si>
  <si>
    <t>https://myiipea.com/media/etudiant/photo/WhatsApp_Image_2023-09-28_at_14.43.49.jpeg</t>
  </si>
  <si>
    <t>TESU0810230001</t>
  </si>
  <si>
    <t>TEST</t>
  </si>
  <si>
    <t>USER ECOBANK</t>
  </si>
  <si>
    <t>E-BUSINESS ET TRANSFORMATION DIGITALE</t>
  </si>
  <si>
    <t>https://myiipea.com/media/etudiant/photo/t%C3%A9l%C3%A9chargement.jfif</t>
  </si>
  <si>
    <t>TETG0111010001</t>
  </si>
  <si>
    <t>TETEHI</t>
  </si>
  <si>
    <t>GNAKOURY PATRICK ARNAUD</t>
  </si>
  <si>
    <t>https://myiipea.com/media/etudiant/photo/WhatsApp_Image_2023-09-26_at_16.47.28.jpeg</t>
  </si>
  <si>
    <t>TETC2911010001</t>
  </si>
  <si>
    <t>TETTY</t>
  </si>
  <si>
    <t>CARLO LEVIS</t>
  </si>
  <si>
    <t>https://myiipea.com/media/etudiant/photo/WhatsApp_Image_2023-10-10_at_10.23.25.jpeg</t>
  </si>
  <si>
    <t>TETA2710020001</t>
  </si>
  <si>
    <t>TETY</t>
  </si>
  <si>
    <t>ANGE MICHELLA</t>
  </si>
  <si>
    <t>https://myiipea.com/media/etudiant/photo/WhatsApp_Image_2023-09-26_at_13.04.05.jpeg</t>
  </si>
  <si>
    <t>TETG0803050001</t>
  </si>
  <si>
    <t>https://myiipea.com/media/etudiant/photo/WhatsApp_Image_2023-09-26_at_12.34.46.jpeg</t>
  </si>
  <si>
    <t>THIB1912030001</t>
  </si>
  <si>
    <t>THIAZ</t>
  </si>
  <si>
    <t>BLEU LOUAMIN GRACE ELIA</t>
  </si>
  <si>
    <t>https://myiipea.com/media/etudiant/photo/IIPEA2_mSjoYsw_resized.png</t>
  </si>
  <si>
    <t>THIN2006040001</t>
  </si>
  <si>
    <t>THIERNO</t>
  </si>
  <si>
    <t>NOUHOU DIALLO</t>
  </si>
  <si>
    <t>https://myiipea.com/media/etudiant/photo/WhatsApp_Image_2023-10-03_at_14_resized.png</t>
  </si>
  <si>
    <t>THIK1502040001</t>
  </si>
  <si>
    <t>THIO</t>
  </si>
  <si>
    <t>KATITCHO ANGE ROXANE</t>
  </si>
  <si>
    <t>https://myiipea.com/media/etudiant/photo/WhatsApp_Image_2023-10-30_at_12.31.36.jpeg</t>
  </si>
  <si>
    <t>THIN1908030001</t>
  </si>
  <si>
    <t>N'CLO LEWIESSON MARC-JAURES</t>
  </si>
  <si>
    <t>https://myiipea.com/media/etudiant/photo/JAURES.jpg</t>
  </si>
  <si>
    <t>THOC3001010001</t>
  </si>
  <si>
    <t>THONNYEN</t>
  </si>
  <si>
    <t>CHRIST MARY YVANN</t>
  </si>
  <si>
    <t>https://myiipea.com/media/etudiant/photo/WhatsApp_Image_2023-09-20_at_12.44.37.jpeg</t>
  </si>
  <si>
    <t>TIAA0803020001</t>
  </si>
  <si>
    <t>TIA</t>
  </si>
  <si>
    <t>ANA WILFRED</t>
  </si>
  <si>
    <t>https://myiipea.com/media/etudiant/photo/WhatsApp_Image_2023-10-16_at_12.38.56.jpeg</t>
  </si>
  <si>
    <t>TIAE1406040001</t>
  </si>
  <si>
    <t>ELISHA EBENEZER</t>
  </si>
  <si>
    <t>https://myiipea.com/media/etudiant/photo/WhatsApp_Image_2023-10-20_at_12.47.31.jpeg</t>
  </si>
  <si>
    <t>TIAM0206030001</t>
  </si>
  <si>
    <t>MAKADO LAETICIA</t>
  </si>
  <si>
    <t>https://myiipea.com/media/etudiant/photo/WhatsApp_Image_2023-10-05_at_13.55.56.jpeg</t>
  </si>
  <si>
    <t>TIAA1709020001</t>
  </si>
  <si>
    <t>TIACOH</t>
  </si>
  <si>
    <t>ANGE HARRIS</t>
  </si>
  <si>
    <t>https://myiipea.com/media/etudiant/photo/WhatsApp_Image_2023-10-06_at_15.31.36.jpeg</t>
  </si>
  <si>
    <t>TIAM2609060001</t>
  </si>
  <si>
    <t>TIAH</t>
  </si>
  <si>
    <t>MABEA TRESOR ELIE SHAMMAH</t>
  </si>
  <si>
    <t>https://myiipea.com/media/etudiant/photo/WhatsApp_Image_2023-10-06_at_12.46.20.jpeg</t>
  </si>
  <si>
    <t>TIAB0101030001</t>
  </si>
  <si>
    <t>TIAMA</t>
  </si>
  <si>
    <t>https://myiipea.com/media/etudiant/photo/IIPEA_yYbHRML.jpg</t>
  </si>
  <si>
    <t>TIAY2803030001</t>
  </si>
  <si>
    <t>YANN EPHREM JUNIOR</t>
  </si>
  <si>
    <t>https://myiipea.com/media/etudiant/photo/WhatsApp_Image_2023-10-13_at_17.48.03.jpeg</t>
  </si>
  <si>
    <t>TIAL1910040001</t>
  </si>
  <si>
    <t>TIAN</t>
  </si>
  <si>
    <t>LOU GONEZIE GRACE SEPHORA YASMINE</t>
  </si>
  <si>
    <t>https://myiipea.com/media/etudiant/photo/WhatsApp_Image_2023-10-13_at_12.50.17.jpeg</t>
  </si>
  <si>
    <t>TIEA1906030001</t>
  </si>
  <si>
    <t>TIE</t>
  </si>
  <si>
    <t>ANOH ELFRIED RNESTIE</t>
  </si>
  <si>
    <t>https://myiipea.com/media/etudiant/photo/WhatsApp_Image_2023-11-02_at_09.13.42.jpeg</t>
  </si>
  <si>
    <t>TIED0405020002</t>
  </si>
  <si>
    <t>TIEFOUE</t>
  </si>
  <si>
    <t>DJIBI ANGE BOREL</t>
  </si>
  <si>
    <t>https://myiipea.com/media/etudiant/photo/IMG_5355_resized.png</t>
  </si>
  <si>
    <t>TIMA0511050001</t>
  </si>
  <si>
    <t>TIEMDE</t>
  </si>
  <si>
    <t>ALASSANE</t>
  </si>
  <si>
    <t>https://myiipea.com/media/etudiant/photo/WhatsApp_Image_2023-10-03_at_2.37.50_PM.jpeg</t>
  </si>
  <si>
    <t>TIEB2305040001</t>
  </si>
  <si>
    <t>TIEMELE</t>
  </si>
  <si>
    <t>BROU ALIX TIPHANIE ESTELLE</t>
  </si>
  <si>
    <t>https://myiipea.com/media/etudiant/photo/WhatsApp_Image_2023-10-04_at_16.55.04.jpeg</t>
  </si>
  <si>
    <t>TIEK0406030001</t>
  </si>
  <si>
    <t>KOIDIO MOROKRO URIEL</t>
  </si>
  <si>
    <t>https://myiipea.com/media/etudiant/photo/WhatsApp_Image_2023-10-06_at_16.22.37.jpeg</t>
  </si>
  <si>
    <t>TIET0907030001</t>
  </si>
  <si>
    <t>TANOH FAUSTIN</t>
  </si>
  <si>
    <t>https://myiipea.com/media/etudiant/photo/WhatsApp_Image_2023-10-23_at_12.14.21.jpeg</t>
  </si>
  <si>
    <t>TIED2602040001</t>
  </si>
  <si>
    <t>TIEMOKO</t>
  </si>
  <si>
    <t>DETY ULRICH</t>
  </si>
  <si>
    <t>https://myiipea.com/media/etudiant/photo/WhatsApp_Image_2023-10-09_at_15.22.42.jpeg</t>
  </si>
  <si>
    <t>TIEM1206030001</t>
  </si>
  <si>
    <t>TIENDREBEOGO</t>
  </si>
  <si>
    <t>MOHAMED ALLAHOUDINE</t>
  </si>
  <si>
    <t>https://myiipea.com/media/etudiant/photo/8488cb65-7542-4511-bb2a-55c3b0aaeeda-removebg-preview.png</t>
  </si>
  <si>
    <t>TIEE1304050001</t>
  </si>
  <si>
    <t>TIEOULE</t>
  </si>
  <si>
    <t>ERIC PASCAL</t>
  </si>
  <si>
    <t>https://myiipea.com/media/etudiant/photo/IIPEA_aB3nfEi.jpg</t>
  </si>
  <si>
    <t>TIMA1110020001</t>
  </si>
  <si>
    <t>TIMI</t>
  </si>
  <si>
    <t>AKOUA N'GNIAMESSON MARIE CHRLOTTE LAURENE</t>
  </si>
  <si>
    <t>https://myiipea.com/media/etudiant/photo/WhatsApp_Image_2023-10-12_at_12.49.23.jpeg</t>
  </si>
  <si>
    <t>TIMA1011030001</t>
  </si>
  <si>
    <t>TIMITE</t>
  </si>
  <si>
    <t>ABDOURAMANE AZIZ</t>
  </si>
  <si>
    <t>https://myiipea.com/media/etudiant/photo/WhatsApp_Image_2023-10-04_at_15.08.35.jpeg</t>
  </si>
  <si>
    <t>TIOS2606030001</t>
  </si>
  <si>
    <t>TIONO</t>
  </si>
  <si>
    <t>SITA</t>
  </si>
  <si>
    <t>https://myiipea.com/media/etudiant/photo/t%C3%A9l%C3%A9chargement_oxUpaTS.png</t>
  </si>
  <si>
    <t>TIZI3105050001</t>
  </si>
  <si>
    <t>TIZIER</t>
  </si>
  <si>
    <t>IRIE MICKAEL CEDRIC</t>
  </si>
  <si>
    <t>https://myiipea.com/media/etudiant/photo/WhatsApp_Image_2023-09-28_at_14.31.41.jpeg</t>
  </si>
  <si>
    <t>TOA1205050001</t>
  </si>
  <si>
    <t>TO</t>
  </si>
  <si>
    <t>AUDREY EMMANUELLA</t>
  </si>
  <si>
    <t>https://myiipea.com/media/etudiant/photo/WhatsApp_Image_2023-10-09_at_16.32.07.jpeg</t>
  </si>
  <si>
    <t>TODG1011030001</t>
  </si>
  <si>
    <t>TODJEHI</t>
  </si>
  <si>
    <t>GRACE MARIE HELENE</t>
  </si>
  <si>
    <t>https://myiipea.com/media/etudiant/photo/WhatsApp_Image_2023-11-13_at_2_resized_mV7yPy7.png</t>
  </si>
  <si>
    <t>TOGT0102030001</t>
  </si>
  <si>
    <t>TOGO</t>
  </si>
  <si>
    <t>https://myiipea.com/media/etudiant/photo/WhatsApp_Image_2023-10-02_at_09.35.33.jpeg</t>
  </si>
  <si>
    <t>TOHB2912050001</t>
  </si>
  <si>
    <t>TOH</t>
  </si>
  <si>
    <t>BI BOLI MARCIAL</t>
  </si>
  <si>
    <t>https://myiipea.com/media/etudiant/photo/WhatsApp_Image_2023-10-03_at_12.32.50_PM.jpeg</t>
  </si>
  <si>
    <t>TOHB2604060001</t>
  </si>
  <si>
    <t>BI FOUA ELISCHAMA OMER</t>
  </si>
  <si>
    <t>https://myiipea.com/media/etudiant/photo/WhatsApp_Image_2023-10-06_at_4.35.57_PM.jpeg</t>
  </si>
  <si>
    <t>TOHD1610050001</t>
  </si>
  <si>
    <t>DEGOH GONLESSE PAUL BLANCHARD</t>
  </si>
  <si>
    <t>https://myiipea.com/media/etudiant/photo/WhatsApp_Image_2023-11-08_at_09.57.00.jpeg</t>
  </si>
  <si>
    <t>TOHL1602020001</t>
  </si>
  <si>
    <t>LOU DJENAN GRACE MARCELLE REGINE</t>
  </si>
  <si>
    <t>https://myiipea.com/media/etudiant/photo/WhatsApp_Image_2023-10-16_at_7.03.14_PM.jpeg</t>
  </si>
  <si>
    <t>TOHA0701070001</t>
  </si>
  <si>
    <t>TOHANHIN</t>
  </si>
  <si>
    <t>AYMARE RUTH</t>
  </si>
  <si>
    <t>https://myiipea.com/media/etudiant/photo/WhatsApp_Image_2023-10-02_at_18.14.45.jpeg</t>
  </si>
  <si>
    <t>TOHB2302050001</t>
  </si>
  <si>
    <t>TOHOUN</t>
  </si>
  <si>
    <t>BIGNON EMMANUELLA</t>
  </si>
  <si>
    <t>https://myiipea.com/media/etudiant/photo/FF07474A-7AEE-47D7-AB88-8A7F203C4577_resized.png</t>
  </si>
  <si>
    <t>TOHD1811030001</t>
  </si>
  <si>
    <t>TOHOURI</t>
  </si>
  <si>
    <t>DJATCHI GUY ISRAEL</t>
  </si>
  <si>
    <t>https://myiipea.com/media/etudiant/photo/WhatsApp_Image_2023-10-04_at_17.37.18.jpeg</t>
  </si>
  <si>
    <t>TOHY2808000001</t>
  </si>
  <si>
    <t>YANNICK ISIDORE</t>
  </si>
  <si>
    <t>https://myiipea.com/media/etudiant/photo/IIPEA_NtqCvpd.jpg</t>
  </si>
  <si>
    <t>TOKM1406030001</t>
  </si>
  <si>
    <t>TOKIN</t>
  </si>
  <si>
    <t>MAHULOLO ELISEE</t>
  </si>
  <si>
    <t>https://myiipea.com/media/etudiant/photo/WhatsApp_Image_2023-10-04_at_12.58.25.jpeg</t>
  </si>
  <si>
    <t>TOKA2305010001</t>
  </si>
  <si>
    <t>TOKPA</t>
  </si>
  <si>
    <t>AFFOUE ANGE-LAETICIA</t>
  </si>
  <si>
    <t>https://myiipea.com/media/etudiant/photo/WhatsApp_Image_2023-11-02_at_10.47.49_AM.jpeg</t>
  </si>
  <si>
    <t>TOKP0211010001</t>
  </si>
  <si>
    <t>PATRICE</t>
  </si>
  <si>
    <t>https://myiipea.com/media/etudiant/photo/WhatsApp_Image_2023-10-05_at_09.02.16.jpeg</t>
  </si>
  <si>
    <t>TOLK0811950001</t>
  </si>
  <si>
    <t>TOLLA</t>
  </si>
  <si>
    <t>KADJOBLA PRISCILLE DORIANEA</t>
  </si>
  <si>
    <t>https://myiipea.com/media/etudiant/photo/WhatsApp_Image_2023-11-08_at_1.40.50_PM.jpeg</t>
  </si>
  <si>
    <t>TOUR1905040001</t>
  </si>
  <si>
    <t>TONDE</t>
  </si>
  <si>
    <t>ROKIYA</t>
  </si>
  <si>
    <t>https://myiipea.com/media/etudiant/photo/WhatsApp_Image_2023-11-03_at_4.34.45_PM.jpeg</t>
  </si>
  <si>
    <t>TONS1408030001</t>
  </si>
  <si>
    <t>TONOUEWA</t>
  </si>
  <si>
    <t>SOUROU HYPOLITE</t>
  </si>
  <si>
    <t>https://myiipea.com/media/etudiant/photo/WhatsApp_Image_2023-11-20_at_11_resized_yq2AqE7.png</t>
  </si>
  <si>
    <t>TOPM0106000001</t>
  </si>
  <si>
    <t>TOPAN</t>
  </si>
  <si>
    <t>https://myiipea.com/media/etudiant/photo/WhatsApp_Image_2023-10-06_at_15.56.38.jpeg</t>
  </si>
  <si>
    <t>TOTA2704010001</t>
  </si>
  <si>
    <t>TOTI</t>
  </si>
  <si>
    <t>ARSENE</t>
  </si>
  <si>
    <t>https://myiipea.com/media/etudiant/photo/WhatsApp_Image_2023-10-31_at_16.22.26.jpeg</t>
  </si>
  <si>
    <t>TOUG0106010001</t>
  </si>
  <si>
    <t>TOUAKEUSSEU</t>
  </si>
  <si>
    <t>GONKANOU ULRICH</t>
  </si>
  <si>
    <t>https://myiipea.com/media/etudiant/photo/WhatsApp_Image_2023-10-17_at_3.57.15_PM.jpeg</t>
  </si>
  <si>
    <t>TOUL0208990001</t>
  </si>
  <si>
    <t>TOUALY</t>
  </si>
  <si>
    <t>LOIS OLIVIA</t>
  </si>
  <si>
    <t>https://myiipea.com/media/etudiant/photo/WhatsApp_Image_2023-11-30_at_5.02.22_PM.jpeg</t>
  </si>
  <si>
    <t>TOUG1607020001</t>
  </si>
  <si>
    <t>TOUAN</t>
  </si>
  <si>
    <t>GNONSIEKA ANGE RODRIGUE</t>
  </si>
  <si>
    <t>https://myiipea.com/media/etudiant/photo/WhatsApp_Image_2023-10-27_at_11.44.20.jpeg</t>
  </si>
  <si>
    <t>TOUB2106030001</t>
  </si>
  <si>
    <t>TOUAO</t>
  </si>
  <si>
    <t>BRA DAVID JONATHAN</t>
  </si>
  <si>
    <t>https://myiipea.com/media/etudiant/photo/WhatsApp_Image_2023-10-24_at_4.56.23_PM.jpeg</t>
  </si>
  <si>
    <t>TOUF2105040001</t>
  </si>
  <si>
    <t>TOUGMA</t>
  </si>
  <si>
    <t>FRANCK</t>
  </si>
  <si>
    <t>https://myiipea.com/media/etudiant/photo/WhatsApp_Image_2023-10-03_at_11_resized.png</t>
  </si>
  <si>
    <t>TOUM1411040002</t>
  </si>
  <si>
    <t>TOUHO</t>
  </si>
  <si>
    <t>MARIE ANGE DE LYMA</t>
  </si>
  <si>
    <t>https://myiipea.com/media/etudiant/photo/WhatsApp_Image_2023-10-14_at_11.02.35_hloog7f.jpeg</t>
  </si>
  <si>
    <t>TOUD3004040001</t>
  </si>
  <si>
    <t>TOUNKARA</t>
  </si>
  <si>
    <t>DAOUDA FABOU</t>
  </si>
  <si>
    <t>https://myiipea.com/media/etudiant/photo/WhatsApp_Image_2023-11-27_at_2.21.03_PM.jpeg</t>
  </si>
  <si>
    <t>TOUF2806010001</t>
  </si>
  <si>
    <t>https://myiipea.com/media/etudiant/photo/WhatsApp_Image_2023-10-02_at_17.13.58.jpeg</t>
  </si>
  <si>
    <t>TOUA2010010001</t>
  </si>
  <si>
    <t>TOURE</t>
  </si>
  <si>
    <t>https://myiipea.com/media/etudiant/photo/WhatsApp_Image_2023-10-26_at_09.48.58.jpeg</t>
  </si>
  <si>
    <t>TOUA1604040001</t>
  </si>
  <si>
    <t>https://myiipea.com/media/etudiant/photo/WhatsApp_Image_2023-10-16_at_18.03.29.jpeg</t>
  </si>
  <si>
    <t>TOUA0804050001</t>
  </si>
  <si>
    <t>ADJA MAIMOUNA</t>
  </si>
  <si>
    <t>https://myiipea.com/media/etudiant/photo/WhatsApp_Image_2023-10-06_at_12.27.07.jpeg</t>
  </si>
  <si>
    <t>TOUA0805040002</t>
  </si>
  <si>
    <t>AHOU MANSENI DESIREE</t>
  </si>
  <si>
    <t>https://myiipea.com/media/etudiant/photo/WhatsApp_Image_2023-10-26_at_15.15.23.jpeg</t>
  </si>
  <si>
    <t>TOUA0805040001</t>
  </si>
  <si>
    <t>https://myiipea.com/media/etudiant/photo/WhatsApp_Image_2023-10-18_at_16.13.41.jpeg</t>
  </si>
  <si>
    <t>TOUA2111040001</t>
  </si>
  <si>
    <t>https://myiipea.com/media/etudiant/photo/WhatsApp_Image_2023-10-02_at_14.23.38.jpeg</t>
  </si>
  <si>
    <t>TOUA1010020001</t>
  </si>
  <si>
    <t>ALIMAN MARTY</t>
  </si>
  <si>
    <t>https://myiipea.com/media/etudiant/photo/WhatsApp_Image_2023-10-10_at_13.12.41.jpeg</t>
  </si>
  <si>
    <t>TOUA2703030001</t>
  </si>
  <si>
    <t>https://myiipea.com/media/etudiant/photo/WhatsApp_Image_2023-10-06_at_12.30.35.jpeg</t>
  </si>
  <si>
    <t>TOUA1706050002</t>
  </si>
  <si>
    <t>AMINA YASMINE MORY</t>
  </si>
  <si>
    <t>https://myiipea.com/media/etudiant/photo/WhatsApp_Image_2023-10-03_at_08.38.03.jpeg</t>
  </si>
  <si>
    <t>TOUA1602010001</t>
  </si>
  <si>
    <t>https://myiipea.com/media/etudiant/photo/WhatsApp_Image_2023-10-25_at_12.09.14.jpeg</t>
  </si>
  <si>
    <t>TOUA1010020002</t>
  </si>
  <si>
    <t>ASSIA HABIB MARIE-MELAINE</t>
  </si>
  <si>
    <t>https://myiipea.com/media/etudiant/photo/WhatsApp_Image_2023-10-10_at_14.32.39.jpeg</t>
  </si>
  <si>
    <t>TOUA1408990001</t>
  </si>
  <si>
    <t>https://myiipea.com/media/etudiant/photo/WhatsApp_Image_2023-09-18_at_15.10.33.jpeg</t>
  </si>
  <si>
    <t>TOUF2804040001</t>
  </si>
  <si>
    <t>FATIMA VALERIE</t>
  </si>
  <si>
    <t>https://myiipea.com/media/etudiant/photo/WhatsApp_Image_2023-10-31_at_10.53.40.jpeg</t>
  </si>
  <si>
    <t>TOUF1406990001</t>
  </si>
  <si>
    <t>https://myiipea.com/media/etudiant/photo/WhatsApp_Image_2023-11-27_at_11.37.16_AM.jpeg</t>
  </si>
  <si>
    <t>TOUF1601040002</t>
  </si>
  <si>
    <t>FLORA KENZA</t>
  </si>
  <si>
    <t>https://myiipea.com/media/etudiant/photo/WhatsApp_Image_2023-10-03_at_1.06.47_PM.jpeg</t>
  </si>
  <si>
    <t>TOUG0408030001</t>
  </si>
  <si>
    <t>GNINCHO HENRIETTE ABIGAELLE</t>
  </si>
  <si>
    <t>https://myiipea.com/media/etudiant/photo/WhatsApp_Image_2023-10-19_at_16.12.10.jpeg</t>
  </si>
  <si>
    <t>TOUG0710020001</t>
  </si>
  <si>
    <t>GNINGNINRI ELVIS</t>
  </si>
  <si>
    <t>https://myiipea.com/media/etudiant/photo/WhatsApp_Image_2023-10-17_at_12.59.30.jpeg</t>
  </si>
  <si>
    <t>TOUK1310030001</t>
  </si>
  <si>
    <t>KADIDJA NOURAH</t>
  </si>
  <si>
    <t>https://myiipea.com/media/etudiant/photo/WhatsApp_Image_2023-11-06_at_13.04.50.jpeg</t>
  </si>
  <si>
    <t>TOUK2308040001</t>
  </si>
  <si>
    <t>KAYAHONAMAN YANN MARIE-ROSE</t>
  </si>
  <si>
    <t>https://myiipea.com/media/etudiant/photo/WhatsApp_Image_2023-10-13_at_12.55.30.jpeg</t>
  </si>
  <si>
    <t>TOUK0405030001</t>
  </si>
  <si>
    <t>KINANTIBI MICHEL WILLIAMS</t>
  </si>
  <si>
    <t>https://myiipea.com/media/etudiant/photo/WhatsApp_Image_2023-10-12_at_12.19.25.jpeg</t>
  </si>
  <si>
    <t>TOUK2601040001</t>
  </si>
  <si>
    <t>KLINTCHO RUTH AKISSI</t>
  </si>
  <si>
    <t>https://myiipea.com/media/etudiant/photo/WhatsApp_Image_2023-10-10_at_11_resized_FmdAVxI.png</t>
  </si>
  <si>
    <t>TOUM0607000001</t>
  </si>
  <si>
    <t>MALIKA MADJIKAN</t>
  </si>
  <si>
    <t>https://myiipea.com/media/etudiant/photo/WhatsApp_Image_2023-10-10_at_16.51.36.jpeg</t>
  </si>
  <si>
    <t>TOUM2412030001</t>
  </si>
  <si>
    <t>MARIAM YASMINE</t>
  </si>
  <si>
    <t>https://myiipea.com/media/etudiant/photo/WhatsApp_Image_2023-10-26_at_13.14.22.jpeg</t>
  </si>
  <si>
    <t>TOUM1503040001</t>
  </si>
  <si>
    <t>MARIAMA ZAHRA</t>
  </si>
  <si>
    <t>https://myiipea.com/media/etudiant/photo/WhatsApp_Image_2023-10-31_at_15.31.11.jpeg</t>
  </si>
  <si>
    <t>TOUN0104040001</t>
  </si>
  <si>
    <t>NASSAFOURA ZAYNAB</t>
  </si>
  <si>
    <t>https://myiipea.com/media/etudiant/photo/WhatsApp_Image_2023-09-25_%C3%A0_12.00.39.jpg</t>
  </si>
  <si>
    <t>TOUN0610200001</t>
  </si>
  <si>
    <t>NON MAMADOU</t>
  </si>
  <si>
    <t>https://myiipea.com/media/etudiant/photo/WhatsApp_Image_2023-10-06_at_1.57.51_PM.jpeg</t>
  </si>
  <si>
    <t>TOUP2012030001</t>
  </si>
  <si>
    <t>PEGA GRACE MARIE</t>
  </si>
  <si>
    <t>https://myiipea.com/media/etudiant/photo/WhatsApp_Image_2023-11-06_at_16.48.40.jpeg</t>
  </si>
  <si>
    <t>TOUS3107030001</t>
  </si>
  <si>
    <t>SANGA BAKARY AL-KABIR</t>
  </si>
  <si>
    <t>https://myiipea.com/media/etudiant/photo/WhatsApp_Image_2023-10-11_at_15.39.18.jpeg</t>
  </si>
  <si>
    <t>TOUS0702980001</t>
  </si>
  <si>
    <t>SOGONA FATI SANDRINE</t>
  </si>
  <si>
    <t>https://myiipea.com/media/etudiant/photo/WhatsApp_Image_2023-10-30_at_09.20.45.jpeg</t>
  </si>
  <si>
    <t>TOUS2406020001</t>
  </si>
  <si>
    <t>https://myiipea.com/media/etudiant/photo/WhatsApp_Image_2023-12-01_at_4_resized_sB8yalR.png</t>
  </si>
  <si>
    <t>TOUY1003060001</t>
  </si>
  <si>
    <t>YA MARIE JOSEE PRISCA</t>
  </si>
  <si>
    <t>https://myiipea.com/media/etudiant/photo/WhatsApp_Image_2023-10-03_at_11.14.56_AM_bsJXzXL.jpeg</t>
  </si>
  <si>
    <t>TOUY2612020001</t>
  </si>
  <si>
    <t>YAYA JOEL CHRIS ARMEL</t>
  </si>
  <si>
    <t>https://myiipea.com/media/etudiant/photo/WhatsApp_Image_2023-10-12_at_15.53.26.jpeg</t>
  </si>
  <si>
    <t>TOUY1102030001</t>
  </si>
  <si>
    <t>YELLI ANGE LESLIE</t>
  </si>
  <si>
    <t>https://myiipea.com/media/etudiant/photo/WhatsApp_Image_2023-10-19_at_18.21.17.jpeg</t>
  </si>
  <si>
    <t>TOUY0912030001</t>
  </si>
  <si>
    <t>YELLY TARA MADOUSSOU</t>
  </si>
  <si>
    <t>https://myiipea.com/media/etudiant/photo/YELLI_resized.png</t>
  </si>
  <si>
    <t>TOUZ1309050001</t>
  </si>
  <si>
    <t>ZANGA MOHAMED</t>
  </si>
  <si>
    <t>https://myiipea.com/media/etudiant/photo/WhatsApp_Image_2023-10-20_at_12.48.56_PM.jpeg</t>
  </si>
  <si>
    <t>TOUZ2511010001</t>
  </si>
  <si>
    <t>ZOUMANA SIANI</t>
  </si>
  <si>
    <t>https://myiipea.com/media/etudiant/photo/WhatsApp_Image_2023-10-16_at_11.03.42.jpeg</t>
  </si>
  <si>
    <t>TOUA2511030001</t>
  </si>
  <si>
    <t>TOUROUKOU</t>
  </si>
  <si>
    <t>AHOEFAVI FRANCOISE</t>
  </si>
  <si>
    <t>https://myiipea.com/media/etudiant/photo/WhatsApp_Image_2023-10-04_at_13_resized.png</t>
  </si>
  <si>
    <t>TRAB3012990001</t>
  </si>
  <si>
    <t>TRA</t>
  </si>
  <si>
    <t>BI BOH JEAN EUDES</t>
  </si>
  <si>
    <t>https://myiipea.com/media/etudiant/photo/WhatsApp_Image_2023-10-14_at_08.50.55.jpeg</t>
  </si>
  <si>
    <t>TRAB1211030001</t>
  </si>
  <si>
    <t>BI DOH AXEL MARC</t>
  </si>
  <si>
    <t>https://myiipea.com/media/etudiant/photo/WhatsApp_Image_2023-10-23_at_4.16.32_PM.jpeg</t>
  </si>
  <si>
    <t>TRAB2505040001</t>
  </si>
  <si>
    <t>BI FOUA YOHANNE RODELEC</t>
  </si>
  <si>
    <t>https://myiipea.com/media/etudiant/photo/t%C3%A9l%C3%A9chargement_T2SYNMO.png</t>
  </si>
  <si>
    <t>TRAB1601020001</t>
  </si>
  <si>
    <t>BI SOHN TONY JUNIOR</t>
  </si>
  <si>
    <t>https://myiipea.com/media/etudiant/photo/WhatsApp_Image_2023-11-13_at_11.13.31.jpeg</t>
  </si>
  <si>
    <t>TRAB1102010001</t>
  </si>
  <si>
    <t>BI STANICE ENOC</t>
  </si>
  <si>
    <t>https://myiipea.com/media/etudiant/photo/WhatsApp_Image_2023-09-21_at_15.07.51.jpeg</t>
  </si>
  <si>
    <t>TRAB0702990001</t>
  </si>
  <si>
    <t>BI TRA LANDRY</t>
  </si>
  <si>
    <t>https://myiipea.com/media/etudiant/photo/WhatsApp_Image_2023-11-24_at_11.12.37.jpeg</t>
  </si>
  <si>
    <t>TRAL1511000001</t>
  </si>
  <si>
    <t>LOU BOLINAN FLORA</t>
  </si>
  <si>
    <t>https://myiipea.com/media/etudiant/photo/WhatsApp_Image_2023-11-07_at_4.29.45_PM.jpeg</t>
  </si>
  <si>
    <t>TRAL3012020001</t>
  </si>
  <si>
    <t>LOU FOUA ESTHER</t>
  </si>
  <si>
    <t>https://myiipea.com/media/etudiant/photo/WhatsApp_Image_2023-11-07_at_13.40.49.jpeg</t>
  </si>
  <si>
    <t>TRAC1905020001</t>
  </si>
  <si>
    <t>LOU GOULE MARIE AUDE ANDREA</t>
  </si>
  <si>
    <t>https://myiipea.com/media/etudiant/photo/WhatsApp_Image_2023-09-26_%C3%A0_13.23.59.jpg</t>
  </si>
  <si>
    <t>TRAL1711060001</t>
  </si>
  <si>
    <t>LOU GOULI EDITH</t>
  </si>
  <si>
    <t>https://myiipea.com/media/etudiant/photo/WhatsApp_Image_2023-11-24_at_15.53.32.jpeg</t>
  </si>
  <si>
    <t>TRAL1002040001</t>
  </si>
  <si>
    <t>LOU IRIE RUTH ESTHER</t>
  </si>
  <si>
    <t>https://myiipea.com/media/etudiant/photo/WhatsApp_Image_2023-10-16_at_16.15.53.jpeg</t>
  </si>
  <si>
    <t>TRAL1811950001</t>
  </si>
  <si>
    <t>LOU KOMIN SOLANGE</t>
  </si>
  <si>
    <t>https://myiipea.com/media/etudiant/photo/WhatsApp_Image_2023-12-04_at_10_resized_0IEK9Fm.png</t>
  </si>
  <si>
    <t>TRAL2207030001</t>
  </si>
  <si>
    <t>LOU KOUSSOH CARMEN PERPETUE</t>
  </si>
  <si>
    <t>https://myiipea.com/media/etudiant/photo/WhatsApp_Image_2023-10-04_at_14.55.35.jpeg</t>
  </si>
  <si>
    <t>TRAS2202040001</t>
  </si>
  <si>
    <t>SEHI LOU TIYE ISABELLE DEBORA</t>
  </si>
  <si>
    <t>https://myiipea.com/media/etudiant/photo/WhatsApp_Image_2023-10-19_at_13.49.17.jpeg</t>
  </si>
  <si>
    <t>TRAA2007020001</t>
  </si>
  <si>
    <t>TRAORE</t>
  </si>
  <si>
    <t>https://myiipea.com/media/etudiant/photo/abdoulaye.jpg</t>
  </si>
  <si>
    <t>TRAA1909060001</t>
  </si>
  <si>
    <t>ADJA FATOUMATA AUDE</t>
  </si>
  <si>
    <t>https://myiipea.com/media/etudiant/photo/WhatsApp_Image_2023-10-05_at_10.27.58.jpeg</t>
  </si>
  <si>
    <t>TRAA2803020001</t>
  </si>
  <si>
    <t>https://myiipea.com/media/etudiant/photo/WhatsApp_Image_2023-10-21_at_12.18.28_1.jpeg</t>
  </si>
  <si>
    <t>TRAA0704030001</t>
  </si>
  <si>
    <t>https://myiipea.com/media/etudiant/photo/WhatsApp_Image_2023-10-19_at_3.48.36_PM.jpeg</t>
  </si>
  <si>
    <t>TRAA0602040001</t>
  </si>
  <si>
    <t>https://myiipea.com/media/etudiant/photo/WhatsApp_Image_2023-10-10_at_4.07.41_PM.jpeg</t>
  </si>
  <si>
    <t>TRAA3011010001</t>
  </si>
  <si>
    <t>https://myiipea.com/media/etudiant/photo/WhatsApp_Image_2023-09-25_%C3%A0_16.22.16.jpg</t>
  </si>
  <si>
    <t>TRAA1902050001</t>
  </si>
  <si>
    <t>ALKAR MOHAMED</t>
  </si>
  <si>
    <t>https://myiipea.com/media/etudiant/photo/WhatsApp_Image_2023-10-06_at_12.43.40.jpeg</t>
  </si>
  <si>
    <t>TRAA0202030001</t>
  </si>
  <si>
    <t>AMADOU MOUHAMED</t>
  </si>
  <si>
    <t>https://myiipea.com/media/etudiant/photo/WhatsApp_Image_2023-10-16_at_18.32.39.jpeg</t>
  </si>
  <si>
    <t>TRAA2703030001</t>
  </si>
  <si>
    <t>https://myiipea.com/media/etudiant/photo/WhatsApp_Image_2023-09-22_%C3%A0_10.43.15.jpg</t>
  </si>
  <si>
    <t>TRAA2005040001</t>
  </si>
  <si>
    <t>https://myiipea.com/media/etudiant/photo/WhatsApp_Image_2023-11-22_at_15.38.43.jpeg</t>
  </si>
  <si>
    <t>TRAA2310020001</t>
  </si>
  <si>
    <t>https://myiipea.com/media/etudiant/photo/WhatsApp_Image_2023-10-09_at_4.37.55_PM.jpeg</t>
  </si>
  <si>
    <t>TRAB1209040001</t>
  </si>
  <si>
    <t>https://myiipea.com/media/etudiant/photo/WhatsApp_Image_2023-10-26_at_12.21.31.jpeg</t>
  </si>
  <si>
    <t>TRAB3001030001</t>
  </si>
  <si>
    <t>https://myiipea.com/media/etudiant/photo/WhatsApp_Image_2023-10-10_at_12.50.33.jpeg</t>
  </si>
  <si>
    <t>TRAB1708990001</t>
  </si>
  <si>
    <t>https://myiipea.com/media/etudiant/photo/WhatsApp_Image_2023-11-07_at_13.42.30.jpeg</t>
  </si>
  <si>
    <t>TRAC1205020001</t>
  </si>
  <si>
    <t>CHEICK IBRAHIM KADER</t>
  </si>
  <si>
    <t>https://myiipea.com/media/etudiant/photo/WhatsApp_Image_2023-10-24_at_4.23.07_PM.jpeg</t>
  </si>
  <si>
    <t>TRAE2405050001</t>
  </si>
  <si>
    <t>EUNICE JENNIFER CLAUDIA</t>
  </si>
  <si>
    <t>https://myiipea.com/media/etudiant/photo/WhatsApp_Image_2023-10-06_at_10.33.51.jpeg</t>
  </si>
  <si>
    <t>TRAF0501060001</t>
  </si>
  <si>
    <t>FALLAIT MAMADOU SCHADRAC</t>
  </si>
  <si>
    <t>https://myiipea.com/media/etudiant/photo/WhatsApp_Image_2023-10-03_at_17.51.46.jpeg</t>
  </si>
  <si>
    <t>TRAF2003030001</t>
  </si>
  <si>
    <t>FATIM CHARLOTTE</t>
  </si>
  <si>
    <t>https://myiipea.com/media/etudiant/photo/WhatsApp_Image_2023-11-21_at_12.14.47.jpeg</t>
  </si>
  <si>
    <t>TRAF2103050001</t>
  </si>
  <si>
    <t>https://myiipea.com/media/etudiant/photo/WhatsApp_Image_2023-10-24_at_12.36.54.jpeg</t>
  </si>
  <si>
    <t>TRAF0711020001</t>
  </si>
  <si>
    <t>https://myiipea.com/media/etudiant/photo/WhatsApp_Image_2023-10-17_at_1.01.04_PM_T8jwinA.jpeg</t>
  </si>
  <si>
    <t>TRAF0601010001</t>
  </si>
  <si>
    <t>FATOUMATA CHANTAL</t>
  </si>
  <si>
    <t>https://myiipea.com/media/etudiant/photo/WhatsApp_Image_2023-11-10_at_13.28.11.jpeg</t>
  </si>
  <si>
    <t>TRAH2108010001</t>
  </si>
  <si>
    <t>https://myiipea.com/media/etudiant/photo/WhatsApp_Image_2023-11-03_at_12.05.09.jpeg</t>
  </si>
  <si>
    <t>TRAK2606010001</t>
  </si>
  <si>
    <t>https://myiipea.com/media/etudiant/photo/WhatsApp_Image_2023-10-12_at_14.06.07.jpeg</t>
  </si>
  <si>
    <t>TRAK1902060001</t>
  </si>
  <si>
    <t>https://myiipea.com/media/etudiant/photo/WhatsApp_Image_2023-09-22_at_14.45.06.jpeg</t>
  </si>
  <si>
    <t>TRAL2002020001</t>
  </si>
  <si>
    <t>https://myiipea.com/media/etudiant/photo/WhatsApp_Image_2023-10-06_at_13.13.41.jpeg</t>
  </si>
  <si>
    <t>TRAM1107030001</t>
  </si>
  <si>
    <t>MAIMOUNA ADJARA</t>
  </si>
  <si>
    <t>https://myiipea.com/media/etudiant/photo/WhatsApp_Image_2023-12-04_at_10_resized_eom80sn.png</t>
  </si>
  <si>
    <t>TRAM2708020001</t>
  </si>
  <si>
    <t>MAITA</t>
  </si>
  <si>
    <t>https://myiipea.com/media/etudiant/photo/WhatsApp_Image_2023-11-17_at_11.58.24_AM.jpeg</t>
  </si>
  <si>
    <t>TRAM0812040001</t>
  </si>
  <si>
    <t>MARIA</t>
  </si>
  <si>
    <t>https://myiipea.com/media/etudiant/photo/WhatsApp_Image_2023-10-04_at_12.40.00.jpeg</t>
  </si>
  <si>
    <t>TRAM0701030001</t>
  </si>
  <si>
    <t>https://myiipea.com/media/etudiant/photo/WhatsApp_Image_2023-10-07_at_12.19.17.jpeg</t>
  </si>
  <si>
    <t>TRAM1310030001</t>
  </si>
  <si>
    <t>MARIAM ZAHARA</t>
  </si>
  <si>
    <t>https://myiipea.com/media/etudiant/photo/WhatsApp_Image_2023-10-02_at_5.55.26_PM.jpeg</t>
  </si>
  <si>
    <t>TRAM3105030001</t>
  </si>
  <si>
    <t>MEDOUA JUNIOR</t>
  </si>
  <si>
    <t>https://myiipea.com/media/etudiant/photo/WhatsApp_Image_2023-10-11_at_15.04.06.jpeg</t>
  </si>
  <si>
    <t>TRAM2705990001</t>
  </si>
  <si>
    <t>MOCTAR</t>
  </si>
  <si>
    <t>https://myiipea.com/media/etudiant/photo/WhatsApp_Image_2023-10-04_at_14.38.31.jpeg</t>
  </si>
  <si>
    <t>TRAM1702000001</t>
  </si>
  <si>
    <t>https://myiipea.com/media/etudiant/photo/WhatsApp_Image_2023-11-23_at_5.21.51_PM.jpeg</t>
  </si>
  <si>
    <t>TRAO1712040001</t>
  </si>
  <si>
    <t>https://myiipea.com/media/etudiant/photo/WhatsApp_Image_2023-10-04_at_10.34.30.jpeg</t>
  </si>
  <si>
    <t>TRAS2905050001</t>
  </si>
  <si>
    <t>SAFIATOU LORIE VINCIANE</t>
  </si>
  <si>
    <t>https://myiipea.com/media/etudiant/photo/WhatsApp_Image_2023-09-29_at_15_resized_NC7tuhc.png</t>
  </si>
  <si>
    <t>TRAS2503040001</t>
  </si>
  <si>
    <t>https://myiipea.com/media/etudiant/photo/WhatsApp_Image_2023-09-26_at_09.34.53.jpeg</t>
  </si>
  <si>
    <t>TRAS2012020001</t>
  </si>
  <si>
    <t>SALIFOU</t>
  </si>
  <si>
    <t>https://myiipea.com/media/etudiant/photo/WhatsApp_Image_2023-10-05_at_13.25.37.jpeg</t>
  </si>
  <si>
    <t>TRAS1303000001</t>
  </si>
  <si>
    <t>https://myiipea.com/media/etudiant/photo/WhatsApp_Image_2023-10-30_at_14.08.33.jpeg</t>
  </si>
  <si>
    <t>TRAS1111010001</t>
  </si>
  <si>
    <t>SIDIKI ABOU WALKER</t>
  </si>
  <si>
    <t>https://myiipea.com/media/etudiant/photo/WhatsApp_Image_2023-09-29_at_13.22.41.jpeg</t>
  </si>
  <si>
    <t>TRAS1006050001</t>
  </si>
  <si>
    <t>SORY FRANCK</t>
  </si>
  <si>
    <t>https://myiipea.com/media/etudiant/photo/WhatsApp_Image_2023-10-03_at_6.03.16_PM.jpeg</t>
  </si>
  <si>
    <t>TRAS0907990001</t>
  </si>
  <si>
    <t>https://myiipea.com/media/etudiant/photo/WhatsApp_Image_2023-10-05_at_3.43.44_PM.jpeg</t>
  </si>
  <si>
    <t>TRAY1009050001</t>
  </si>
  <si>
    <t>https://myiipea.com/media/etudiant/photo/WhatsApp_Image_2023-10-13_at_16.14.09.jpeg</t>
  </si>
  <si>
    <t>TRAY0504050001</t>
  </si>
  <si>
    <t>YELLI MARIAM</t>
  </si>
  <si>
    <t>https://myiipea.com/media/etudiant/photo/WhatsApp_Image_2023-10-30_at_12.32.03.jpeg</t>
  </si>
  <si>
    <t>TRAY1103040001</t>
  </si>
  <si>
    <t>YENISSONGUI</t>
  </si>
  <si>
    <t>https://myiipea.com/media/etudiant/photo/WhatsApp_Image_2023-10-12_at_12.06.29_PM.jpeg</t>
  </si>
  <si>
    <t>TRAY2009030001</t>
  </si>
  <si>
    <t>YSSOUF</t>
  </si>
  <si>
    <t>https://myiipea.com/media/etudiant/photo/WhatsApp_Image_2023-10-27_at_11.32.17.jpeg</t>
  </si>
  <si>
    <t>TRAZ0205020001</t>
  </si>
  <si>
    <t>https://myiipea.com/media/etudiant/photo/WhatsApp_Image_2023-10-18_at_15.17.36.jpeg</t>
  </si>
  <si>
    <t>TRAS2405020001</t>
  </si>
  <si>
    <t>TRAOURE</t>
  </si>
  <si>
    <t>SANATA SANTA</t>
  </si>
  <si>
    <t>https://myiipea.com/media/etudiant/photo/WhatsApp_Image_2023-10-23_at_3.00.57_PM.jpeg</t>
  </si>
  <si>
    <t>TRAB0807020001</t>
  </si>
  <si>
    <t>TRAYE</t>
  </si>
  <si>
    <t>BI TRAZIE YVES</t>
  </si>
  <si>
    <t>https://myiipea.com/media/etudiant/photo/WhatsApp_Image_2023-10-02_at_17.01.41.jpeg</t>
  </si>
  <si>
    <t>TRAL0205010001</t>
  </si>
  <si>
    <t>TRAZIE</t>
  </si>
  <si>
    <t>LOU MAEVA MARIE PHILIPPE BINHUE</t>
  </si>
  <si>
    <t>https://myiipea.com/media/etudiant/photo/WhatsApp_Image_2023-10-24_at_5.23.55_PM.jpeg</t>
  </si>
  <si>
    <t>TRAL0402010001</t>
  </si>
  <si>
    <t>LOU MARTHE SARAH D'ASSISES</t>
  </si>
  <si>
    <t>https://myiipea.com/media/etudiant/photo/WhatsApp_Image_2023-10-09_at_18.27.13.jpeg</t>
  </si>
  <si>
    <t>TROG1007030001</t>
  </si>
  <si>
    <t>TRO</t>
  </si>
  <si>
    <t>GUEU CHRIST ARMAND</t>
  </si>
  <si>
    <t>https://myiipea.com/media/etudiant/photo/WhatsApp_Image_2023-09-28_at_17.10.06.jpeg</t>
  </si>
  <si>
    <t>TROK0805000001</t>
  </si>
  <si>
    <t>TROUPA</t>
  </si>
  <si>
    <t>KPAGBI  DIMITRI JUNIOR</t>
  </si>
  <si>
    <t>https://myiipea.com/media/etudiant/photo/WhatsApp_Image_2023-09-29_at_14.10.21.jpeg</t>
  </si>
  <si>
    <t>VAKZ1411980001</t>
  </si>
  <si>
    <t>VAKA</t>
  </si>
  <si>
    <t>ZOGOUDA SANDRINE</t>
  </si>
  <si>
    <t>https://myiipea.com/media/etudiant/photo/WhatsApp_Image_2023-10-23_at_15.22.59_7_aXNwftf.jpeg</t>
  </si>
  <si>
    <t>VALL3010010001</t>
  </si>
  <si>
    <t>VALLE</t>
  </si>
  <si>
    <t>LAUBOUET THEOPHILE</t>
  </si>
  <si>
    <t>https://myiipea.com/media/etudiant/photo/WhatsApp_Image_2023-09-21_at_10.30.13.jpeg</t>
  </si>
  <si>
    <t>VAMZ2710000001</t>
  </si>
  <si>
    <t>VAMET</t>
  </si>
  <si>
    <t>ZIMTA AIMEE DEBORA</t>
  </si>
  <si>
    <t>https://myiipea.com/media/etudiant/photo/WhatsApp_Image_2023-10-19_at_12.19.26_PM.jpeg</t>
  </si>
  <si>
    <t>VANR2009030001</t>
  </si>
  <si>
    <t>VANGAH</t>
  </si>
  <si>
    <t>ROCH AKABLA ANGELA</t>
  </si>
  <si>
    <t>https://myiipea.com/media/etudiant/photo/WhatsApp_Image_2023-10-20_at_15.05.35.jpeg</t>
  </si>
  <si>
    <t>VANB0610030001</t>
  </si>
  <si>
    <t>VANIE</t>
  </si>
  <si>
    <t>BI DOUA LANDRY CYRILLE</t>
  </si>
  <si>
    <t>https://myiipea.com/media/etudiant/photo/WhatsApp_Image_2023-10-11_at_12.01.19_PM.jpeg</t>
  </si>
  <si>
    <t>VANG2304030001</t>
  </si>
  <si>
    <t>GRACE TRA ANGE EDWIGE</t>
  </si>
  <si>
    <t>https://myiipea.com/media/etudiant/photo/WhatsApp_Image_2023-10-04_at_15_resized.png</t>
  </si>
  <si>
    <t>VANL0111030001</t>
  </si>
  <si>
    <t>LOU TINKENIN DAVILLA LAURAINE</t>
  </si>
  <si>
    <t>https://myiipea.com/media/etudiant/photo/WhatsApp_Image_2023-10-16_at_12.23.40.jpeg</t>
  </si>
  <si>
    <t>VES1710020001</t>
  </si>
  <si>
    <t>VE</t>
  </si>
  <si>
    <t>SERGE ALAIN SOSTHENE</t>
  </si>
  <si>
    <t>https://myiipea.com/media/etudiant/photo/WhatsApp_Image_2023-09-19_at_11.57.29.jpeg</t>
  </si>
  <si>
    <t>VEHS1305020001</t>
  </si>
  <si>
    <t>VEH</t>
  </si>
  <si>
    <t>SYLVA WILIAM</t>
  </si>
  <si>
    <t>https://myiipea.com/media/etudiant/photo/IMG-20231204-WA0003_resized.png</t>
  </si>
  <si>
    <t>VIP1605000001</t>
  </si>
  <si>
    <t>VI</t>
  </si>
  <si>
    <t>PATRICK MONDESIR</t>
  </si>
  <si>
    <t>https://myiipea.com/media/etudiant/photo/unnamed-2_7GOeT8z.png</t>
  </si>
  <si>
    <t>VONA2510040001</t>
  </si>
  <si>
    <t>VONAN</t>
  </si>
  <si>
    <t>ADJOBA EUNICE CHARITE</t>
  </si>
  <si>
    <t>https://myiipea.com/media/etudiant/photo/WhatsApp_Image_2023-10-09_at_11.40.14.jpeg</t>
  </si>
  <si>
    <t>VONN1409010001</t>
  </si>
  <si>
    <t>NANAN HELENE ELODIE</t>
  </si>
  <si>
    <t>https://myiipea.com/media/etudiant/photo/WhatsApp_Image_2023-10-24_at_12.55.05.jpeg</t>
  </si>
  <si>
    <t>WADE0106020001</t>
  </si>
  <si>
    <t>WADJA</t>
  </si>
  <si>
    <t>EHUIA AKOUBA MARLAINE</t>
  </si>
  <si>
    <t>https://myiipea.com/media/etudiant/photo/WhatsApp_Image_2023-10-23_at_5.53.43_PM.jpeg</t>
  </si>
  <si>
    <t>WAGS0305000001</t>
  </si>
  <si>
    <t>WAGBE</t>
  </si>
  <si>
    <t>SIMON PIERRE JUNIOR</t>
  </si>
  <si>
    <t>https://myiipea.com/media/etudiant/photo/WhatsApp_Image_2023-10-27_at_13.07.49.jpeg</t>
  </si>
  <si>
    <t>WALA2703020001</t>
  </si>
  <si>
    <t>WALIYOU</t>
  </si>
  <si>
    <t>AKANDJI FAOSIYAT TINUNKE</t>
  </si>
  <si>
    <t>https://myiipea.com/media/etudiant/photo/WhatsApp_Image_2023-11-16_at_13.38.15.jpeg</t>
  </si>
  <si>
    <t>WANA2002050001</t>
  </si>
  <si>
    <t>WANYOU</t>
  </si>
  <si>
    <t>AFRI JEAN EMMANUEL</t>
  </si>
  <si>
    <t>https://myiipea.com/media/etudiant/photo/WhatsApp_Image_2023-10-25_at_17.03.29_1.jpeg</t>
  </si>
  <si>
    <t>WANO1307030001</t>
  </si>
  <si>
    <t>OBLELEO AUDE PRISCILLIA</t>
  </si>
  <si>
    <t>https://myiipea.com/media/etudiant/photo/WhatsApp_Image_2023-10-06_at_10.20.56.jpeg</t>
  </si>
  <si>
    <t>WATE2107000001</t>
  </si>
  <si>
    <t>WATTA</t>
  </si>
  <si>
    <t>EFFIBE VICTORIA RUTH</t>
  </si>
  <si>
    <t>https://myiipea.com/media/etudiant/photo/WhatsApp_Image_2023-11-06_at_11.48.18.jpeg</t>
  </si>
  <si>
    <t>WATN0306010001</t>
  </si>
  <si>
    <t>WATTAH</t>
  </si>
  <si>
    <t>NOGBOUT ESTHER</t>
  </si>
  <si>
    <t>https://myiipea.com/media/etudiant/photo/WhatsApp_Image_2023-11-14_at_12.51.52.jpeg</t>
  </si>
  <si>
    <t>WAWO0407030001</t>
  </si>
  <si>
    <t>WAWO</t>
  </si>
  <si>
    <t>ODIO ANNA MARIA ANDREA SEPHORA</t>
  </si>
  <si>
    <t>https://myiipea.com/media/etudiant/photo/ANNA.png</t>
  </si>
  <si>
    <t>WEDB1311050001</t>
  </si>
  <si>
    <t>WEDJA</t>
  </si>
  <si>
    <t>BOMO AMOIN REBECCA</t>
  </si>
  <si>
    <t>https://myiipea.com/media/etudiant/photo/WhatsApp_Image_2023-10-20_at_1.40.08_PM.jpeg</t>
  </si>
  <si>
    <t>WOGS1104050001</t>
  </si>
  <si>
    <t>WOGNIN</t>
  </si>
  <si>
    <t>SOPIE GRACE OPHELIA</t>
  </si>
  <si>
    <t>https://myiipea.com/media/etudiant/photo/WhatsApp_Image_2023-10-09_at_14.24.28.jpeg</t>
  </si>
  <si>
    <t>WOGT0810030001</t>
  </si>
  <si>
    <t>TCHOMIAN ALEXIN DUREL</t>
  </si>
  <si>
    <t>https://myiipea.com/media/etudiant/photo/WhatsApp_Image_2023-09-28_at_16.00.33.jpeg</t>
  </si>
  <si>
    <t>WONZ1711040001</t>
  </si>
  <si>
    <t>WONI</t>
  </si>
  <si>
    <t>ZAKARYA</t>
  </si>
  <si>
    <t>https://myiipea.com/media/etudiant/photo/WhatsApp_Image_2023-10-04_at_13.15.50.jpeg</t>
  </si>
  <si>
    <t>YAL0207040001</t>
  </si>
  <si>
    <t>YA</t>
  </si>
  <si>
    <t>LOU BOUZIE ANGE ASTRO DANIELLE</t>
  </si>
  <si>
    <t>https://myiipea.com/media/etudiant/photo/WhatsApp_Image_2023-10-20_at_6.04.57_PM.jpeg</t>
  </si>
  <si>
    <t>YABP1705020001</t>
  </si>
  <si>
    <t>YABRE</t>
  </si>
  <si>
    <t>PATRICIA</t>
  </si>
  <si>
    <t>https://myiipea.com/media/etudiant/photo/WhatsApp_Image_2023-10-03_at_16.17.02_1.jpeg</t>
  </si>
  <si>
    <t>YADY2006020001</t>
  </si>
  <si>
    <t>YADONGA</t>
  </si>
  <si>
    <t>YAKAPANDJI MELCHISSEDEK</t>
  </si>
  <si>
    <t>https://myiipea.com/media/etudiant/photo/WhatsApp_Image_2023-10-05_at_15.08.17.jpeg</t>
  </si>
  <si>
    <t>YAFF0912040001</t>
  </si>
  <si>
    <t>YAFFA</t>
  </si>
  <si>
    <t>https://myiipea.com/media/etudiant/photo/WhatsApp_Image_2023-09-28_at_13.41.32.jpeg</t>
  </si>
  <si>
    <t>YAHY2703040001</t>
  </si>
  <si>
    <t>YAHON</t>
  </si>
  <si>
    <t>YADMAO AUDE ORPHELIA</t>
  </si>
  <si>
    <t>https://myiipea.com/media/etudiant/photo/IIPEA_inhGSIt.png</t>
  </si>
  <si>
    <t>YAHS2604050001</t>
  </si>
  <si>
    <t>YAHOUE</t>
  </si>
  <si>
    <t>SOLANGE HELENA</t>
  </si>
  <si>
    <t>https://myiipea.com/media/etudiant/photo/IIPEA_dGXm8NG.jpg</t>
  </si>
  <si>
    <t>YAHF0506040001</t>
  </si>
  <si>
    <t>YAHOYA</t>
  </si>
  <si>
    <t>FLORE ESTHER</t>
  </si>
  <si>
    <t>https://myiipea.com/media/etudiant/photo/WhatsApp_Image_2023-10-26_at_12.52.07.jpeg</t>
  </si>
  <si>
    <t>YAKZ2306030001</t>
  </si>
  <si>
    <t>YAKE</t>
  </si>
  <si>
    <t>ZRANSA GRACE AUDREY</t>
  </si>
  <si>
    <t>https://myiipea.com/media/etudiant/photo/WhatsApp_Image_2023-11-08_at_11.54.04.jpeg</t>
  </si>
  <si>
    <t>YALA0808030001</t>
  </si>
  <si>
    <t>YALCOUYE</t>
  </si>
  <si>
    <t>https://myiipea.com/media/etudiant/photo/WhatsApp_Image_2023-10-25_at_11.19.51.jpeg</t>
  </si>
  <si>
    <t>YAMJ2112040001</t>
  </si>
  <si>
    <t>YAMBA</t>
  </si>
  <si>
    <t>JOACHIM ANGE BRYAN</t>
  </si>
  <si>
    <t>https://myiipea.com/media/etudiant/photo/IIPEA_diZxJM5.jpg</t>
  </si>
  <si>
    <t>YAOA0809010002</t>
  </si>
  <si>
    <t>YAO</t>
  </si>
  <si>
    <t>ABOH XAVIER JEAN EMMANUEL</t>
  </si>
  <si>
    <t>https://myiipea.com/media/etudiant/photo/WhatsApp_Image_2023-09-22_at_12.59.13.jpeg</t>
  </si>
  <si>
    <t>YAOA1706040001</t>
  </si>
  <si>
    <t>ABOUSSUAN YANN RONALD</t>
  </si>
  <si>
    <t>https://myiipea.com/media/etudiant/photo/WhatsApp_Image_2023-10-13_at_14.46.42.jpeg</t>
  </si>
  <si>
    <t>YAOA0101050001</t>
  </si>
  <si>
    <t>ADEY WILLIAM GRACE DANIELLE</t>
  </si>
  <si>
    <t>https://myiipea.com/media/etudiant/photo/WhatsApp_Image_2023-09-19_at_12.29.14.jpeg</t>
  </si>
  <si>
    <t>YAOA0406020001</t>
  </si>
  <si>
    <t>ADEY WILLIAM LAUREINE ESTHER</t>
  </si>
  <si>
    <t>https://myiipea.com/media/etudiant/photo/ESTHER.jpg</t>
  </si>
  <si>
    <t>YAOA1204050001</t>
  </si>
  <si>
    <t>ADJOUA ELLA CARELLE</t>
  </si>
  <si>
    <t>https://myiipea.com/media/etudiant/photo/WhatsApp_Image_2023-10-27_at_15.55.52.jpeg</t>
  </si>
  <si>
    <t>YAOA2206990002</t>
  </si>
  <si>
    <t>AFFOUE CHANTAL</t>
  </si>
  <si>
    <t>https://myiipea.com/media/etudiant/photo/WhatsApp_Image_2023-10-18_at_10.44.55.jpeg</t>
  </si>
  <si>
    <t>YAOA2003020001</t>
  </si>
  <si>
    <t>AFFOUE NADEGE</t>
  </si>
  <si>
    <t>https://myiipea.com/media/etudiant/photo/WhatsApp_Image_2023-11-20_at_16.29.35.jpeg</t>
  </si>
  <si>
    <t>YAOA1503040001</t>
  </si>
  <si>
    <t>AFFOUE RUTH DANIEL</t>
  </si>
  <si>
    <t>https://myiipea.com/media/etudiant/photo/WhatsApp_Image_2023-10-25_at_12.08.57.jpeg</t>
  </si>
  <si>
    <t>YAOA1811040001</t>
  </si>
  <si>
    <t>AHOU ESTHER</t>
  </si>
  <si>
    <t>https://myiipea.com/media/etudiant/photo/WhatsApp_Image_2023-10-30_at_12.57.18.jpeg</t>
  </si>
  <si>
    <t>YAOA0802020001</t>
  </si>
  <si>
    <t>AKISSI ANGE OLIVIA</t>
  </si>
  <si>
    <t>https://myiipea.com/media/etudiant/photo/WhatsApp_Image_2023-10-12_at_10.39.28.jpeg</t>
  </si>
  <si>
    <t>YAOA0711020001</t>
  </si>
  <si>
    <t>AKISSI LOME MARIE ESTELLE</t>
  </si>
  <si>
    <t>https://myiipea.com/media/etudiant/photo/WhatsApp_Image_2023-11-24_at_12.05.24_PM.jpeg</t>
  </si>
  <si>
    <t>YAOA1506020001</t>
  </si>
  <si>
    <t>AKISSI RUTH-EMMANUELLE</t>
  </si>
  <si>
    <t>https://myiipea.com/media/etudiant/photo/WhatsApp_Image_2023-11-02_at_08.57.55.jpeg</t>
  </si>
  <si>
    <t>YAOA0711040001</t>
  </si>
  <si>
    <t>AKISSI SANDRINE</t>
  </si>
  <si>
    <t>https://myiipea.com/media/etudiant/photo/WhatsApp_Image_2023-10-06_at_10.26.17.jpeg</t>
  </si>
  <si>
    <t>YAOA1907060001</t>
  </si>
  <si>
    <t>ALLOKHO MAEVA MEGANE ERICKA</t>
  </si>
  <si>
    <t>https://myiipea.com/media/etudiant/photo/d.jpeg</t>
  </si>
  <si>
    <t>YAOA1306040001</t>
  </si>
  <si>
    <t>https://myiipea.com/media/etudiant/photo/WhatsApp_Image_2023-10-16_at_14.18.44.jpeg</t>
  </si>
  <si>
    <t>YAOA0708030001</t>
  </si>
  <si>
    <t>ANAN YABLI MOHAYE MICHEL YOANN</t>
  </si>
  <si>
    <t>https://myiipea.com/media/etudiant/photo/WhatsApp_Image_2023-11-03_at_12.26.46_PM.jpeg</t>
  </si>
  <si>
    <t>YAOA1804060001</t>
  </si>
  <si>
    <t>ANGE EMMANUEL MOAYE</t>
  </si>
  <si>
    <t>https://myiipea.com/media/etudiant/photo/WhatsApp_Image_2023-10-25_at_4.20.40_PM.jpeg</t>
  </si>
  <si>
    <t>YAOA1110020001</t>
  </si>
  <si>
    <t>AYA JULIE ROXANE</t>
  </si>
  <si>
    <t>https://myiipea.com/media/etudiant/photo/WhatsApp_Image_2023-10-12_at_15_resized.png</t>
  </si>
  <si>
    <t>YAOA1510040001</t>
  </si>
  <si>
    <t>AYA MARIETTE AVRADE</t>
  </si>
  <si>
    <t>https://myiipea.com/media/etudiant/photo/AYA.jpg</t>
  </si>
  <si>
    <t>YAOB2301050001</t>
  </si>
  <si>
    <t>BENOIT HYACINTHE OTHNIEL</t>
  </si>
  <si>
    <t>https://myiipea.com/media/etudiant/photo/WhatsApp_Image_2023-09-25_at_08.50.27.jpeg</t>
  </si>
  <si>
    <t>YAOB0512020001</t>
  </si>
  <si>
    <t>BI VAGOME MICKAEL</t>
  </si>
  <si>
    <t>https://myiipea.com/media/etudiant/photo/WhatsApp_Image_2023-11-16_at_17.13.27.jpeg</t>
  </si>
  <si>
    <t>YAOB0205030001</t>
  </si>
  <si>
    <t>BORIS ISRAEL FLORIAN</t>
  </si>
  <si>
    <t>https://myiipea.com/media/etudiant/photo/WhatsApp_Image_2023-10-03_at_18.13.17.jpeg</t>
  </si>
  <si>
    <t>YAOB2507030001</t>
  </si>
  <si>
    <t>BOULA OCEANE</t>
  </si>
  <si>
    <t>https://myiipea.com/media/etudiant/photo/WhatsApp_Image_2023-09-28_at_18.36.58.jpeg</t>
  </si>
  <si>
    <t>YAOB0101050001</t>
  </si>
  <si>
    <t>BROU KADER</t>
  </si>
  <si>
    <t>https://myiipea.com/media/etudiant/photo/WhatsApp_Image_2023-10-09_at_16_resized.png</t>
  </si>
  <si>
    <t>YAOC0101010001</t>
  </si>
  <si>
    <t>CHIMENE AKISSI</t>
  </si>
  <si>
    <t>https://myiipea.com/media/etudiant/photo/WhatsApp_Image_2023-10-23_at_13.54.42.jpeg</t>
  </si>
  <si>
    <t>YAOC2801030001</t>
  </si>
  <si>
    <t>CHRIST ATTOUMANI</t>
  </si>
  <si>
    <t>https://myiipea.com/media/etudiant/photo/IIPEA_KLhYGsH.jpg</t>
  </si>
  <si>
    <t>YAOD2501940001</t>
  </si>
  <si>
    <t>DEZAI ROMUALD</t>
  </si>
  <si>
    <t>https://myiipea.com/media/etudiant/photo/photo_WSUfThF.jpg</t>
  </si>
  <si>
    <t>YAOE1103060001</t>
  </si>
  <si>
    <t>EMMANUEL ELYSEE</t>
  </si>
  <si>
    <t>https://myiipea.com/media/etudiant/photo/WhatsApp_Image_2023-09-18_at_12.46.24.jpeg</t>
  </si>
  <si>
    <t>YAOK1010990001</t>
  </si>
  <si>
    <t>KOFFI JUNIOR MONDESIR</t>
  </si>
  <si>
    <t>https://myiipea.com/media/etudiant/photo/WhatsApp_Image_2023-11-09_at_12.32.16.jpeg</t>
  </si>
  <si>
    <t>YAOK2604030001</t>
  </si>
  <si>
    <t>KOFFI NESTOR EMMANUEL</t>
  </si>
  <si>
    <t>https://myiipea.com/media/etudiant/photo/WhatsApp_Image_2023-10-04_at_14.51.51.jpeg</t>
  </si>
  <si>
    <t>YAOK1204030001</t>
  </si>
  <si>
    <t>KOFFI YANN CEDRIC</t>
  </si>
  <si>
    <t>https://myiipea.com/media/etudiant/photo/WhatsApp_Image_2023-09-20_at_11.56.42.jpeg</t>
  </si>
  <si>
    <t>YAOK1611020001</t>
  </si>
  <si>
    <t>KOFFI YANN KEVIN</t>
  </si>
  <si>
    <t>https://myiipea.com/media/etudiant/photo/WhatsApp_Image_2023-10-28_at_13.26.11.jpeg</t>
  </si>
  <si>
    <t>YAOK0412030001</t>
  </si>
  <si>
    <t>KOHLOU HENNRICK CESAR</t>
  </si>
  <si>
    <t>https://myiipea.com/media/etudiant/photo/WhatsApp_Image_2023-09-20_at_11.48.56.jpeg</t>
  </si>
  <si>
    <t>YAOK1005050001</t>
  </si>
  <si>
    <t>KOKORE GRACE SAMIRAH</t>
  </si>
  <si>
    <t>https://myiipea.com/media/etudiant/photo/WhatsApp_Image_2023-10-04_at_16.49.24_1.jpeg</t>
  </si>
  <si>
    <t>YAOK1712040001</t>
  </si>
  <si>
    <t>KOUADIO CHRISTIAN FERDINAND</t>
  </si>
  <si>
    <t>https://myiipea.com/media/etudiant/photo/WhatsApp_Image_2023-10-30_at_13.13.19.jpeg</t>
  </si>
  <si>
    <t>YAOK2503030001</t>
  </si>
  <si>
    <t>KOUADIO FRANCK ARISTIDE</t>
  </si>
  <si>
    <t>https://myiipea.com/media/etudiant/photo/WhatsApp_Image_2023-10-03_at_13.04.28.jpeg</t>
  </si>
  <si>
    <t>YAOK1010040001</t>
  </si>
  <si>
    <t>KOUADIO JEAN-LUC</t>
  </si>
  <si>
    <t>https://myiipea.com/media/etudiant/photo/WhatsApp_Image_2023-10-16_at_13.37.25.jpeg</t>
  </si>
  <si>
    <t>YAOK1504020002</t>
  </si>
  <si>
    <t>KOUADIO JEAN-PATRICK THEODORE</t>
  </si>
  <si>
    <t>https://myiipea.com/media/etudiant/photo/WhatsApp_Image_2023-09-26_at_11.33.42_1_WvPYhfm.jpeg</t>
  </si>
  <si>
    <t>YAOK0102040001</t>
  </si>
  <si>
    <t>KOUAKOU DANIEL LOVE</t>
  </si>
  <si>
    <t>https://myiipea.com/media/etudiant/photo/WhatsApp_Image_2023-10-05_at_10.29.53.jpeg</t>
  </si>
  <si>
    <t>YAOK0205010002</t>
  </si>
  <si>
    <t>KOUAKOU ISAAC MELCHISEDEK</t>
  </si>
  <si>
    <t>https://myiipea.com/media/etudiant/photo/ISAAC.jpg</t>
  </si>
  <si>
    <t>YAOK2709050001</t>
  </si>
  <si>
    <t>KOUAKOU MOHAMED YVES ROLAND</t>
  </si>
  <si>
    <t>https://myiipea.com/media/etudiant/photo/WhatsApp_Image_2023-11-02_at_15.40.14.jpeg</t>
  </si>
  <si>
    <t>YAOK1701020001</t>
  </si>
  <si>
    <t>KOUAKOU YANNICK</t>
  </si>
  <si>
    <t>https://myiipea.com/media/etudiant/photo/WhatsApp_Image_2023-10-03_at_08.46.05.jpeg</t>
  </si>
  <si>
    <t>YAOK2003970001</t>
  </si>
  <si>
    <t>KOUAME BORGES</t>
  </si>
  <si>
    <t>https://myiipea.com/media/etudiant/photo/WhatsApp_Image_2023-11-23_at_12.01.18.jpeg</t>
  </si>
  <si>
    <t>YAOK0405030001</t>
  </si>
  <si>
    <t>KOUAME STEVEN TANGUY</t>
  </si>
  <si>
    <t>https://myiipea.com/media/etudiant/photo/WhatsApp_Image_2023-10-03_at_11.14.56_AM_V4Yl0M1.jpeg</t>
  </si>
  <si>
    <t>YAOK1908020001</t>
  </si>
  <si>
    <t>KOUASSI AHEBE NAZAIRE</t>
  </si>
  <si>
    <t>https://myiipea.com/media/etudiant/photo/WhatsApp_Image_2023-09-14_at_15.03.22.jpeg</t>
  </si>
  <si>
    <t>YAOK2702050001</t>
  </si>
  <si>
    <t>KOUASSI DIVINE MARIE</t>
  </si>
  <si>
    <t>https://myiipea.com/media/etudiant/photo/WhatsApp_Image_2023-10-16_at_16.01.26.jpeg</t>
  </si>
  <si>
    <t>YAOK2106040001</t>
  </si>
  <si>
    <t>KOUASSI ELISEE</t>
  </si>
  <si>
    <t>https://myiipea.com/media/etudiant/photo/WhatsApp_Image_2023-11-03_at_10.15.40.jpeg</t>
  </si>
  <si>
    <t>YAOK0808040001</t>
  </si>
  <si>
    <t>KOUASSI JEAN YVES AXEL EZECKIEL</t>
  </si>
  <si>
    <t>https://myiipea.com/media/etudiant/photo/WhatsApp_Image_2023-10-02_at_10.42.40.jpeg</t>
  </si>
  <si>
    <t>YAOL0508030001</t>
  </si>
  <si>
    <t>LEVI BEHINIAN ROSCAR OLIVANE</t>
  </si>
  <si>
    <t>https://myiipea.com/media/etudiant/photo/WhatsApp_Image_2023-11-08_at_12.04.16_PM.jpeg</t>
  </si>
  <si>
    <t>YAOL2006040001</t>
  </si>
  <si>
    <t>LOU N'DRY DANIELLA</t>
  </si>
  <si>
    <t>https://myiipea.com/media/etudiant/photo/WhatsApp_Image_2023-11-03_at_12.03.58.jpeg</t>
  </si>
  <si>
    <t>YAOM2707020001</t>
  </si>
  <si>
    <t>MALE EUNICE NOADA</t>
  </si>
  <si>
    <t>https://myiipea.com/media/etudiant/photo/WhatsApp_Image_2023-10-26_at_12.46.14_PM.jpeg</t>
  </si>
  <si>
    <t>YAOM1003050001</t>
  </si>
  <si>
    <t>MELVINE ANGE MICHAEL</t>
  </si>
  <si>
    <t>https://myiipea.com/media/etudiant/photo/MELVINE.jpg</t>
  </si>
  <si>
    <t>YAOM2107040001</t>
  </si>
  <si>
    <t>MERESSO LANDRY</t>
  </si>
  <si>
    <t>https://myiipea.com/media/etudiant/photo/WhatsApp_Image_2023-10-05_at_11.24.02.jpeg</t>
  </si>
  <si>
    <t>YAOM1208030001</t>
  </si>
  <si>
    <t>MOAHE EMMANUEL</t>
  </si>
  <si>
    <t>https://myiipea.com/media/etudiant/photo/WhatsApp_Image_2023-10-19_at_09_resized.png</t>
  </si>
  <si>
    <t>YAON2212970001</t>
  </si>
  <si>
    <t>N'DA NAVIETHIO ANGELA</t>
  </si>
  <si>
    <t>https://myiipea.com/media/etudiant/photo/WhatsApp_Image_2023-11-09_at_11.15.26.jpeg</t>
  </si>
  <si>
    <t>YAON2007040001</t>
  </si>
  <si>
    <t>N'DA YABA SUZANNE ROXANE</t>
  </si>
  <si>
    <t>https://myiipea.com/media/etudiant/photo/WhatsApp_Image_2023-10-04_at_08.32.04.jpeg</t>
  </si>
  <si>
    <t>YAON2212040001</t>
  </si>
  <si>
    <t>N'DRI OLIVIA LORAINE</t>
  </si>
  <si>
    <t>https://myiipea.com/media/etudiant/photo/WhatsApp_Image_2023-10-13_at_15.40.34.jpeg</t>
  </si>
  <si>
    <t>YAON2910050001</t>
  </si>
  <si>
    <t>NOURA ARIELLA</t>
  </si>
  <si>
    <t>https://myiipea.com/media/etudiant/photo/WhatsApp_Image_2023-10-27_at_4.47.27_PM.jpeg</t>
  </si>
  <si>
    <t>YAON2211990001</t>
  </si>
  <si>
    <t>NYANSA BIENVENU KOUASSI</t>
  </si>
  <si>
    <t>https://myiipea.com/media/etudiant/photo/WhatsApp_Image_2023-10-05_at_2.29.59_PM.jpeg</t>
  </si>
  <si>
    <t>YAOP2310040001</t>
  </si>
  <si>
    <t>PRISCILLE EMMANUELA</t>
  </si>
  <si>
    <t>https://myiipea.com/media/etudiant/photo/WhatsApp_Image_2023-10-05_at_13.52.55.jpeg</t>
  </si>
  <si>
    <t>YAOR2707040001</t>
  </si>
  <si>
    <t>RENEE EMMANUELLA</t>
  </si>
  <si>
    <t>https://myiipea.com/media/etudiant/photo/WhatsApp_Image_2023-11-23_at_4.02.35_PM.jpeg</t>
  </si>
  <si>
    <t>YAOR1905050001</t>
  </si>
  <si>
    <t>RUTH MARIA CARMEL</t>
  </si>
  <si>
    <t>https://myiipea.com/media/etudiant/photo/WhatsApp_Image_2023-11-21_at_2.07.19_PM.jpeg</t>
  </si>
  <si>
    <t>YAOS1501030001</t>
  </si>
  <si>
    <t>SALEH ANNETTE LAURIANE</t>
  </si>
  <si>
    <t>https://myiipea.com/media/etudiant/photo/WhatsApp_Image_2023-11-22_at_1.59.15_PM.jpeg</t>
  </si>
  <si>
    <t>YAOS1209030001</t>
  </si>
  <si>
    <t>SAMUEL DANMAUH BETHUEL</t>
  </si>
  <si>
    <t>https://myiipea.com/media/etudiant/photo/WhatsApp_Image_2023-10-11_at_10.36.51.jpeg</t>
  </si>
  <si>
    <t>YAOT1904980001</t>
  </si>
  <si>
    <t>TAEHIL PATERNE</t>
  </si>
  <si>
    <t>https://myiipea.com/media/etudiant/photo/photo_0vfxViO.jpg</t>
  </si>
  <si>
    <t>YAOT0709050001</t>
  </si>
  <si>
    <t>TAGRO KETSIA EMMANUELLA</t>
  </si>
  <si>
    <t>https://myiipea.com/media/etudiant/photo/WhatsApp_Image_2023-10-05_at_09.48.43.jpeg</t>
  </si>
  <si>
    <t>YAOT1111020001</t>
  </si>
  <si>
    <t>TOUBO WILFRIED BENJAMIN</t>
  </si>
  <si>
    <t>https://myiipea.com/media/etudiant/photo/WhatsApp_Image_2023-11-24_at_12.12.51_PM.jpeg</t>
  </si>
  <si>
    <t>YAOY2609030001</t>
  </si>
  <si>
    <t>YANN CEDRIC ALVARES JUDICAEL</t>
  </si>
  <si>
    <t>https://myiipea.com/media/etudiant/photo/WhatsApp_Image_2023-09-29_at_12.22.42.jpeg</t>
  </si>
  <si>
    <t>YAOY2402040001</t>
  </si>
  <si>
    <t>YAO INES BADMAEL</t>
  </si>
  <si>
    <t>https://myiipea.com/media/etudiant/photo/WhatsApp_Image_2023-11-02_at_3.46.50_PM.jpeg</t>
  </si>
  <si>
    <t>YAOY1104030001</t>
  </si>
  <si>
    <t>YAO YANN NOE</t>
  </si>
  <si>
    <t>https://myiipea.com/media/etudiant/photo/WhatsApp_Image_2023-10-10_at_12.17.01.jpeg</t>
  </si>
  <si>
    <t>YAOL0312030001</t>
  </si>
  <si>
    <t>YAODA</t>
  </si>
  <si>
    <t>https://myiipea.com/media/etudiant/photo/WhatsApp_Image_2023-10-10_at_18.08.16.jpeg</t>
  </si>
  <si>
    <t>YAPA0101060001</t>
  </si>
  <si>
    <t>YAPI</t>
  </si>
  <si>
    <t>AHOUO HELENE GRACE EMMANUELLA</t>
  </si>
  <si>
    <t>https://myiipea.com/media/etudiant/photo/WhatsApp_Image_2023-10-04_at_09.01.06.jpeg</t>
  </si>
  <si>
    <t>YAPA0701040001</t>
  </si>
  <si>
    <t>APOH MARIE JUDIANA DESIREE</t>
  </si>
  <si>
    <t>https://myiipea.com/media/etudiant/photo/YTAPI.jpg</t>
  </si>
  <si>
    <t>YAPA1012030001</t>
  </si>
  <si>
    <t>ATSE FRANCK SAMUEL</t>
  </si>
  <si>
    <t>https://myiipea.com/media/etudiant/photo/WhatsApp_Image_2023-10-09_at_12.43.04.jpeg</t>
  </si>
  <si>
    <t>YAPC2106030001</t>
  </si>
  <si>
    <t>CHIA MARIE ANGE PRISCILLA NASTASSIA</t>
  </si>
  <si>
    <t>https://myiipea.com/media/etudiant/photo/WhatsApp_Image_2023-10-11_at_13.33.26.jpeg</t>
  </si>
  <si>
    <t>YAPF1805980001</t>
  </si>
  <si>
    <t>FRANCOIS DESALES</t>
  </si>
  <si>
    <t>https://myiipea.com/media/etudiant/photo/GGG_resized.png</t>
  </si>
  <si>
    <t>YAPL1502050001</t>
  </si>
  <si>
    <t>LOUISE ESPERANCE</t>
  </si>
  <si>
    <t>https://myiipea.com/media/etudiant/photo/WhatsApp_Image_2023-10-13_at_09.05.01.jpeg</t>
  </si>
  <si>
    <t>YAPM1102000001</t>
  </si>
  <si>
    <t>MONNET FABIEN</t>
  </si>
  <si>
    <t>https://myiipea.com/media/etudiant/photo/WhatsApp_Image_2023-10-13_at_3.56.00_PM.jpeg</t>
  </si>
  <si>
    <t>YAPN0604060001</t>
  </si>
  <si>
    <t>N'CHO ANAIS MARYBEL DIVINE</t>
  </si>
  <si>
    <t>https://myiipea.com/media/etudiant/photo/WhatsApp_Image_2023-10-02_at_11.21.54.jpeg</t>
  </si>
  <si>
    <t>YAPN2602030001</t>
  </si>
  <si>
    <t>N'TAKPE MARIE LOIS ERICKA</t>
  </si>
  <si>
    <t>https://myiipea.com/media/etudiant/photo/WhatsApp_Image_2023-10-06_at_09.45.35.jpeg</t>
  </si>
  <si>
    <t>YAPA0406040001</t>
  </si>
  <si>
    <t>YAPO</t>
  </si>
  <si>
    <t>AHOUBA LINDA AUDE FLORIDE</t>
  </si>
  <si>
    <t>https://myiipea.com/media/etudiant/photo/WhatsApp_Image_2023-11-13_at_11.11.23.jpeg</t>
  </si>
  <si>
    <t>YAPA1605030001</t>
  </si>
  <si>
    <t>APIE AIMEE CLAUDE FRANCISCA</t>
  </si>
  <si>
    <t>https://myiipea.com/media/etudiant/photo/WhatsApp_Image_2023-11-06_at_5.50.56_PM.jpeg</t>
  </si>
  <si>
    <t>YAPB2505980001</t>
  </si>
  <si>
    <t>BERENGER</t>
  </si>
  <si>
    <t>https://myiipea.com/media/etudiant/photo/WhatsApp_Image_2023-09-28_at_12.10.36.jpeg</t>
  </si>
  <si>
    <t>YAPC2312030001</t>
  </si>
  <si>
    <t>CHIDJE EMMANNUELLA DESIREE</t>
  </si>
  <si>
    <t>https://myiipea.com/media/etudiant/photo/WhatsApp_Image_2023-10-03_at_13.22.05.jpeg</t>
  </si>
  <si>
    <t>YAPK0406010002</t>
  </si>
  <si>
    <t>KOUSSO HARIEL SANDRA</t>
  </si>
  <si>
    <t>https://myiipea.com/media/etudiant/photo/WhatsApp_Image_2023-10-13_at_12.21.48_RVZaibH.jpeg</t>
  </si>
  <si>
    <t>YAPK2212010001</t>
  </si>
  <si>
    <t>KOUSSO MARLENE EMMANUELA GRACE</t>
  </si>
  <si>
    <t>https://myiipea.com/media/etudiant/photo/WhatsApp_Image_2023-10-17_at_13.24.07.jpeg</t>
  </si>
  <si>
    <t>YAPN1712030001</t>
  </si>
  <si>
    <t>N'GBADJRO YOUA BERNADETTE LAETICIA</t>
  </si>
  <si>
    <t>https://myiipea.com/media/etudiant/photo/WhatsApp_Image_2023-09-20_at_13.03.06.jpeg</t>
  </si>
  <si>
    <t>YAPN1805040001</t>
  </si>
  <si>
    <t>N'GUESSAN GRACE BLANDINE EUNICE</t>
  </si>
  <si>
    <t>https://myiipea.com/media/etudiant/photo/WhatsApp_Image_2023-09-29_at_08.55.26.jpeg</t>
  </si>
  <si>
    <t>YAPO1309020001</t>
  </si>
  <si>
    <t>ODI CEDRIC</t>
  </si>
  <si>
    <t>https://myiipea.com/media/etudiant/photo/WhatsApp_Image_2023-10-12_at_14.45.41.jpeg</t>
  </si>
  <si>
    <t>YAPY1407010001</t>
  </si>
  <si>
    <t>YESSO FRANCK THOMAS</t>
  </si>
  <si>
    <t>https://myiipea.com/media/etudiant/photo/WhatsApp_Image_2023-10-09_at_17.35.42.jpeg</t>
  </si>
  <si>
    <t>YAPL0504020001</t>
  </si>
  <si>
    <t>YAPOBI-ATTIE</t>
  </si>
  <si>
    <t>LEYLA ZEINAB</t>
  </si>
  <si>
    <t>https://myiipea.com/media/etudiant/photo/WhatsApp_Image_2023-11-10_at_2.25.10_PM.jpeg</t>
  </si>
  <si>
    <t>YARA1610040001</t>
  </si>
  <si>
    <t>YARABOU</t>
  </si>
  <si>
    <t>ALEX FABIEN DESIRE</t>
  </si>
  <si>
    <t>https://myiipea.com/media/etudiant/photo/WhatsApp_Image_2023-09-28_at_17.10.24.jpeg</t>
  </si>
  <si>
    <t>YASN2302050001</t>
  </si>
  <si>
    <t>YASSE</t>
  </si>
  <si>
    <t>N'MONDIPA JOLANE-MANOUCHKA</t>
  </si>
  <si>
    <t>https://myiipea.com/media/etudiant/photo/IIPEA_3rgRugg.jpg</t>
  </si>
  <si>
    <t>YATL1012030001</t>
  </si>
  <si>
    <t>YATANA</t>
  </si>
  <si>
    <t>LOPEZ</t>
  </si>
  <si>
    <t>https://myiipea.com/media/etudiant/photo/WhatsApp_Image_2023-10-06_at_11.04.20.jpeg</t>
  </si>
  <si>
    <t>YALN2506990001</t>
  </si>
  <si>
    <t>YATTE</t>
  </si>
  <si>
    <t>N'DA CHIA CHRISTIANE ESPERANCE</t>
  </si>
  <si>
    <t>https://myiipea.com/media/etudiant/photo/WhatsApp_Image_2023-11-14_at_6.02.19_PM.jpeg</t>
  </si>
  <si>
    <t>YATG0605050001</t>
  </si>
  <si>
    <t>YATTO</t>
  </si>
  <si>
    <t>GNEBA AURIANE PHILOMENE</t>
  </si>
  <si>
    <t>https://myiipea.com/media/etudiant/photo/WhatsApp_Image_2023-10-04_at_14.56.04.jpeg</t>
  </si>
  <si>
    <t>YAVM1508040001</t>
  </si>
  <si>
    <t>YAVO</t>
  </si>
  <si>
    <t>MARIE-CHANCELLE</t>
  </si>
  <si>
    <t>https://myiipea.com/media/etudiant/photo/WhatsApp_Image_2023-10-16_at_09.28.53.jpeg</t>
  </si>
  <si>
    <t>YAYK1311030001</t>
  </si>
  <si>
    <t>KOUAKOU MAYER</t>
  </si>
  <si>
    <t>https://myiipea.com/media/etudiant/photo/WhatsApp_Image_2023-09-26_at_11.26.25.jpeg</t>
  </si>
  <si>
    <t>YAYG2403020001</t>
  </si>
  <si>
    <t>YAYO</t>
  </si>
  <si>
    <t>GOA NOEL</t>
  </si>
  <si>
    <t>https://myiipea.com/media/etudiant/photo/WhatsApp_Image_2023-10-11_at_11_resized_WoZjEDF.png</t>
  </si>
  <si>
    <t>YAYL0306020001</t>
  </si>
  <si>
    <t>LOBABIE DELAURE</t>
  </si>
  <si>
    <t>https://myiipea.com/media/etudiant/photo/WhatsApp_Image_2023-10-03_at_4.40.30_PM.jpeg</t>
  </si>
  <si>
    <t>YES1203030001</t>
  </si>
  <si>
    <t>YE</t>
  </si>
  <si>
    <t>SIETA JUSTIN</t>
  </si>
  <si>
    <t>https://myiipea.com/media/etudiant/photo/YE.jpg</t>
  </si>
  <si>
    <t>YEBJ0107040001</t>
  </si>
  <si>
    <t>YEBA</t>
  </si>
  <si>
    <t>JEAN  ARMEL TRESOR</t>
  </si>
  <si>
    <t>https://myiipea.com/media/etudiant/photo/WhatsApp_Image_2023-11-17_at_12.39.53_PM.jpeg</t>
  </si>
  <si>
    <t>YEBA1312010001</t>
  </si>
  <si>
    <t>YEBOUA</t>
  </si>
  <si>
    <t>AKOUA SIAMAN CHRISTELLE</t>
  </si>
  <si>
    <t>https://myiipea.com/media/etudiant/photo/WhatsApp_Image_2023-10-12_at_11.28.15.jpeg</t>
  </si>
  <si>
    <t>YEBA0805060001</t>
  </si>
  <si>
    <t>YEBOUE</t>
  </si>
  <si>
    <t>AKISSI FLEUR OCEANE</t>
  </si>
  <si>
    <t>https://myiipea.com/media/etudiant/photo/WhatsApp_Image_2023-10-05_at_10.58.09.jpeg</t>
  </si>
  <si>
    <t>YEBA0208040001</t>
  </si>
  <si>
    <t>AKISSI GRACE ALICE</t>
  </si>
  <si>
    <t>https://myiipea.com/media/etudiant/photo/WhatsApp_Image_2023-10-05_at_11.14.31.jpeg</t>
  </si>
  <si>
    <t>YEBA1211030004</t>
  </si>
  <si>
    <t>AWLOSRAN ANGE EMMANUEL</t>
  </si>
  <si>
    <t>https://myiipea.com/media/etudiant/photo/WhatsApp_Image_2023-09-26_at_11.24.22.jpeg</t>
  </si>
  <si>
    <t>YEBG0609020001</t>
  </si>
  <si>
    <t>GRACE NAOMI VICTOIRE</t>
  </si>
  <si>
    <t>https://myiipea.com/media/etudiant/photo/WhatsApp_Image_2023-10-13_at_16.56.30.jpeg</t>
  </si>
  <si>
    <t>YEBK0409030001</t>
  </si>
  <si>
    <t>KOUAKOU BRICE JUNIOR</t>
  </si>
  <si>
    <t>https://myiipea.com/media/etudiant/photo/WhatsApp_Image_2023-10-03_at_16.42.08.jpeg</t>
  </si>
  <si>
    <t>YEBN2601020001</t>
  </si>
  <si>
    <t>N'GUESSAN EUXANE MANUELLA</t>
  </si>
  <si>
    <t>https://myiipea.com/media/etudiant/photo/WhatsApp_Image_2023-09-25_at_15.09.16.jpeg</t>
  </si>
  <si>
    <t>YECO2604050001</t>
  </si>
  <si>
    <t>YECOLLE</t>
  </si>
  <si>
    <t>ORVINIA RUTH COLOMBE</t>
  </si>
  <si>
    <t>https://myiipea.com/media/etudiant/photo/WhatsApp_Image_2023-11-20_at_3.38.16_PM.jpeg</t>
  </si>
  <si>
    <t>YEDA0509000001</t>
  </si>
  <si>
    <t>YEDE</t>
  </si>
  <si>
    <t>AURIANE MARYSE ANAIS</t>
  </si>
  <si>
    <t>https://myiipea.com/media/etudiant/photo/WhatsApp_Image_2023-10-03_at_11.14.56_AM_S66KkQu.jpeg</t>
  </si>
  <si>
    <t>YEDK0206030001</t>
  </si>
  <si>
    <t>KADJA VINCENT</t>
  </si>
  <si>
    <t>https://myiipea.com/media/etudiant/photo/WhatsApp_Image_2023-10-02_at_18.37.43.jpeg</t>
  </si>
  <si>
    <t>YEDL1908990001</t>
  </si>
  <si>
    <t>YEDO</t>
  </si>
  <si>
    <t>LOHEI LOIS</t>
  </si>
  <si>
    <t>https://myiipea.com/media/etudiant/photo/WhatsApp_Image_2023-11-22_at_14.58.52.jpeg</t>
  </si>
  <si>
    <t>YEFJ0312990001</t>
  </si>
  <si>
    <t>YEFFE</t>
  </si>
  <si>
    <t>JOEL ELYSE</t>
  </si>
  <si>
    <t>https://myiipea.com/media/etudiant/photo/WhatsApp_Image_2023-11-10_at_12.42.34_PM.jpeg</t>
  </si>
  <si>
    <t>YEHG3107030001</t>
  </si>
  <si>
    <t>YEHIRI</t>
  </si>
  <si>
    <t>https://myiipea.com/media/etudiant/photo/WhatsApp_Image_2023-11-06_at_12.56.37.jpeg</t>
  </si>
  <si>
    <t>YEKR0803050001</t>
  </si>
  <si>
    <t>YEKINI</t>
  </si>
  <si>
    <t>RIDWAN ATANDA REMI LEKIM</t>
  </si>
  <si>
    <t>https://myiipea.com/media/etudiant/photo/WhatsApp_Image_2023-10-11_at_20.11.31.jpeg</t>
  </si>
  <si>
    <t>YELO2208010001</t>
  </si>
  <si>
    <t>YELKOUNI</t>
  </si>
  <si>
    <t>https://myiipea.com/media/etudiant/photo/WhatsApp_Image_2023-10-09_at_15.22.06.jpeg</t>
  </si>
  <si>
    <t>YEOK0911020001</t>
  </si>
  <si>
    <t>YEO</t>
  </si>
  <si>
    <t>KATIEBEYAHA HENOCK ELIE</t>
  </si>
  <si>
    <t>https://myiipea.com/media/etudiant/photo/WhatsApp_Image_2023-11-28_at_11.07.09.jpeg</t>
  </si>
  <si>
    <t>YEOL2201060002</t>
  </si>
  <si>
    <t>LEMINHIN ARMEL</t>
  </si>
  <si>
    <t>https://myiipea.com/media/etudiant/photo/WhatsApp_Image_2023-10-13_at_1.55.33_PM.jpeg</t>
  </si>
  <si>
    <t>YEON3006990001</t>
  </si>
  <si>
    <t>NAMBEGUE YAYA</t>
  </si>
  <si>
    <t>https://myiipea.com/media/etudiant/photo/WhatsApp_Image_2023-09-28_at_17.55.59.jpeg</t>
  </si>
  <si>
    <t>YEON0101020001</t>
  </si>
  <si>
    <t>https://myiipea.com/media/etudiant/photo/ee805a7a-bd0f-4cfc-a70e-cbab604ca96a_BoFnltt.jpeg</t>
  </si>
  <si>
    <t>YERT0309000001</t>
  </si>
  <si>
    <t>YERA</t>
  </si>
  <si>
    <t>TAKIA EPIPHANIE</t>
  </si>
  <si>
    <t>https://myiipea.com/media/etudiant/photo/WhatsApp_Image_2023-10-02_at_15.23.31.jpeg</t>
  </si>
  <si>
    <t>YESY2701020001</t>
  </si>
  <si>
    <t>YESSOH</t>
  </si>
  <si>
    <t>YESSOH WILFRED EMMANUEL</t>
  </si>
  <si>
    <t>https://myiipea.com/media/etudiant/photo/WhatsApp_Image_2023-11-29_at_1.22.13_PM.jpeg</t>
  </si>
  <si>
    <t>YIBF1810020001</t>
  </si>
  <si>
    <t>YIBORKU</t>
  </si>
  <si>
    <t>FRANCISCA</t>
  </si>
  <si>
    <t>https://myiipea.com/media/etudiant/photo/WhatsApp_Image_2023-10-09_at_11.06.42.jpeg</t>
  </si>
  <si>
    <t>YINW0212030001</t>
  </si>
  <si>
    <t>YINUS</t>
  </si>
  <si>
    <t>WADJIHAT TOUNRAYO FORTUNE</t>
  </si>
  <si>
    <t>https://myiipea.com/media/etudiant/photo/WhatsApp_Image_2023-11-08_at_14.37.14.jpeg</t>
  </si>
  <si>
    <t>YOBA2810040001</t>
  </si>
  <si>
    <t>YOBALE</t>
  </si>
  <si>
    <t>ALEX MONDESIR</t>
  </si>
  <si>
    <t>https://myiipea.com/media/etudiant/photo/WhatsApp_Image_2023-10-03_at_12.56.56.jpeg</t>
  </si>
  <si>
    <t>YOBJ0708000001</t>
  </si>
  <si>
    <t>YOBO</t>
  </si>
  <si>
    <t>JECICA LAUREILLE</t>
  </si>
  <si>
    <t>https://myiipea.com/media/etudiant/photo/WhatsApp_Image_2023-10-25_at_10.31.05.jpeg</t>
  </si>
  <si>
    <t>YOBN0805040001</t>
  </si>
  <si>
    <t>NILLE AYA DESIREE</t>
  </si>
  <si>
    <t>https://myiipea.com/media/etudiant/photo/WhatsApp_Image_2023-11-21_at_11.18.35.jpeg</t>
  </si>
  <si>
    <t>YOBN3003010001</t>
  </si>
  <si>
    <t>NILLE ZOUHA MICHELLE</t>
  </si>
  <si>
    <t>https://myiipea.com/media/etudiant/photo/WhatsApp_Image_2023-11-20_at_11.33.09.jpeg</t>
  </si>
  <si>
    <t>YOBA2510050001</t>
  </si>
  <si>
    <t>YOBOU</t>
  </si>
  <si>
    <t>AMONDJI OLIVIER</t>
  </si>
  <si>
    <t>https://myiipea.com/media/etudiant/photo/34cffb21-ceec-4f32-bca3-ae3272122489-removebg-preview.png</t>
  </si>
  <si>
    <t>YOBA2907060001</t>
  </si>
  <si>
    <t>YOBOUE</t>
  </si>
  <si>
    <t>AFFOUE FLORENCE</t>
  </si>
  <si>
    <t>https://myiipea.com/media/etudiant/photo/WhatsApp_Image_2023-10-10_at_19.19.27.jpeg</t>
  </si>
  <si>
    <t>KOBJ1507040001</t>
  </si>
  <si>
    <t>JEAN DAVID KADER JUNIOR</t>
  </si>
  <si>
    <t>https://myiipea.com/media/etudiant/photo/WhatsApp_Image_2023-09-29_at_11.29.56.jpeg</t>
  </si>
  <si>
    <t>YOBJ2109990001</t>
  </si>
  <si>
    <t>JEAN JERICK ELGA</t>
  </si>
  <si>
    <t>https://myiipea.com/media/etudiant/photo/WhatsApp_Image_2023-10-19_at_09.48.27.jpeg</t>
  </si>
  <si>
    <t>YOBZ2211040001</t>
  </si>
  <si>
    <t>ZAHUION JEMIMA NAOMIE</t>
  </si>
  <si>
    <t>https://myiipea.com/media/etudiant/photo/WhatsApp_Image_2023-10-02_at_16.40.42.jpeg</t>
  </si>
  <si>
    <t>YOBA0901000001</t>
  </si>
  <si>
    <t>YOBOUET</t>
  </si>
  <si>
    <t>AMOIN MALENE</t>
  </si>
  <si>
    <t>https://myiipea.com/media/etudiant/photo/WhatsApp_Image_2023-10-18_at_12.49.19_PM.jpeg</t>
  </si>
  <si>
    <t>YOBK3001010001</t>
  </si>
  <si>
    <t>KOUADIO ALLAN JONEL</t>
  </si>
  <si>
    <t>https://myiipea.com/media/etudiant/photo/WhatsApp_Image_2023-10-16_at_14.42.41.jpeg</t>
  </si>
  <si>
    <t>YOBK2303040001</t>
  </si>
  <si>
    <t>KOUADIO CYRILLE VICTORIEN</t>
  </si>
  <si>
    <t>https://myiipea.com/media/etudiant/photo/WhatsApp_Image_2023-10-13_at_16.38.29.jpeg</t>
  </si>
  <si>
    <t>YOBN0312020001</t>
  </si>
  <si>
    <t>N'DA KOUADIO MARIE</t>
  </si>
  <si>
    <t>https://myiipea.com/media/etudiant/photo/WhatsApp_Image_2023-10-16_at_16.04.05.jpeg</t>
  </si>
  <si>
    <t>YOBY0410020001</t>
  </si>
  <si>
    <t>YAHO FRANCIS</t>
  </si>
  <si>
    <t>https://myiipea.com/media/etudiant/photo/WhatsApp_Image_2023-10-10_at_11.22.43.jpeg</t>
  </si>
  <si>
    <t>YOBM2812000001</t>
  </si>
  <si>
    <t>YOBOUKOUA</t>
  </si>
  <si>
    <t>MOBIO MEDARDE FLORA</t>
  </si>
  <si>
    <t>https://myiipea.com/media/etudiant/photo/WhatsApp_Image_2023-10-04_at_10.28.32.jpeg</t>
  </si>
  <si>
    <t>YODF2705040001</t>
  </si>
  <si>
    <t>YODA</t>
  </si>
  <si>
    <t>FATOU</t>
  </si>
  <si>
    <t>https://myiipea.com/media/etudiant/photo/WhatsApp_Image_2023-09-20_%C3%A0_09.45.04.jpg</t>
  </si>
  <si>
    <t>YOGC1305040001</t>
  </si>
  <si>
    <t>YOGO</t>
  </si>
  <si>
    <t>CHRIST IVAN</t>
  </si>
  <si>
    <t>https://myiipea.com/media/etudiant/photo/WhatsApp_Image_2023-10-03_at_08.45.36.jpeg</t>
  </si>
  <si>
    <t>YOHB1802030001</t>
  </si>
  <si>
    <t>YOH</t>
  </si>
  <si>
    <t>BI  NENE REGIS</t>
  </si>
  <si>
    <t>https://myiipea.com/media/etudiant/photo/WhatsApp_Image_2023-10-05_at_14.51.48.jpeg</t>
  </si>
  <si>
    <t>YOHD2606020001</t>
  </si>
  <si>
    <t>DOMINIQUE LORRAINE DE ZOUA</t>
  </si>
  <si>
    <t>https://myiipea.com/media/etudiant/photo/WhatsApp_Image_2023-09-19_at_14.08.51.jpeg</t>
  </si>
  <si>
    <t>YOHT1410050001</t>
  </si>
  <si>
    <t>TREDOU ARIEL NATHAN</t>
  </si>
  <si>
    <t>https://myiipea.com/media/etudiant/photo/WhatsApp_Image_2023-10-06_at_09.46.35.jpeg</t>
  </si>
  <si>
    <t>YOMA2602040001</t>
  </si>
  <si>
    <t>YOMAN</t>
  </si>
  <si>
    <t>ACKA CHRIST YOHAN</t>
  </si>
  <si>
    <t>https://myiipea.com/media/etudiant/photo/Photo_didentit%C3%A9__2023_resized.png</t>
  </si>
  <si>
    <t>YOMA2905050001</t>
  </si>
  <si>
    <t>AKISSI GRACE LEANDRE</t>
  </si>
  <si>
    <t>https://myiipea.com/media/etudiant/photo/WhatsApp_Image_2023-10-16_at_15.46.47_TvPL2q0.jpeg</t>
  </si>
  <si>
    <t>YOMB1604040001</t>
  </si>
  <si>
    <t>BROUKAN BATHAIX CHRISTIAN-NATHAN</t>
  </si>
  <si>
    <t>https://myiipea.com/media/etudiant/photo/WhatsApp_Image_2023-09-29_at_16.50.57.jpeg</t>
  </si>
  <si>
    <t>YORM3103000001</t>
  </si>
  <si>
    <t>YORO</t>
  </si>
  <si>
    <t>MARIE TATIANA</t>
  </si>
  <si>
    <t>https://myiipea.com/media/etudiant/photo/WhatsApp_Image_2023-11-29_at_4.07.46_PM.jpeg</t>
  </si>
  <si>
    <t>YORS0403020001</t>
  </si>
  <si>
    <t>SERGE ARISTIDE</t>
  </si>
  <si>
    <t>https://myiipea.com/media/etudiant/photo/WhatsApp_Image_2023-11-22_at_10.08.09.jpeg</t>
  </si>
  <si>
    <t>YOTN0702020001</t>
  </si>
  <si>
    <t>YOTCHO</t>
  </si>
  <si>
    <t>NEBAVI MARTHE ATHON</t>
  </si>
  <si>
    <t>https://myiipea.com/media/etudiant/photo/WhatsApp_Image_2023-10-23_at_09.56.07.jpeg</t>
  </si>
  <si>
    <t>YOUJ1506030001</t>
  </si>
  <si>
    <t>YOUAHETE</t>
  </si>
  <si>
    <t>JEAN DESIRE</t>
  </si>
  <si>
    <t>https://myiipea.com/media/etudiant/photo/WhatsApp_Image_2023-11-17_at_17.10.55.jpeg</t>
  </si>
  <si>
    <t>YOUB2401030001</t>
  </si>
  <si>
    <t>YOUAN</t>
  </si>
  <si>
    <t>BI TIE EMMANUEL PATRICE ELVIS</t>
  </si>
  <si>
    <t>https://myiipea.com/media/etudiant/photo/WhatsApp_Image_2023-11-21_at_11.56.40_AM.jpeg</t>
  </si>
  <si>
    <t>YOUI0104040002</t>
  </si>
  <si>
    <t>IRIE NANTY MOYA YRALO REUMA</t>
  </si>
  <si>
    <t>https://myiipea.com/media/etudiant/photo/WhatsApp_Image_2023-10-06_at_3.36.25_PM.jpeg</t>
  </si>
  <si>
    <t>YOUD2403040001</t>
  </si>
  <si>
    <t>YOUH</t>
  </si>
  <si>
    <t>DISSIA HERMINE KATHY</t>
  </si>
  <si>
    <t>https://myiipea.com/media/etudiant/photo/WhatsApp_Image_2023-10-13_at_18.35.15.jpeg</t>
  </si>
  <si>
    <t>YOUB0711020001</t>
  </si>
  <si>
    <t>YOUHO</t>
  </si>
  <si>
    <t>BAGOLI FRANCK</t>
  </si>
  <si>
    <t>https://myiipea.com/media/etudiant/photo/WhatsApp_Image_2023-10-17_at_12.26.28.jpeg</t>
  </si>
  <si>
    <t>YOUJ0801020001</t>
  </si>
  <si>
    <t>YOUKOU</t>
  </si>
  <si>
    <t>JEANNE GREY</t>
  </si>
  <si>
    <t>https://myiipea.com/media/etudiant/photo/WhatsApp_Image_2023-10-13_at_12.48.28_PM.jpeg</t>
  </si>
  <si>
    <t>YOUT1804010001</t>
  </si>
  <si>
    <t>TABE LAURAINE NAOMIE</t>
  </si>
  <si>
    <t>https://myiipea.com/media/etudiant/photo/WhatsApp_Image_2023-10-27_at_11.34.15.jpeg</t>
  </si>
  <si>
    <t>YOUA1805020001</t>
  </si>
  <si>
    <t>YOUKOUA</t>
  </si>
  <si>
    <t>ARIANE JO</t>
  </si>
  <si>
    <t>https://myiipea.com/media/etudiant/photo/WhatsApp_Image_2023-10-02_at_12.07.45.jpeg</t>
  </si>
  <si>
    <t>YOUZ2401030001</t>
  </si>
  <si>
    <t>ZAHUI DJAILLY ARMAND</t>
  </si>
  <si>
    <t>https://myiipea.com/media/etudiant/photo/WhatsApp_Image_2023-11-09_at_12.33.04.jpeg</t>
  </si>
  <si>
    <t>YOUA1611040001</t>
  </si>
  <si>
    <t>https://myiipea.com/media/etudiant/photo/IIPEA_reXaPdY.png</t>
  </si>
  <si>
    <t>YROK1807990001</t>
  </si>
  <si>
    <t>YRODE</t>
  </si>
  <si>
    <t>KEMONNEGNAN SIMEON DAURIS</t>
  </si>
  <si>
    <t>https://myiipea.com/media/etudiant/photo/WhatsApp_Image_2023-11-07_at_11.08.37_3Xo7sR9.jpeg</t>
  </si>
  <si>
    <t>YUSR1710010001</t>
  </si>
  <si>
    <t>YUSUF</t>
  </si>
  <si>
    <t>RIDOL</t>
  </si>
  <si>
    <t>https://myiipea.com/media/etudiant/photo/WhatsApp_Image_2023-11-02_at_08.59.17.jpeg</t>
  </si>
  <si>
    <t>ZABA2805050001</t>
  </si>
  <si>
    <t>ZABOU</t>
  </si>
  <si>
    <t>ANNE MARIETTE</t>
  </si>
  <si>
    <t>https://myiipea.com/media/etudiant/photo/WhatsApp_Image_2023-10-05_at_12.17.33.jpeg</t>
  </si>
  <si>
    <t>ZABR1304040001</t>
  </si>
  <si>
    <t>ZABSONRE</t>
  </si>
  <si>
    <t>RISSINATA</t>
  </si>
  <si>
    <t>https://myiipea.com/media/etudiant/photo/RISSINATA.jpg</t>
  </si>
  <si>
    <t>ZACL2204020001</t>
  </si>
  <si>
    <t>ZACRE</t>
  </si>
  <si>
    <t>LOU YOUNAN GERTRUDE</t>
  </si>
  <si>
    <t>https://myiipea.com/media/etudiant/photo/WhatsApp_Image_2023-10-11_at_13.53.09.jpeg</t>
  </si>
  <si>
    <t>ZADD2712990001</t>
  </si>
  <si>
    <t>ZADI</t>
  </si>
  <si>
    <t>DOMINIQUE XAVIER</t>
  </si>
  <si>
    <t>https://myiipea.com/media/etudiant/photo/WhatsApp_Image_2023-10-20_at_13.29.14.jpeg</t>
  </si>
  <si>
    <t>ZADG2802010001</t>
  </si>
  <si>
    <t>GNADOU REGIS</t>
  </si>
  <si>
    <t>https://myiipea.com/media/etudiant/photo/WhatsApp_Image_2023-10-23_at_15.43.43.jpeg</t>
  </si>
  <si>
    <t>ZADJ0306030001</t>
  </si>
  <si>
    <t>JOSEPH MELCHUOR</t>
  </si>
  <si>
    <t>https://myiipea.com/media/etudiant/photo/WhatsApp_Image_2023-10-26_at_16.24.24.jpeg</t>
  </si>
  <si>
    <t>ZADL2012040001</t>
  </si>
  <si>
    <t>ZADIE</t>
  </si>
  <si>
    <t>LOUISE BLANDINE SANDY</t>
  </si>
  <si>
    <t>https://myiipea.com/media/etudiant/photo/WhatsApp_Image_2023-11-07_at_1.17.00_PM.jpeg</t>
  </si>
  <si>
    <t>ZAGH0303040001</t>
  </si>
  <si>
    <t>ZAGBA</t>
  </si>
  <si>
    <t>HIRA JAKIN</t>
  </si>
  <si>
    <t>https://myiipea.com/media/etudiant/photo/WhatsApp_Image_2023-09-18_at_12.09.42.jpeg</t>
  </si>
  <si>
    <t>ZAGA1706020001</t>
  </si>
  <si>
    <t>ZAGO</t>
  </si>
  <si>
    <t>AHOU RUTH</t>
  </si>
  <si>
    <t>https://myiipea.com/media/etudiant/photo/IIPEA2_1gC7X8F.jpeg</t>
  </si>
  <si>
    <t>ZAGW2512030001</t>
  </si>
  <si>
    <t>ZAGRE</t>
  </si>
  <si>
    <t>WENDKUNI SARA MARIE NOELLE</t>
  </si>
  <si>
    <t>https://myiipea.com/media/etudiant/photo/WhatsApp_Image_2023-10-05_at_10.14.30.jpeg</t>
  </si>
  <si>
    <t>ZAGG1705040001</t>
  </si>
  <si>
    <t>ZAGREA</t>
  </si>
  <si>
    <t>GRACE PRISCILLE</t>
  </si>
  <si>
    <t>https://myiipea.com/media/etudiant/photo/WhatsApp_Image_2023-10-04_at_08.51.18.jpeg</t>
  </si>
  <si>
    <t>ZAHW1702030001</t>
  </si>
  <si>
    <t>ZAHIBO</t>
  </si>
  <si>
    <t>WONONGBO DOROTHEE</t>
  </si>
  <si>
    <t>https://myiipea.com/media/etudiant/photo/WhatsApp_Image_2023-11-06_at_15.34.20.jpeg</t>
  </si>
  <si>
    <t>ZAHA0511010001</t>
  </si>
  <si>
    <t>ZAHIRI</t>
  </si>
  <si>
    <t>ALAIN LOGNON</t>
  </si>
  <si>
    <t>https://myiipea.com/media/etudiant/photo/WhatsApp_Image_2023-10-10_at_14.55.54.jpeg</t>
  </si>
  <si>
    <t>ZAHZ2305010001</t>
  </si>
  <si>
    <t>ZAHOU</t>
  </si>
  <si>
    <t>ZOUE CHARLENE AUDREY LUCE CARMELLE</t>
  </si>
  <si>
    <t>https://myiipea.com/media/etudiant/photo/WhatsApp_Image_2023-09-20_at_15.20.20.jpeg</t>
  </si>
  <si>
    <t>ZAHS1911040001</t>
  </si>
  <si>
    <t>ZAHOUI</t>
  </si>
  <si>
    <t>SIMPLICE JUNIOR</t>
  </si>
  <si>
    <t>https://myiipea.com/media/etudiant/photo/WhatsApp_Image_2023-10-05_at_08.26.55.jpeg</t>
  </si>
  <si>
    <t>ZAHD0102020001</t>
  </si>
  <si>
    <t>ZAHOUO</t>
  </si>
  <si>
    <t>DRE BEYIA LOIC IVAN</t>
  </si>
  <si>
    <t>https://myiipea.com/media/etudiant/photo/WhatsApp_Image_2023-10-25_at_09.27.02.jpeg</t>
  </si>
  <si>
    <t>ZAHR2806060001</t>
  </si>
  <si>
    <t>ZAHUI</t>
  </si>
  <si>
    <t>RUTH ESPERANCE TCHELLEO</t>
  </si>
  <si>
    <t>https://myiipea.com/media/etudiant/photo/WhatsApp_Image_2023-10-06_at_12.15.52.jpeg</t>
  </si>
  <si>
    <t>ZAKD1211040001</t>
  </si>
  <si>
    <t>ZAKA</t>
  </si>
  <si>
    <t>DANILA CORINE AXELLE</t>
  </si>
  <si>
    <t>https://myiipea.com/media/etudiant/photo/WhatsApp_Image_2023-10-03_at_11.14.56_AM.jpeg</t>
  </si>
  <si>
    <t>ZALA0912050001</t>
  </si>
  <si>
    <t>ZALFOGNA</t>
  </si>
  <si>
    <t>ACHIM</t>
  </si>
  <si>
    <t>https://myiipea.com/media/etudiant/photo/WhatsApp_Image_2023-10-13_at_14.57.05.jpeg</t>
  </si>
  <si>
    <t>ZALD1909020001</t>
  </si>
  <si>
    <t>ZALO</t>
  </si>
  <si>
    <t>DJOKE MARYSE ARIANE</t>
  </si>
  <si>
    <t>https://myiipea.com/media/etudiant/photo/WhatsApp_Image_2023-10-04_at_14.52.40.jpeg</t>
  </si>
  <si>
    <t>ZAMB1605030001</t>
  </si>
  <si>
    <t>ZAMBLE</t>
  </si>
  <si>
    <t>BI TRA MAX IVAN JUNIOR</t>
  </si>
  <si>
    <t>https://myiipea.com/media/etudiant/photo/WhatsApp_Image_2023-09-29_at_10_resized_Tuvzc7u.png</t>
  </si>
  <si>
    <t>ZAMG0101010001</t>
  </si>
  <si>
    <t>ZAMPOU</t>
  </si>
  <si>
    <t>GUEMINATA</t>
  </si>
  <si>
    <t>https://myiipea.com/media/etudiant/photo/WhatsApp_Image_2023-10-25_at_15_resized.png</t>
  </si>
  <si>
    <t>ZANA3110030002</t>
  </si>
  <si>
    <t>ZAN</t>
  </si>
  <si>
    <t>AYA ANGE CEDRIC ASHLEY</t>
  </si>
  <si>
    <t>https://myiipea.com/media/etudiant/photo/WhatsApp_Image_2023-11-10_at_10.56.46_UMmNoYJ.jpeg</t>
  </si>
  <si>
    <t>ZANS0611030001</t>
  </si>
  <si>
    <t>SANOU LEROY DAVID</t>
  </si>
  <si>
    <t>https://myiipea.com/media/etudiant/photo/WhatsApp_Image_2023-10-13_at_19.24.12.jpeg</t>
  </si>
  <si>
    <t>ZANL2502020001</t>
  </si>
  <si>
    <t>ZANGOLI</t>
  </si>
  <si>
    <t>LOU BOULI ALIDA</t>
  </si>
  <si>
    <t>https://myiipea.com/media/etudiant/photo/WhatsApp_Image_2023-10-09_at_16.43.00.jpeg</t>
  </si>
  <si>
    <t>ZANL2805050001</t>
  </si>
  <si>
    <t>ZANLE</t>
  </si>
  <si>
    <t>LOU YOHOU ANICETTE</t>
  </si>
  <si>
    <t>https://myiipea.com/media/etudiant/photo/t%C3%A9l%C3%A9chargement_zs8Tkjz_resized.png</t>
  </si>
  <si>
    <t>ZANA0101040001</t>
  </si>
  <si>
    <t>ZANRE</t>
  </si>
  <si>
    <t>https://myiipea.com/media/etudiant/photo/WhatsApp_Image_2023-10-16_at_14_resized.png</t>
  </si>
  <si>
    <t>ZAOA0808040001</t>
  </si>
  <si>
    <t>ZAO</t>
  </si>
  <si>
    <t>ADJOUADJEDET YOUAFOUA ELOHIMA FELICIA</t>
  </si>
  <si>
    <t>https://myiipea.com/media/etudiant/photo/WhatsApp_Image_2023-10-10_at_13.10.41.jpeg</t>
  </si>
  <si>
    <t>ZAOB2907990001</t>
  </si>
  <si>
    <t>ZAOULI</t>
  </si>
  <si>
    <t>BI VOLI IGNACE KEVIN</t>
  </si>
  <si>
    <t>https://myiipea.com/media/etudiant/photo/WhatsApp_Image_2023-11-02_at_16.04.47.jpeg</t>
  </si>
  <si>
    <t>ZAPI1903010001</t>
  </si>
  <si>
    <t>ZAPRE</t>
  </si>
  <si>
    <t>https://myiipea.com/media/etudiant/photo/WhatsApp_Image_2023-10-06_at_11.08.24.jpeg</t>
  </si>
  <si>
    <t>ZARK1101050001</t>
  </si>
  <si>
    <t>ZAROUR</t>
  </si>
  <si>
    <t>KOFFI MARIE THERESE NICE</t>
  </si>
  <si>
    <t>https://myiipea.com/media/etudiant/photo/WhatsApp_Image_2023-10-04_at_12.32.13.jpeg</t>
  </si>
  <si>
    <t>ZEBO1210010001</t>
  </si>
  <si>
    <t>ZEBA</t>
  </si>
  <si>
    <t>OBI ABRAHAM</t>
  </si>
  <si>
    <t>https://myiipea.com/media/etudiant/photo/WhatsApp_Image_2023-10-10_at_2.11.16_PM.jpeg</t>
  </si>
  <si>
    <t>ZEBG2608000001</t>
  </si>
  <si>
    <t>ZEBEYOU</t>
  </si>
  <si>
    <t>GBADIE LORRIS DESIRE</t>
  </si>
  <si>
    <t>https://myiipea.com/media/etudiant/photo/WhatsApp_Image_2023-10-17_at_09.33.24.jpeg</t>
  </si>
  <si>
    <t>ZEBS1703030001</t>
  </si>
  <si>
    <t>ZEBEYOUX</t>
  </si>
  <si>
    <t>SYBLI SOPHORA</t>
  </si>
  <si>
    <t>https://myiipea.com/media/etudiant/photo/WhatsApp_Image_2023-10-12_at_3.55.04_PM.jpeg</t>
  </si>
  <si>
    <t>ZEGM1605030001</t>
  </si>
  <si>
    <t>ZEGBE</t>
  </si>
  <si>
    <t>MAMAYE GRACE EMMANUELLA</t>
  </si>
  <si>
    <t>https://myiipea.com/media/etudiant/photo/WhatsApp_Image_2023-11-07_at_10.16.42.jpeg</t>
  </si>
  <si>
    <t>ZERN1912030001</t>
  </si>
  <si>
    <t>ZEREGBE</t>
  </si>
  <si>
    <t>NIELLE ALIMATA GRACE</t>
  </si>
  <si>
    <t>https://myiipea.com/media/etudiant/photo/WhatsApp_Image_2023-10-12_at_17.43.54.jpeg</t>
  </si>
  <si>
    <t>ZERS2112040001</t>
  </si>
  <si>
    <t>ZERHOUNI</t>
  </si>
  <si>
    <t>SAMIRA</t>
  </si>
  <si>
    <t>https://myiipea.com/media/etudiant/photo/WhatsApp_Image_2023-10-12_at_15.50.54.jpeg</t>
  </si>
  <si>
    <t>ZIEM2103040001</t>
  </si>
  <si>
    <t>ZIE</t>
  </si>
  <si>
    <t>MEMA</t>
  </si>
  <si>
    <t>https://myiipea.com/media/etudiant/photo/WhatsApp_Image_2023-10-02_at_15.18.27.jpeg</t>
  </si>
  <si>
    <t>ZIGZ0904010001</t>
  </si>
  <si>
    <t>ZIGANI</t>
  </si>
  <si>
    <t>ZIDABO JACQUES</t>
  </si>
  <si>
    <t>https://myiipea.com/media/etudiant/photo/WhatsApp_Image_2023-11-20_at_13_resized.png</t>
  </si>
  <si>
    <t>ZIGZ0904010002</t>
  </si>
  <si>
    <t>ZIDARO JACQUES</t>
  </si>
  <si>
    <t>https://myiipea.com/media/etudiant/photo/WhatsApp_Image_2023-11-20_at_2.15.08_PM.jpeg</t>
  </si>
  <si>
    <t>ZIGA2412040001</t>
  </si>
  <si>
    <t>ZIGUI</t>
  </si>
  <si>
    <t>AYA MAEVA ANDREA</t>
  </si>
  <si>
    <t>https://myiipea.com/media/etudiant/photo/WhatsApp_Image_2023-10-23_at_09.56.32.jpeg</t>
  </si>
  <si>
    <t>ZIHE0605030001</t>
  </si>
  <si>
    <t>ZIHI</t>
  </si>
  <si>
    <t>EMMANUELLA DEBORAH</t>
  </si>
  <si>
    <t>https://myiipea.com/media/etudiant/photo/WhatsApp_Image_2023-10-03_at_3.16.22_PM.jpeg</t>
  </si>
  <si>
    <t>ZIHW1105000001</t>
  </si>
  <si>
    <t>WLOUSSON JUNIOR CEDRIC</t>
  </si>
  <si>
    <t>https://myiipea.com/media/etudiant/photo/WhatsApp_Image_2023-10-05_at_09.25.56.jpeg</t>
  </si>
  <si>
    <t>ZISA2807010001</t>
  </si>
  <si>
    <t>ZISSON</t>
  </si>
  <si>
    <t>AISSEMON</t>
  </si>
  <si>
    <t>https://myiipea.com/media/etudiant/photo/WhatsApp_Image_2023-10-17_at_2.57.19_PM.jpeg</t>
  </si>
  <si>
    <t>ZOBG0910010001</t>
  </si>
  <si>
    <t>ZOBO</t>
  </si>
  <si>
    <t>GNAVO EMMANUEL</t>
  </si>
  <si>
    <t>https://myiipea.com/media/etudiant/photo/WhatsApp_Image_2023-10-25_at_5.03.28_PM.jpeg</t>
  </si>
  <si>
    <t>ZOGY0501030001</t>
  </si>
  <si>
    <t>ZOGBE</t>
  </si>
  <si>
    <t>YAINE EPIPHANIE</t>
  </si>
  <si>
    <t>https://myiipea.com/media/etudiant/photo/WhatsApp_Image_2023-11-20_at_11.54.23.jpeg</t>
  </si>
  <si>
    <t>ZOKV1809040001</t>
  </si>
  <si>
    <t>ZOKOLO</t>
  </si>
  <si>
    <t>VAGUINI MARLENE</t>
  </si>
  <si>
    <t>https://myiipea.com/media/etudiant/photo/WhatsApp_Image_2023-10-12_at_18.37.55.jpeg</t>
  </si>
  <si>
    <t>ZOKL2010030001</t>
  </si>
  <si>
    <t>ZOKOU</t>
  </si>
  <si>
    <t>LAGO DAVID</t>
  </si>
  <si>
    <t>https://myiipea.com/media/etudiant/photo/WhatsApp_Image_2023-12-04_at_10_resized_0OFEefe.png</t>
  </si>
  <si>
    <t>ZOKP1108050002</t>
  </si>
  <si>
    <t>POKPATAPE LUC EDGAR</t>
  </si>
  <si>
    <t>https://myiipea.com/media/etudiant/photo/ZOKOU.jpg</t>
  </si>
  <si>
    <t>ZOKJ2612010001</t>
  </si>
  <si>
    <t>ZOKPATO</t>
  </si>
  <si>
    <t>JAURES</t>
  </si>
  <si>
    <t>https://myiipea.com/media/etudiant/photo/WhatsApp_Image_2023-10-18_at_09.28.41.jpeg</t>
  </si>
  <si>
    <t>ZOMN2108010001</t>
  </si>
  <si>
    <t>ZOMBRA</t>
  </si>
  <si>
    <t>https://myiipea.com/media/etudiant/photo/WhatsApp_Image_2023-11-20_at_09.31.39.jpeg</t>
  </si>
  <si>
    <t>ZONA0606990001</t>
  </si>
  <si>
    <t>ZONGO</t>
  </si>
  <si>
    <t>https://myiipea.com/media/etudiant/photo/WhatsApp_Image_2023-10-20_at_11.12.51.jpeg</t>
  </si>
  <si>
    <t>ZORB1512010001</t>
  </si>
  <si>
    <t>ZORO</t>
  </si>
  <si>
    <t>BIVALI WILFRIED</t>
  </si>
  <si>
    <t>https://myiipea.com/media/etudiant/photo/WhatsApp_Image_2023-11-07_at_11.44.30_AM.jpeg</t>
  </si>
  <si>
    <t>ZORA0403020001</t>
  </si>
  <si>
    <t>ZOROM</t>
  </si>
  <si>
    <t>https://myiipea.com/media/etudiant/photo/WhatsApp_Image_2023-10-05_at_14.12.44.jpeg</t>
  </si>
  <si>
    <t>ZOUE1407050001</t>
  </si>
  <si>
    <t>ZOUHOU</t>
  </si>
  <si>
    <t>ELOHIM YHAVE ST JUNIOR</t>
  </si>
  <si>
    <t>https://myiipea.com/media/etudiant/photo/WhatsApp_Image_2023-10-03_at_19.42.15.jpeg</t>
  </si>
  <si>
    <t>ZOUZ2810030001</t>
  </si>
  <si>
    <t>ZOUKOUAN</t>
  </si>
  <si>
    <t>ZOUKOUAN CHRISTOPHE</t>
  </si>
  <si>
    <t>https://myiipea.com/media/etudiant/photo/WhatsApp_Image_2023-10-05_at_14.05.27.jpeg</t>
  </si>
  <si>
    <t>ZOUW0609010001</t>
  </si>
  <si>
    <t>ZOUNGRANA</t>
  </si>
  <si>
    <t>WENDATA BERTRAND JUNIOR</t>
  </si>
  <si>
    <t>https://myiipea.com/media/etudiant/photo/WhatsApp_Image_2023-10-24_at_09.37.48.jpeg</t>
  </si>
  <si>
    <t>ZOZB2912010001</t>
  </si>
  <si>
    <t>ZOZO</t>
  </si>
  <si>
    <t>BRICE</t>
  </si>
  <si>
    <t>https://myiipea.com/media/etudiant/photo/WhatsApp_Image_2023-10-23_at_14.44.56.jpeg</t>
  </si>
  <si>
    <t>ZRAB1706050001</t>
  </si>
  <si>
    <t>ZRAE</t>
  </si>
  <si>
    <t>BI TIZIE MEDERIC NATHANAEL BONAVENTURE</t>
  </si>
  <si>
    <t>https://myiipea.com/media/etudiant/photo/BONAVENTURE.jpg</t>
  </si>
  <si>
    <t>ZRIB0310040001</t>
  </si>
  <si>
    <t>ZRIBOUE</t>
  </si>
  <si>
    <t>BI MEZAN BORIS</t>
  </si>
  <si>
    <t>https://myiipea.com/media/etudiant/photo/WhatsApp_Image_2023-10-04_at_14.51.17.jpeg</t>
  </si>
  <si>
    <t>ZRIO3112030001</t>
  </si>
  <si>
    <t>ZRIMBA</t>
  </si>
  <si>
    <t>OTEME MARC RANDAL</t>
  </si>
  <si>
    <t>https://myiipea.com/media/etudiant/photo/WhatsApp_Image_2023-10-27_at_15.56.36.jpeg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</si>
</sst>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myiipea.com/media/etudiant/photo/WhatsApp_Image_2023-11-08_at_11.47.06.jpeg" TargetMode="External"/><Relationship Id="rId391" Type="http://schemas.openxmlformats.org/officeDocument/2006/relationships/hyperlink" Target="https://myiipea.com/media/etudiant/photo/WhatsApp_Image_2023-10-26_at_11.55.07.jpeg" TargetMode="External"/><Relationship Id="rId390" Type="http://schemas.openxmlformats.org/officeDocument/2006/relationships/hyperlink" Target="https://myiipea.com/media/etudiant/photo/WhatsApp_Image_2023-10-16_at_14.34.13.jpeg" TargetMode="External"/><Relationship Id="rId2180" Type="http://schemas.openxmlformats.org/officeDocument/2006/relationships/hyperlink" Target="https://myiipea.com/media/etudiant/photo/WhatsApp_Image_2023-10-05_at_12.40.49.jpeg" TargetMode="External"/><Relationship Id="rId2181" Type="http://schemas.openxmlformats.org/officeDocument/2006/relationships/hyperlink" Target="https://myiipea.com/media/etudiant/photo/WhatsApp_Image_2023-09-29_at_10.13.21.jpeg" TargetMode="External"/><Relationship Id="rId2182" Type="http://schemas.openxmlformats.org/officeDocument/2006/relationships/hyperlink" Target="https://myiipea.com/media/etudiant/photo/WhatsApp_Image_2023-10-03_at_11.14.56_AM_E2Cny6h.jpeg" TargetMode="External"/><Relationship Id="rId2183" Type="http://schemas.openxmlformats.org/officeDocument/2006/relationships/hyperlink" Target="https://myiipea.com/media/etudiant/photo/WhatsApp_Image_2023-10-05_at_18.36.13.jpeg" TargetMode="External"/><Relationship Id="rId385" Type="http://schemas.openxmlformats.org/officeDocument/2006/relationships/hyperlink" Target="https://myiipea.com/media/etudiant/photo/WhatsApp_Image_2023-11-10_at_13.43.50.jpeg" TargetMode="External"/><Relationship Id="rId2184" Type="http://schemas.openxmlformats.org/officeDocument/2006/relationships/hyperlink" Target="https://myiipea.com/media/etudiant/photo/WhatsApp_Image_2023-10-11_at_11_resized.png" TargetMode="External"/><Relationship Id="rId384" Type="http://schemas.openxmlformats.org/officeDocument/2006/relationships/hyperlink" Target="https://myiipea.com/media/etudiant/photo/WhatsApp_Image_2023-09-28_at_16.36.06.jpeg" TargetMode="External"/><Relationship Id="rId2185" Type="http://schemas.openxmlformats.org/officeDocument/2006/relationships/hyperlink" Target="https://myiipea.com/media/etudiant/photo/WhatsApp_Image_2023-09-28_at_12.28.48_1.jpeg" TargetMode="External"/><Relationship Id="rId383" Type="http://schemas.openxmlformats.org/officeDocument/2006/relationships/hyperlink" Target="https://myiipea.com/media/etudiant/photo/WhatsApp_Image_2023-10-11_at_4.06.45_PM.jpeg" TargetMode="External"/><Relationship Id="rId2186" Type="http://schemas.openxmlformats.org/officeDocument/2006/relationships/hyperlink" Target="https://myiipea.com/media/etudiant/photo/WhatsApp_Image_2023-10-26_at_16.09.02.jpeg" TargetMode="External"/><Relationship Id="rId382" Type="http://schemas.openxmlformats.org/officeDocument/2006/relationships/hyperlink" Target="https://myiipea.com/media/etudiant/photo/WhatsApp_Image_2023-10-03_at_15.31.38.jpeg" TargetMode="External"/><Relationship Id="rId2187" Type="http://schemas.openxmlformats.org/officeDocument/2006/relationships/hyperlink" Target="https://myiipea.com/media/etudiant/photo/WhatsApp_Image_2023-10-02_at_14.23.55.jpeg" TargetMode="External"/><Relationship Id="rId389" Type="http://schemas.openxmlformats.org/officeDocument/2006/relationships/hyperlink" Target="https://myiipea.com/media/etudiant/photo/WhatsApp_Image_2023-10-13_at_16.40.30.jpeg" TargetMode="External"/><Relationship Id="rId2188" Type="http://schemas.openxmlformats.org/officeDocument/2006/relationships/hyperlink" Target="https://myiipea.com/media/etudiant/photo/WhatsApp_Image_2023-10-13_at_10.55.02.jpeg" TargetMode="External"/><Relationship Id="rId388" Type="http://schemas.openxmlformats.org/officeDocument/2006/relationships/hyperlink" Target="https://myiipea.com/media/etudiant/photo/Logo_EMATECH_FDilrCp.png" TargetMode="External"/><Relationship Id="rId2189" Type="http://schemas.openxmlformats.org/officeDocument/2006/relationships/hyperlink" Target="https://myiipea.com/media/etudiant/photo/WhatsApp_Image_2023-10-12_at_2.53.07_PM.jpeg" TargetMode="External"/><Relationship Id="rId387" Type="http://schemas.openxmlformats.org/officeDocument/2006/relationships/hyperlink" Target="https://myiipea.com/media/etudiant/photo/WhatsApp_Image_2023-10-11_at_12.18.56.jpeg" TargetMode="External"/><Relationship Id="rId386" Type="http://schemas.openxmlformats.org/officeDocument/2006/relationships/hyperlink" Target="https://myiipea.com/media/etudiant/photo/WhatsApp_Image_2023-10-03_at_17.41.37.jpeg" TargetMode="External"/><Relationship Id="rId381" Type="http://schemas.openxmlformats.org/officeDocument/2006/relationships/hyperlink" Target="https://myiipea.com/media/etudiant/photo/WhatsApp_Image_2023-10-13_at_17.48.31.jpeg" TargetMode="External"/><Relationship Id="rId380" Type="http://schemas.openxmlformats.org/officeDocument/2006/relationships/hyperlink" Target="https://myiipea.com/media/etudiant/photo/WhatsApp_Image_2023-10-02_at_17.06.45.jpeg" TargetMode="External"/><Relationship Id="rId379" Type="http://schemas.openxmlformats.org/officeDocument/2006/relationships/hyperlink" Target="https://myiipea.com/media/etudiant/photo/WhatsApp_Image_2023-10-06_at_12.44.20.jpeg" TargetMode="External"/><Relationship Id="rId2170" Type="http://schemas.openxmlformats.org/officeDocument/2006/relationships/hyperlink" Target="https://myiipea.com/media/etudiant/photo/WhatsApp_Image_2023-10-03_at_5.37.21_PM.jpeg" TargetMode="External"/><Relationship Id="rId2171" Type="http://schemas.openxmlformats.org/officeDocument/2006/relationships/hyperlink" Target="https://myiipea.com/media/etudiant/photo/WhatsApp_Image_2023-10-03_at_10.39.06_cNHUmFV.jpeg" TargetMode="External"/><Relationship Id="rId2172" Type="http://schemas.openxmlformats.org/officeDocument/2006/relationships/hyperlink" Target="https://myiipea.com/media/etudiant/photo/unnamed-2_K8ZHoTW.png" TargetMode="External"/><Relationship Id="rId374" Type="http://schemas.openxmlformats.org/officeDocument/2006/relationships/hyperlink" Target="https://myiipea.com/media/etudiant/photo/WhatsApp_Image_2023-11-16_at_09.45.54.jpeg" TargetMode="External"/><Relationship Id="rId2173" Type="http://schemas.openxmlformats.org/officeDocument/2006/relationships/hyperlink" Target="https://myiipea.com/media/etudiant/photo/WhatsApp_Image_2023-10-05_at_11.26.01.jpeg" TargetMode="External"/><Relationship Id="rId373" Type="http://schemas.openxmlformats.org/officeDocument/2006/relationships/hyperlink" Target="https://myiipea.com/media/etudiant/photo/WhatsApp_Image_2023-10-24_at_13.51.58.jpeg" TargetMode="External"/><Relationship Id="rId2174" Type="http://schemas.openxmlformats.org/officeDocument/2006/relationships/hyperlink" Target="https://myiipea.com/media/etudiant/photo/WhatsApp_Image_2023-09-18_at_14.57.47.jpeg" TargetMode="External"/><Relationship Id="rId372" Type="http://schemas.openxmlformats.org/officeDocument/2006/relationships/hyperlink" Target="https://myiipea.com/media/etudiant/photo/WhatsApp_Image_2023-10-26_at_17.58.27_nCPIx9R.jpeg" TargetMode="External"/><Relationship Id="rId2175" Type="http://schemas.openxmlformats.org/officeDocument/2006/relationships/hyperlink" Target="https://myiipea.com/media/etudiant/photo/WhatsApp_Image_2023-10-11_at_2.54.09_PM.jpeg" TargetMode="External"/><Relationship Id="rId371" Type="http://schemas.openxmlformats.org/officeDocument/2006/relationships/hyperlink" Target="https://myiipea.com/media/etudiant/photo/WhatsApp_Image_2023-10-17_at_12.59.06.jpeg" TargetMode="External"/><Relationship Id="rId2176" Type="http://schemas.openxmlformats.org/officeDocument/2006/relationships/hyperlink" Target="https://myiipea.com/media/etudiant/photo/WhatsApp_Image_2023-11-20_at_10.49.58.jpeg" TargetMode="External"/><Relationship Id="rId378" Type="http://schemas.openxmlformats.org/officeDocument/2006/relationships/hyperlink" Target="https://myiipea.com/media/etudiant/photo/WhatsApp_Image_2023-09-28_at_16.05.56.jpeg" TargetMode="External"/><Relationship Id="rId2177" Type="http://schemas.openxmlformats.org/officeDocument/2006/relationships/hyperlink" Target="https://myiipea.com/media/etudiant/photo/WhatsApp_Image_2023-11-09_at_09.50.48.jpeg" TargetMode="External"/><Relationship Id="rId377" Type="http://schemas.openxmlformats.org/officeDocument/2006/relationships/hyperlink" Target="https://myiipea.com/media/etudiant/photo/WhatsApp_Image_2023-09-29_at_14.54.45.jpeg" TargetMode="External"/><Relationship Id="rId2178" Type="http://schemas.openxmlformats.org/officeDocument/2006/relationships/hyperlink" Target="https://myiipea.com/media/etudiant/photo/WhatsApp_Image_2023-10-13_at_16.49.10.jpeg" TargetMode="External"/><Relationship Id="rId376" Type="http://schemas.openxmlformats.org/officeDocument/2006/relationships/hyperlink" Target="https://myiipea.com/media/etudiant/photo/ALVIS.jpg" TargetMode="External"/><Relationship Id="rId2179" Type="http://schemas.openxmlformats.org/officeDocument/2006/relationships/hyperlink" Target="https://myiipea.com/media/etudiant/photo/WhatsApp_Image_2023-10-11_at_6.42.51_PM.jpeg" TargetMode="External"/><Relationship Id="rId375" Type="http://schemas.openxmlformats.org/officeDocument/2006/relationships/hyperlink" Target="https://myiipea.com/media/etudiant/photo/ATINGLI.jpg" TargetMode="External"/><Relationship Id="rId2190" Type="http://schemas.openxmlformats.org/officeDocument/2006/relationships/hyperlink" Target="https://myiipea.com/media/etudiant/photo/WhatsApp_Image_2023-10-02_at_5_resized.png" TargetMode="External"/><Relationship Id="rId2191" Type="http://schemas.openxmlformats.org/officeDocument/2006/relationships/hyperlink" Target="https://myiipea.com/media/etudiant/photo/WhatsApp_Image_2023-10-06_at_15.38.07.jpeg" TargetMode="External"/><Relationship Id="rId2192" Type="http://schemas.openxmlformats.org/officeDocument/2006/relationships/hyperlink" Target="https://myiipea.com/media/etudiant/photo/WhatsApp_Image_2023-09-26_%C3%A0_12.35.13.jpg" TargetMode="External"/><Relationship Id="rId2193" Type="http://schemas.openxmlformats.org/officeDocument/2006/relationships/hyperlink" Target="https://myiipea.com/media/etudiant/photo/WhatsApp_Image_2023-10-02_at_18_resized_Rk2cK1D.png" TargetMode="External"/><Relationship Id="rId2194" Type="http://schemas.openxmlformats.org/officeDocument/2006/relationships/hyperlink" Target="https://myiipea.com/media/etudiant/photo/WhatsApp_Image_2023-11-28_at_13.24.08.jpeg" TargetMode="External"/><Relationship Id="rId396" Type="http://schemas.openxmlformats.org/officeDocument/2006/relationships/hyperlink" Target="https://myiipea.com/media/etudiant/photo/WhatsApp_Image_2023-12-01_at_3_resized.png" TargetMode="External"/><Relationship Id="rId2195" Type="http://schemas.openxmlformats.org/officeDocument/2006/relationships/hyperlink" Target="https://myiipea.com/media/etudiant/photo/WhatsApp_Image_2023-10-12_at_08.46.32.jpeg" TargetMode="External"/><Relationship Id="rId395" Type="http://schemas.openxmlformats.org/officeDocument/2006/relationships/hyperlink" Target="https://myiipea.com/media/etudiant/photo/WhatsApp_Image_2023-10-27_at_10.15.59.jpeg" TargetMode="External"/><Relationship Id="rId2196" Type="http://schemas.openxmlformats.org/officeDocument/2006/relationships/hyperlink" Target="https://myiipea.com/media/etudiant/photo/WhatsApp_Image_2023-09-15_at_10.52.08.jpeg" TargetMode="External"/><Relationship Id="rId394" Type="http://schemas.openxmlformats.org/officeDocument/2006/relationships/hyperlink" Target="https://myiipea.com/media/etudiant/photo/WhatsApp_Image_2023-10-09_at_13.24.14.jpeg" TargetMode="External"/><Relationship Id="rId2197" Type="http://schemas.openxmlformats.org/officeDocument/2006/relationships/hyperlink" Target="https://myiipea.com/media/etudiant/photo/WhatsApp_Image_2023-10-02_at_08.25.16.jpeg" TargetMode="External"/><Relationship Id="rId393" Type="http://schemas.openxmlformats.org/officeDocument/2006/relationships/hyperlink" Target="https://myiipea.com/media/etudiant/photo/WhatsApp_Image_2023-10-25_at_09.43.41.jpeg" TargetMode="External"/><Relationship Id="rId2198" Type="http://schemas.openxmlformats.org/officeDocument/2006/relationships/hyperlink" Target="https://myiipea.com/media/etudiant/photo/WhatsApp_Image_2023-10-18_at_12.09.24.jpeg" TargetMode="External"/><Relationship Id="rId2199" Type="http://schemas.openxmlformats.org/officeDocument/2006/relationships/hyperlink" Target="https://myiipea.com/media/etudiant/photo/WhatsApp_Image_2023-10-02_at_14.12.51.jpeg" TargetMode="External"/><Relationship Id="rId399" Type="http://schemas.openxmlformats.org/officeDocument/2006/relationships/hyperlink" Target="https://myiipea.com/media/etudiant/photo/WhatsApp_Image_2023-10-18_at_12.46.18.jpeg" TargetMode="External"/><Relationship Id="rId398" Type="http://schemas.openxmlformats.org/officeDocument/2006/relationships/hyperlink" Target="https://myiipea.com/media/etudiant/photo/WhatsApp_Image_2023-11-22_at_11.08.41_AM.jpeg" TargetMode="External"/><Relationship Id="rId397" Type="http://schemas.openxmlformats.org/officeDocument/2006/relationships/hyperlink" Target="https://myiipea.com/media/etudiant/photo/WhatsApp_Image_2023-10-20_at_13.44.32.jpeg" TargetMode="External"/><Relationship Id="rId1730" Type="http://schemas.openxmlformats.org/officeDocument/2006/relationships/hyperlink" Target="https://myiipea.com/media/etudiant/photo/WhatsApp_Image_2023-10-13_at_11.45.53.jpeg" TargetMode="External"/><Relationship Id="rId1731" Type="http://schemas.openxmlformats.org/officeDocument/2006/relationships/hyperlink" Target="https://myiipea.com/media/etudiant/photo/IIPEA_FkdGVsl.jpg" TargetMode="External"/><Relationship Id="rId1732" Type="http://schemas.openxmlformats.org/officeDocument/2006/relationships/hyperlink" Target="https://myiipea.com/media/etudiant/photo/WhatsApp_Image_2023-10-13_at_18.03.34.jpeg" TargetMode="External"/><Relationship Id="rId1733" Type="http://schemas.openxmlformats.org/officeDocument/2006/relationships/hyperlink" Target="https://myiipea.com/media/etudiant/photo/WhatsApp_Image_2023-11-02_at_15.39.54.jpeg" TargetMode="External"/><Relationship Id="rId1734" Type="http://schemas.openxmlformats.org/officeDocument/2006/relationships/hyperlink" Target="https://myiipea.com/media/etudiant/photo/WhatsApp_Image_2023-10-31_at_13.34.50.jpeg" TargetMode="External"/><Relationship Id="rId1735" Type="http://schemas.openxmlformats.org/officeDocument/2006/relationships/hyperlink" Target="https://myiipea.com/media/etudiant/photo/WhatsApp_Image_2023-10-31_at_15.30.48.jpeg" TargetMode="External"/><Relationship Id="rId1736" Type="http://schemas.openxmlformats.org/officeDocument/2006/relationships/hyperlink" Target="https://myiipea.com/media/etudiant/photo/WhatsApp_Image_2023-10-03_at_15.32.23.jpeg" TargetMode="External"/><Relationship Id="rId1737" Type="http://schemas.openxmlformats.org/officeDocument/2006/relationships/hyperlink" Target="https://myiipea.com/media/etudiant/photo/WhatsApp_Image_2023-09-26_at_13.24.29.jpeg" TargetMode="External"/><Relationship Id="rId1738" Type="http://schemas.openxmlformats.org/officeDocument/2006/relationships/hyperlink" Target="https://myiipea.com/media/etudiant/photo/WhatsApp_Image_2023-10-17_at_12.01.42.jpeg" TargetMode="External"/><Relationship Id="rId1739" Type="http://schemas.openxmlformats.org/officeDocument/2006/relationships/hyperlink" Target="https://myiipea.com/media/etudiant/photo/WhatsApp_Image_2023-10-26_at_12.07.01_PM.jpeg" TargetMode="External"/><Relationship Id="rId1720" Type="http://schemas.openxmlformats.org/officeDocument/2006/relationships/hyperlink" Target="https://myiipea.com/media/etudiant/photo/WhatsApp_Image_2023-11-20_at_5.13.21_PM.jpeg" TargetMode="External"/><Relationship Id="rId1721" Type="http://schemas.openxmlformats.org/officeDocument/2006/relationships/hyperlink" Target="https://myiipea.com/media/etudiant/photo/WhatsApp_Image_2023-10-05_at_12.30.48.jpeg" TargetMode="External"/><Relationship Id="rId1722" Type="http://schemas.openxmlformats.org/officeDocument/2006/relationships/hyperlink" Target="https://myiipea.com/media/etudiant/photo/WhatsApp_Image_2023-10-24_at_11.44.43.jpeg" TargetMode="External"/><Relationship Id="rId1723" Type="http://schemas.openxmlformats.org/officeDocument/2006/relationships/hyperlink" Target="https://myiipea.com/media/etudiant/photo/WhatsApp_Image_2023-09-25_at_10.34.05.jpeg" TargetMode="External"/><Relationship Id="rId1724" Type="http://schemas.openxmlformats.org/officeDocument/2006/relationships/hyperlink" Target="https://myiipea.com/media/etudiant/photo/WhatsApp_Image_2023-09-29_at_12_resized.png" TargetMode="External"/><Relationship Id="rId1725" Type="http://schemas.openxmlformats.org/officeDocument/2006/relationships/hyperlink" Target="https://myiipea.com/media/etudiant/photo/WhatsApp_Image_2023-10-26_at_12.28.18_TZAXi4r.jpeg" TargetMode="External"/><Relationship Id="rId1726" Type="http://schemas.openxmlformats.org/officeDocument/2006/relationships/hyperlink" Target="https://myiipea.com/media/etudiant/photo/WhatsApp_Image_2023-10-13_at_10.54.19.jpeg" TargetMode="External"/><Relationship Id="rId1727" Type="http://schemas.openxmlformats.org/officeDocument/2006/relationships/hyperlink" Target="https://myiipea.com/media/etudiant/photo/t%C3%A9l%C3%A9chargement_rhoXsim.png" TargetMode="External"/><Relationship Id="rId1728" Type="http://schemas.openxmlformats.org/officeDocument/2006/relationships/hyperlink" Target="https://myiipea.com/media/etudiant/photo/WhatsApp_Image_2023-10-06_at_14_resized.png" TargetMode="External"/><Relationship Id="rId1729" Type="http://schemas.openxmlformats.org/officeDocument/2006/relationships/hyperlink" Target="https://myiipea.com/media/etudiant/photo/WhatsApp_Image_2023-10-11_at_4.42.35_PM.jpeg" TargetMode="External"/><Relationship Id="rId1752" Type="http://schemas.openxmlformats.org/officeDocument/2006/relationships/hyperlink" Target="https://myiipea.com/media/etudiant/photo/WhatsApp_Image_2023-10-13_at_10.38.13_AM.jpeg" TargetMode="External"/><Relationship Id="rId1753" Type="http://schemas.openxmlformats.org/officeDocument/2006/relationships/hyperlink" Target="https://myiipea.com/media/etudiant/photo/WhatsApp_Image_2023-10-18_at_5.14.33_PM.jpeg" TargetMode="External"/><Relationship Id="rId1754" Type="http://schemas.openxmlformats.org/officeDocument/2006/relationships/hyperlink" Target="https://myiipea.com/media/etudiant/photo/WhatsApp_Image_2023-10-02_at_08.38.45.jpeg" TargetMode="External"/><Relationship Id="rId1755" Type="http://schemas.openxmlformats.org/officeDocument/2006/relationships/hyperlink" Target="https://myiipea.com/media/etudiant/photo/WhatsApp_Image_2023-11-10_at_16.14.22.jpeg" TargetMode="External"/><Relationship Id="rId1756" Type="http://schemas.openxmlformats.org/officeDocument/2006/relationships/hyperlink" Target="https://myiipea.com/media/etudiant/photo/WhatsApp_Image_2023-10-13_at_7.46.25_PM.jpeg" TargetMode="External"/><Relationship Id="rId1757" Type="http://schemas.openxmlformats.org/officeDocument/2006/relationships/hyperlink" Target="https://myiipea.com/media/etudiant/photo/WhatsApp_Image_2023-11-13_at_12.54.04_PM.jpeg" TargetMode="External"/><Relationship Id="rId1758" Type="http://schemas.openxmlformats.org/officeDocument/2006/relationships/hyperlink" Target="https://myiipea.com/media/etudiant/photo/WhatsApp_Image_2023-11-13_at_11.53.03_1.jpeg" TargetMode="External"/><Relationship Id="rId1759" Type="http://schemas.openxmlformats.org/officeDocument/2006/relationships/hyperlink" Target="https://myiipea.com/media/etudiant/photo/WhatsApp_Image_2023-10-12_at_12.57.04_PM.jpeg" TargetMode="External"/><Relationship Id="rId1750" Type="http://schemas.openxmlformats.org/officeDocument/2006/relationships/hyperlink" Target="https://myiipea.com/media/etudiant/photo/WhatsApp_Image_2023-10-23_at_3.01.19_PM.jpeg" TargetMode="External"/><Relationship Id="rId1751" Type="http://schemas.openxmlformats.org/officeDocument/2006/relationships/hyperlink" Target="https://myiipea.com/media/etudiant/photo/WhatsApp_Image_2023-10-16_at_16.27.52.jpeg" TargetMode="External"/><Relationship Id="rId1741" Type="http://schemas.openxmlformats.org/officeDocument/2006/relationships/hyperlink" Target="https://myiipea.com/media/etudiant/photo/WhatsApp_Image_2023-10-18_at_15.56.11.jpeg" TargetMode="External"/><Relationship Id="rId1742" Type="http://schemas.openxmlformats.org/officeDocument/2006/relationships/hyperlink" Target="https://myiipea.com/media/etudiant/photo/WhatsApp_Image_2023-09-28_at_13.30.08.jpeg" TargetMode="External"/><Relationship Id="rId1743" Type="http://schemas.openxmlformats.org/officeDocument/2006/relationships/hyperlink" Target="https://myiipea.com/media/etudiant/photo/WhatsApp_Image_2023-11-27_at_11.21.22.jpeg" TargetMode="External"/><Relationship Id="rId1744" Type="http://schemas.openxmlformats.org/officeDocument/2006/relationships/hyperlink" Target="https://myiipea.com/media/etudiant/photo/WhatsApp_Image_2023-11-22_at_11.52.15.jpeg" TargetMode="External"/><Relationship Id="rId1745" Type="http://schemas.openxmlformats.org/officeDocument/2006/relationships/hyperlink" Target="https://myiipea.com/media/etudiant/photo/WhatsApp_Image_2023-11-22_at_1.29.09_PM.jpeg" TargetMode="External"/><Relationship Id="rId1746" Type="http://schemas.openxmlformats.org/officeDocument/2006/relationships/hyperlink" Target="https://myiipea.com/media/etudiant/photo/WhatsApp_Image_2023-11-14_at_2.07.06_PM.jpeg" TargetMode="External"/><Relationship Id="rId1747" Type="http://schemas.openxmlformats.org/officeDocument/2006/relationships/hyperlink" Target="https://myiipea.com/media/etudiant/photo/WhatsApp_Image_2023-09-29_at_13.54.18.jpeg" TargetMode="External"/><Relationship Id="rId1748" Type="http://schemas.openxmlformats.org/officeDocument/2006/relationships/hyperlink" Target="https://myiipea.com/media/etudiant/photo/bd8bbe0f-93e8-4184-971a-068b9369a432-removebg-preview.png" TargetMode="External"/><Relationship Id="rId1749" Type="http://schemas.openxmlformats.org/officeDocument/2006/relationships/hyperlink" Target="https://myiipea.com/media/etudiant/photo/C0C7CFDD-62D0-46CE-845C-227823A1D9DC_resized.png" TargetMode="External"/><Relationship Id="rId1740" Type="http://schemas.openxmlformats.org/officeDocument/2006/relationships/hyperlink" Target="https://myiipea.com/media/etudiant/photo/WhatsApp_Image_2023-10-30_at_11.56.14.jpeg" TargetMode="External"/><Relationship Id="rId1710" Type="http://schemas.openxmlformats.org/officeDocument/2006/relationships/hyperlink" Target="https://myiipea.com/media/etudiant/photo/WhatsApp_Image_2023-10-05_at_09.04.04.jpeg" TargetMode="External"/><Relationship Id="rId1711" Type="http://schemas.openxmlformats.org/officeDocument/2006/relationships/hyperlink" Target="https://myiipea.com/media/etudiant/photo/WhatsApp_Image_2023-11-23_at_12.04.41_PM.jpeg" TargetMode="External"/><Relationship Id="rId1712" Type="http://schemas.openxmlformats.org/officeDocument/2006/relationships/hyperlink" Target="https://myiipea.com/media/etudiant/photo/239422487_405915444207421_8131329350063382999_n.jpg" TargetMode="External"/><Relationship Id="rId1713" Type="http://schemas.openxmlformats.org/officeDocument/2006/relationships/hyperlink" Target="https://myiipea.com/media/etudiant/photo/WhatsApp_Image_2023-10-11_at_2.41.43_PM.jpeg" TargetMode="External"/><Relationship Id="rId1714" Type="http://schemas.openxmlformats.org/officeDocument/2006/relationships/hyperlink" Target="https://myiipea.com/media/etudiant/photo/KOBENAN.jpg" TargetMode="External"/><Relationship Id="rId1715" Type="http://schemas.openxmlformats.org/officeDocument/2006/relationships/hyperlink" Target="https://myiipea.com/media/etudiant/photo/WhatsApp_Image_2023-10-12_at_13.59.49.jpeg" TargetMode="External"/><Relationship Id="rId1716" Type="http://schemas.openxmlformats.org/officeDocument/2006/relationships/hyperlink" Target="https://myiipea.com/media/etudiant/photo/WhatsApp_Image_2023-10-25_at_13.12.21.jpeg" TargetMode="External"/><Relationship Id="rId1717" Type="http://schemas.openxmlformats.org/officeDocument/2006/relationships/hyperlink" Target="https://myiipea.com/media/etudiant/photo/WhatsApp_Image_2023-10-05_at_10.35.56.jpeg" TargetMode="External"/><Relationship Id="rId1718" Type="http://schemas.openxmlformats.org/officeDocument/2006/relationships/hyperlink" Target="https://myiipea.com/media/etudiant/photo/WhatsApp_Image_2023-09-28_at_09.03.05.jpeg" TargetMode="External"/><Relationship Id="rId1719" Type="http://schemas.openxmlformats.org/officeDocument/2006/relationships/hyperlink" Target="https://myiipea.com/media/etudiant/photo/WhatsApp_Image_2023-11-09_at_4.46.48_PM_hM0IeJv.jpeg" TargetMode="External"/><Relationship Id="rId1700" Type="http://schemas.openxmlformats.org/officeDocument/2006/relationships/hyperlink" Target="https://myiipea.com/media/etudiant/photo/WhatsApp_Image_2023-09-28_at_09.52.48.jpeg" TargetMode="External"/><Relationship Id="rId1701" Type="http://schemas.openxmlformats.org/officeDocument/2006/relationships/hyperlink" Target="https://myiipea.com/media/etudiant/photo/WhatsApp_Image_2023-11-02_at_11.09.19_AM.jpeg" TargetMode="External"/><Relationship Id="rId1702" Type="http://schemas.openxmlformats.org/officeDocument/2006/relationships/hyperlink" Target="https://myiipea.com/media/etudiant/photo/WhatsApp_Image_2023-10-03_at_11.59.51.jpeg" TargetMode="External"/><Relationship Id="rId1703" Type="http://schemas.openxmlformats.org/officeDocument/2006/relationships/hyperlink" Target="https://myiipea.com/media/etudiant/photo/WhatsApp_Image_2023-10-12_at_09.49.19.jpeg" TargetMode="External"/><Relationship Id="rId1704" Type="http://schemas.openxmlformats.org/officeDocument/2006/relationships/hyperlink" Target="https://myiipea.com/media/etudiant/photo/WhatsApp_Image_2023-10-30_at_16.26.21.jpeg" TargetMode="External"/><Relationship Id="rId1705" Type="http://schemas.openxmlformats.org/officeDocument/2006/relationships/hyperlink" Target="https://myiipea.com/media/etudiant/photo/WhatsApp_Image_2023-10-11_at_11.14.48.jpeg" TargetMode="External"/><Relationship Id="rId1706" Type="http://schemas.openxmlformats.org/officeDocument/2006/relationships/hyperlink" Target="https://myiipea.com/media/etudiant/photo/WhatsApp_Image_2023-10-04_at_11.15.39.jpeg" TargetMode="External"/><Relationship Id="rId1707" Type="http://schemas.openxmlformats.org/officeDocument/2006/relationships/hyperlink" Target="https://myiipea.com/media/etudiant/photo/WhatsApp_Image_2023-09-28_at_16.58.19.jpeg" TargetMode="External"/><Relationship Id="rId1708" Type="http://schemas.openxmlformats.org/officeDocument/2006/relationships/hyperlink" Target="https://myiipea.com/media/etudiant/photo/WhatsApp_Image_2023-10-10_at_08.58.03.jpeg" TargetMode="External"/><Relationship Id="rId1709" Type="http://schemas.openxmlformats.org/officeDocument/2006/relationships/hyperlink" Target="https://myiipea.com/media/etudiant/photo/DRAMANE.jpg" TargetMode="External"/><Relationship Id="rId40" Type="http://schemas.openxmlformats.org/officeDocument/2006/relationships/hyperlink" Target="https://myiipea.com/media/etudiant/photo/WhatsApp_Image_2023-09-26_at_10.38.37.jpeg" TargetMode="External"/><Relationship Id="rId3513" Type="http://schemas.openxmlformats.org/officeDocument/2006/relationships/hyperlink" Target="https://myiipea.com/media/etudiant/photo/WhatsApp_Image_2023-11-06_at_11.48.18.jpeg" TargetMode="External"/><Relationship Id="rId3512" Type="http://schemas.openxmlformats.org/officeDocument/2006/relationships/hyperlink" Target="https://myiipea.com/media/etudiant/photo/WhatsApp_Image_2023-10-06_at_10.20.56.jpeg" TargetMode="External"/><Relationship Id="rId42" Type="http://schemas.openxmlformats.org/officeDocument/2006/relationships/hyperlink" Target="https://myiipea.com/media/etudiant/photo/WhatsApp_Image_2023-10-13_at_14.47.39.jpeg" TargetMode="External"/><Relationship Id="rId3515" Type="http://schemas.openxmlformats.org/officeDocument/2006/relationships/hyperlink" Target="https://myiipea.com/media/etudiant/photo/ANNA.png" TargetMode="External"/><Relationship Id="rId41" Type="http://schemas.openxmlformats.org/officeDocument/2006/relationships/hyperlink" Target="https://myiipea.com/media/etudiant/photo/WhatsApp_Image_2023-10-05_at_18.23.16.jpeg" TargetMode="External"/><Relationship Id="rId3514" Type="http://schemas.openxmlformats.org/officeDocument/2006/relationships/hyperlink" Target="https://myiipea.com/media/etudiant/photo/WhatsApp_Image_2023-11-14_at_12.51.52.jpeg" TargetMode="External"/><Relationship Id="rId44" Type="http://schemas.openxmlformats.org/officeDocument/2006/relationships/hyperlink" Target="https://myiipea.com/media/etudiant/photo/WhatsApp_Image_2023-10-10_at_12.31.47.jpeg" TargetMode="External"/><Relationship Id="rId3517" Type="http://schemas.openxmlformats.org/officeDocument/2006/relationships/hyperlink" Target="https://myiipea.com/media/etudiant/photo/WhatsApp_Image_2023-10-09_at_14.24.28.jpeg" TargetMode="External"/><Relationship Id="rId43" Type="http://schemas.openxmlformats.org/officeDocument/2006/relationships/hyperlink" Target="https://myiipea.com/media/etudiant/photo/WhatsApp_Image_2023-10-17_at_12.33.12_PM.jpeg" TargetMode="External"/><Relationship Id="rId3516" Type="http://schemas.openxmlformats.org/officeDocument/2006/relationships/hyperlink" Target="https://myiipea.com/media/etudiant/photo/WhatsApp_Image_2023-10-20_at_1.40.08_PM.jpeg" TargetMode="External"/><Relationship Id="rId46" Type="http://schemas.openxmlformats.org/officeDocument/2006/relationships/hyperlink" Target="https://myiipea.com/media/etudiant/photo/WhatsApp_Image_2023-11-03_at_17.51.12.jpeg" TargetMode="External"/><Relationship Id="rId3519" Type="http://schemas.openxmlformats.org/officeDocument/2006/relationships/hyperlink" Target="https://myiipea.com/media/etudiant/photo/WhatsApp_Image_2023-10-04_at_13.15.50.jpeg" TargetMode="External"/><Relationship Id="rId45" Type="http://schemas.openxmlformats.org/officeDocument/2006/relationships/hyperlink" Target="https://myiipea.com/media/etudiant/photo/WhatsApp_Image_2023-11-13_at_15.41.57.jpeg" TargetMode="External"/><Relationship Id="rId3518" Type="http://schemas.openxmlformats.org/officeDocument/2006/relationships/hyperlink" Target="https://myiipea.com/media/etudiant/photo/WhatsApp_Image_2023-09-28_at_16.00.33.jpeg" TargetMode="External"/><Relationship Id="rId48" Type="http://schemas.openxmlformats.org/officeDocument/2006/relationships/hyperlink" Target="https://myiipea.com/media/etudiant/photo/WhatsApp_Image_2023-10-06_at_10.25.31.jpeg" TargetMode="External"/><Relationship Id="rId47" Type="http://schemas.openxmlformats.org/officeDocument/2006/relationships/hyperlink" Target="https://myiipea.com/media/etudiant/photo/WhatsApp_Image_2023-10-04_at_17_resized.png" TargetMode="External"/><Relationship Id="rId49" Type="http://schemas.openxmlformats.org/officeDocument/2006/relationships/hyperlink" Target="https://myiipea.com/media/etudiant/photo/WhatsApp_Image_2023-10-17_at_12.32.54_PM.jpeg" TargetMode="External"/><Relationship Id="rId3511" Type="http://schemas.openxmlformats.org/officeDocument/2006/relationships/hyperlink" Target="https://myiipea.com/media/etudiant/photo/WhatsApp_Image_2023-10-25_at_17.03.29_1.jpeg" TargetMode="External"/><Relationship Id="rId3510" Type="http://schemas.openxmlformats.org/officeDocument/2006/relationships/hyperlink" Target="https://myiipea.com/media/etudiant/photo/WhatsApp_Image_2023-11-16_at_13.38.15.jpeg" TargetMode="External"/><Relationship Id="rId3502" Type="http://schemas.openxmlformats.org/officeDocument/2006/relationships/hyperlink" Target="https://myiipea.com/media/etudiant/photo/WhatsApp_Image_2023-10-16_at_12.23.40.jpeg" TargetMode="External"/><Relationship Id="rId3501" Type="http://schemas.openxmlformats.org/officeDocument/2006/relationships/hyperlink" Target="https://myiipea.com/media/etudiant/photo/WhatsApp_Image_2023-10-04_at_15_resized.png" TargetMode="External"/><Relationship Id="rId31" Type="http://schemas.openxmlformats.org/officeDocument/2006/relationships/hyperlink" Target="https://myiipea.com/media/etudiant/photo/WhatsApp_Image_2023-11-24_at_11.05.08.jpeg" TargetMode="External"/><Relationship Id="rId3504" Type="http://schemas.openxmlformats.org/officeDocument/2006/relationships/hyperlink" Target="https://myiipea.com/media/etudiant/photo/IMG-20231204-WA0003_resized.png" TargetMode="External"/><Relationship Id="rId30" Type="http://schemas.openxmlformats.org/officeDocument/2006/relationships/hyperlink" Target="https://myiipea.com/media/etudiant/photo/WhatsApp_Image_2023-10-05_at_12.04.46.jpeg" TargetMode="External"/><Relationship Id="rId3503" Type="http://schemas.openxmlformats.org/officeDocument/2006/relationships/hyperlink" Target="https://myiipea.com/media/etudiant/photo/WhatsApp_Image_2023-09-19_at_11.57.29.jpeg" TargetMode="External"/><Relationship Id="rId33" Type="http://schemas.openxmlformats.org/officeDocument/2006/relationships/hyperlink" Target="https://myiipea.com/media/etudiant/photo/WhatsApp_Image_2023-11-20_at_5.13.34_PM.jpeg" TargetMode="External"/><Relationship Id="rId3506" Type="http://schemas.openxmlformats.org/officeDocument/2006/relationships/hyperlink" Target="https://myiipea.com/media/etudiant/photo/WhatsApp_Image_2023-10-09_at_11.40.14.jpeg" TargetMode="External"/><Relationship Id="rId32" Type="http://schemas.openxmlformats.org/officeDocument/2006/relationships/hyperlink" Target="https://myiipea.com/media/etudiant/photo/WhatsApp_Image_2023-09-22_at_14.47.44.jpeg" TargetMode="External"/><Relationship Id="rId3505" Type="http://schemas.openxmlformats.org/officeDocument/2006/relationships/hyperlink" Target="https://myiipea.com/media/etudiant/photo/unnamed-2_7GOeT8z.png" TargetMode="External"/><Relationship Id="rId35" Type="http://schemas.openxmlformats.org/officeDocument/2006/relationships/hyperlink" Target="https://myiipea.com/media/etudiant/photo/WhatsApp_Image_2023-09-29_at_08.45.55.jpeg" TargetMode="External"/><Relationship Id="rId3508" Type="http://schemas.openxmlformats.org/officeDocument/2006/relationships/hyperlink" Target="https://myiipea.com/media/etudiant/photo/WhatsApp_Image_2023-10-23_at_5.53.43_PM.jpeg" TargetMode="External"/><Relationship Id="rId34" Type="http://schemas.openxmlformats.org/officeDocument/2006/relationships/hyperlink" Target="https://myiipea.com/media/etudiant/photo/WhatsApp_Image_2023-10-04_at_15.21.44.jpeg" TargetMode="External"/><Relationship Id="rId3507" Type="http://schemas.openxmlformats.org/officeDocument/2006/relationships/hyperlink" Target="https://myiipea.com/media/etudiant/photo/WhatsApp_Image_2023-10-24_at_12.55.05.jpeg" TargetMode="External"/><Relationship Id="rId3509" Type="http://schemas.openxmlformats.org/officeDocument/2006/relationships/hyperlink" Target="https://myiipea.com/media/etudiant/photo/WhatsApp_Image_2023-10-27_at_13.07.49.jpeg" TargetMode="External"/><Relationship Id="rId37" Type="http://schemas.openxmlformats.org/officeDocument/2006/relationships/hyperlink" Target="https://myiipea.com/media/etudiant/photo/WhatsApp_Image_2023-10-16_at_11.31.05_o0jAiRQ.jpeg" TargetMode="External"/><Relationship Id="rId36" Type="http://schemas.openxmlformats.org/officeDocument/2006/relationships/hyperlink" Target="https://myiipea.com/media/etudiant/photo/WhatsApp_Image_2023-09-18_at_16.47.25.jpeg" TargetMode="External"/><Relationship Id="rId39" Type="http://schemas.openxmlformats.org/officeDocument/2006/relationships/hyperlink" Target="https://myiipea.com/media/etudiant/photo/WhatsApp_Image_2023-11-22_at_11.40.45.jpeg" TargetMode="External"/><Relationship Id="rId38" Type="http://schemas.openxmlformats.org/officeDocument/2006/relationships/hyperlink" Target="https://myiipea.com/media/etudiant/photo/WhatsApp_Image_2023-11-27_at_1.23.41_PM.jpeg" TargetMode="External"/><Relationship Id="rId3500" Type="http://schemas.openxmlformats.org/officeDocument/2006/relationships/hyperlink" Target="https://myiipea.com/media/etudiant/photo/WhatsApp_Image_2023-10-11_at_12.01.19_PM.jpeg" TargetMode="External"/><Relationship Id="rId2203" Type="http://schemas.openxmlformats.org/officeDocument/2006/relationships/hyperlink" Target="https://myiipea.com/media/etudiant/photo/WhatsApp_Image_2023-10-11_at_09.08.15.jpeg" TargetMode="External"/><Relationship Id="rId3535" Type="http://schemas.openxmlformats.org/officeDocument/2006/relationships/hyperlink" Target="https://myiipea.com/media/etudiant/photo/WhatsApp_Image_2023-10-18_at_10.44.55.jpeg" TargetMode="External"/><Relationship Id="rId2204" Type="http://schemas.openxmlformats.org/officeDocument/2006/relationships/hyperlink" Target="https://myiipea.com/media/etudiant/photo/AHEKPA.jpg" TargetMode="External"/><Relationship Id="rId3534" Type="http://schemas.openxmlformats.org/officeDocument/2006/relationships/hyperlink" Target="https://myiipea.com/media/etudiant/photo/WhatsApp_Image_2023-10-27_at_15.55.52.jpeg" TargetMode="External"/><Relationship Id="rId20" Type="http://schemas.openxmlformats.org/officeDocument/2006/relationships/hyperlink" Target="https://myiipea.com/media/etudiant/photo/WhatsApp_Image_2023-10-14_at_08.40.13.jpeg" TargetMode="External"/><Relationship Id="rId2205" Type="http://schemas.openxmlformats.org/officeDocument/2006/relationships/hyperlink" Target="https://myiipea.com/media/etudiant/photo/WhatsApp_Image_2023-10-23_at_12.52.36.jpeg" TargetMode="External"/><Relationship Id="rId3537" Type="http://schemas.openxmlformats.org/officeDocument/2006/relationships/hyperlink" Target="https://myiipea.com/media/etudiant/photo/WhatsApp_Image_2023-10-25_at_12.08.57.jpeg" TargetMode="External"/><Relationship Id="rId2206" Type="http://schemas.openxmlformats.org/officeDocument/2006/relationships/hyperlink" Target="https://myiipea.com/media/etudiant/photo/WhatsApp_Image_2023-11-03_at_16.30.06.jpeg" TargetMode="External"/><Relationship Id="rId3536" Type="http://schemas.openxmlformats.org/officeDocument/2006/relationships/hyperlink" Target="https://myiipea.com/media/etudiant/photo/WhatsApp_Image_2023-11-20_at_16.29.35.jpeg" TargetMode="External"/><Relationship Id="rId22" Type="http://schemas.openxmlformats.org/officeDocument/2006/relationships/hyperlink" Target="https://myiipea.com/media/etudiant/photo/WhatsApp_Image_2023-10-10_at_13.37.10.jpeg" TargetMode="External"/><Relationship Id="rId2207" Type="http://schemas.openxmlformats.org/officeDocument/2006/relationships/hyperlink" Target="https://myiipea.com/media/etudiant/photo/WhatsApp_Image_2023-10-02_at_18.40.35.jpeg" TargetMode="External"/><Relationship Id="rId3539" Type="http://schemas.openxmlformats.org/officeDocument/2006/relationships/hyperlink" Target="https://myiipea.com/media/etudiant/photo/WhatsApp_Image_2023-10-12_at_10.39.28.jpeg" TargetMode="External"/><Relationship Id="rId21" Type="http://schemas.openxmlformats.org/officeDocument/2006/relationships/hyperlink" Target="https://myiipea.com/media/etudiant/photo/WhatsApp_Image_2023-10-03_at_11.14.56_AM_24ovwow.jpeg" TargetMode="External"/><Relationship Id="rId2208" Type="http://schemas.openxmlformats.org/officeDocument/2006/relationships/hyperlink" Target="https://myiipea.com/media/etudiant/photo/WhatsApp_Image_2023-10-13_at_19_resized.png" TargetMode="External"/><Relationship Id="rId3538" Type="http://schemas.openxmlformats.org/officeDocument/2006/relationships/hyperlink" Target="https://myiipea.com/media/etudiant/photo/WhatsApp_Image_2023-10-30_at_12.57.18.jpeg" TargetMode="External"/><Relationship Id="rId24" Type="http://schemas.openxmlformats.org/officeDocument/2006/relationships/hyperlink" Target="https://myiipea.com/media/etudiant/photo/WhatsApp_Image_2023-09-26_at_11.03.23.jpeg" TargetMode="External"/><Relationship Id="rId2209" Type="http://schemas.openxmlformats.org/officeDocument/2006/relationships/hyperlink" Target="https://myiipea.com/media/etudiant/photo/WhatsApp_Image_2023-10-06_at_12_resized.png" TargetMode="External"/><Relationship Id="rId23" Type="http://schemas.openxmlformats.org/officeDocument/2006/relationships/hyperlink" Target="https://myiipea.com/media/etudiant/photo/WhatsApp_Image_2023-10-06_at_10.47.33.jpeg" TargetMode="External"/><Relationship Id="rId26" Type="http://schemas.openxmlformats.org/officeDocument/2006/relationships/hyperlink" Target="https://myiipea.com/media/etudiant/photo/WhatsApp_Image_2023-10-16_at_15.30.12.jpeg" TargetMode="External"/><Relationship Id="rId25" Type="http://schemas.openxmlformats.org/officeDocument/2006/relationships/hyperlink" Target="https://myiipea.com/media/etudiant/photo/WhatsApp_Image_2023-10-03_at_15.17.59.jpeg" TargetMode="External"/><Relationship Id="rId28" Type="http://schemas.openxmlformats.org/officeDocument/2006/relationships/hyperlink" Target="https://myiipea.com/media/etudiant/photo/WhatsApp_Image_2023-10-24_at_09.44.22.jpeg" TargetMode="External"/><Relationship Id="rId27" Type="http://schemas.openxmlformats.org/officeDocument/2006/relationships/hyperlink" Target="https://myiipea.com/media/etudiant/photo/WhatsApp_Image_2023-11-10_at_09.59.50.jpeg" TargetMode="External"/><Relationship Id="rId3531" Type="http://schemas.openxmlformats.org/officeDocument/2006/relationships/hyperlink" Target="https://myiipea.com/media/etudiant/photo/WhatsApp_Image_2023-10-13_at_14.46.42.jpeg" TargetMode="External"/><Relationship Id="rId29" Type="http://schemas.openxmlformats.org/officeDocument/2006/relationships/hyperlink" Target="https://myiipea.com/media/etudiant/photo/WhatsApp_Image_2023-10-05_at_11.38.37_AM.jpeg" TargetMode="External"/><Relationship Id="rId2200" Type="http://schemas.openxmlformats.org/officeDocument/2006/relationships/hyperlink" Target="https://myiipea.com/media/etudiant/photo/WhatsApp_Image_2023-09-19_at_11.49.00.jpeg" TargetMode="External"/><Relationship Id="rId3530" Type="http://schemas.openxmlformats.org/officeDocument/2006/relationships/hyperlink" Target="https://myiipea.com/media/etudiant/photo/WhatsApp_Image_2023-09-22_at_12.59.13.jpeg" TargetMode="External"/><Relationship Id="rId2201" Type="http://schemas.openxmlformats.org/officeDocument/2006/relationships/hyperlink" Target="https://myiipea.com/media/etudiant/photo/WhatsApp_Image_2023-10-02_at_10.41.01.jpeg" TargetMode="External"/><Relationship Id="rId3533" Type="http://schemas.openxmlformats.org/officeDocument/2006/relationships/hyperlink" Target="https://myiipea.com/media/etudiant/photo/ESTHER.jpg" TargetMode="External"/><Relationship Id="rId2202" Type="http://schemas.openxmlformats.org/officeDocument/2006/relationships/hyperlink" Target="https://myiipea.com/media/etudiant/photo/WhatsApp_Image_2023-11-13_at_2.48.51_PM.jpeg" TargetMode="External"/><Relationship Id="rId3532" Type="http://schemas.openxmlformats.org/officeDocument/2006/relationships/hyperlink" Target="https://myiipea.com/media/etudiant/photo/WhatsApp_Image_2023-09-19_at_12.29.14.jpeg" TargetMode="External"/><Relationship Id="rId3524" Type="http://schemas.openxmlformats.org/officeDocument/2006/relationships/hyperlink" Target="https://myiipea.com/media/etudiant/photo/IIPEA_inhGSIt.png" TargetMode="External"/><Relationship Id="rId3523" Type="http://schemas.openxmlformats.org/officeDocument/2006/relationships/hyperlink" Target="https://myiipea.com/media/etudiant/photo/WhatsApp_Image_2023-09-28_at_13.41.32.jpeg" TargetMode="External"/><Relationship Id="rId3526" Type="http://schemas.openxmlformats.org/officeDocument/2006/relationships/hyperlink" Target="https://myiipea.com/media/etudiant/photo/WhatsApp_Image_2023-10-26_at_12.52.07.jpeg" TargetMode="External"/><Relationship Id="rId3525" Type="http://schemas.openxmlformats.org/officeDocument/2006/relationships/hyperlink" Target="https://myiipea.com/media/etudiant/photo/IIPEA_dGXm8NG.jpg" TargetMode="External"/><Relationship Id="rId11" Type="http://schemas.openxmlformats.org/officeDocument/2006/relationships/hyperlink" Target="https://myiipea.com/media/etudiant/photo/WhatsApp_Image_2023-11-07_at_09.28.19.jpeg" TargetMode="External"/><Relationship Id="rId3528" Type="http://schemas.openxmlformats.org/officeDocument/2006/relationships/hyperlink" Target="https://myiipea.com/media/etudiant/photo/WhatsApp_Image_2023-10-25_at_11.19.51.jpeg" TargetMode="External"/><Relationship Id="rId10" Type="http://schemas.openxmlformats.org/officeDocument/2006/relationships/hyperlink" Target="https://myiipea.com/media/etudiant/photo/WhatsApp_Image_2023-09-22_at_11.59.32.jpeg" TargetMode="External"/><Relationship Id="rId3527" Type="http://schemas.openxmlformats.org/officeDocument/2006/relationships/hyperlink" Target="https://myiipea.com/media/etudiant/photo/WhatsApp_Image_2023-11-08_at_11.54.04.jpeg" TargetMode="External"/><Relationship Id="rId13" Type="http://schemas.openxmlformats.org/officeDocument/2006/relationships/hyperlink" Target="https://myiipea.com/media/etudiant/photo/WhatsApp_Image_2023-09-28_at_18.37.48.jpeg" TargetMode="External"/><Relationship Id="rId12" Type="http://schemas.openxmlformats.org/officeDocument/2006/relationships/hyperlink" Target="https://myiipea.com/media/etudiant/photo/WhatsApp_Image_2023-10-06_at_13.10.52.jpeg" TargetMode="External"/><Relationship Id="rId3529" Type="http://schemas.openxmlformats.org/officeDocument/2006/relationships/hyperlink" Target="https://myiipea.com/media/etudiant/photo/IIPEA_diZxJM5.jpg" TargetMode="External"/><Relationship Id="rId15" Type="http://schemas.openxmlformats.org/officeDocument/2006/relationships/hyperlink" Target="https://myiipea.com/media/etudiant/photo/WhatsApp_Image_2023-09-28_at_17.39.58.jpeg" TargetMode="External"/><Relationship Id="rId14" Type="http://schemas.openxmlformats.org/officeDocument/2006/relationships/hyperlink" Target="https://myiipea.com/media/etudiant/photo/WhatsApp_Image_2023-11-17_at_3.08.59_PM.jpeg" TargetMode="External"/><Relationship Id="rId17" Type="http://schemas.openxmlformats.org/officeDocument/2006/relationships/hyperlink" Target="https://myiipea.com/media/etudiant/photo/WhatsApp_Image_2023-10-19_at_17.12.14.jpeg" TargetMode="External"/><Relationship Id="rId16" Type="http://schemas.openxmlformats.org/officeDocument/2006/relationships/hyperlink" Target="https://myiipea.com/media/etudiant/photo/WhatsApp_Image_2023-11-06_at_17.59.10.jpeg" TargetMode="External"/><Relationship Id="rId19" Type="http://schemas.openxmlformats.org/officeDocument/2006/relationships/hyperlink" Target="https://myiipea.com/media/etudiant/photo/WhatsApp_Image_2023-10-23_at_16.30.41_1.jpeg" TargetMode="External"/><Relationship Id="rId3520" Type="http://schemas.openxmlformats.org/officeDocument/2006/relationships/hyperlink" Target="https://myiipea.com/media/etudiant/photo/WhatsApp_Image_2023-10-20_at_6.04.57_PM.jpeg" TargetMode="External"/><Relationship Id="rId18" Type="http://schemas.openxmlformats.org/officeDocument/2006/relationships/hyperlink" Target="https://myiipea.com/media/etudiant/photo/WhatsApp_Image_2023-09-20_at_11.57.33.jpeg" TargetMode="External"/><Relationship Id="rId3522" Type="http://schemas.openxmlformats.org/officeDocument/2006/relationships/hyperlink" Target="https://myiipea.com/media/etudiant/photo/WhatsApp_Image_2023-10-05_at_15.08.17.jpeg" TargetMode="External"/><Relationship Id="rId3521" Type="http://schemas.openxmlformats.org/officeDocument/2006/relationships/hyperlink" Target="https://myiipea.com/media/etudiant/photo/WhatsApp_Image_2023-10-03_at_16.17.02_1.jpeg" TargetMode="External"/><Relationship Id="rId84" Type="http://schemas.openxmlformats.org/officeDocument/2006/relationships/hyperlink" Target="https://myiipea.com/media/etudiant/photo/WhatsApp_Image_2023-10-06_at_11_resized_IC2UajY.png" TargetMode="External"/><Relationship Id="rId1774" Type="http://schemas.openxmlformats.org/officeDocument/2006/relationships/hyperlink" Target="https://myiipea.com/media/etudiant/photo/WhatsApp_Image_2023-10-20_at_2.30.02_PM.jpeg" TargetMode="External"/><Relationship Id="rId83" Type="http://schemas.openxmlformats.org/officeDocument/2006/relationships/hyperlink" Target="https://myiipea.com/media/etudiant/photo/WhatsApp_Image_2023-10-17_at_13.33.58.jpeg" TargetMode="External"/><Relationship Id="rId1775" Type="http://schemas.openxmlformats.org/officeDocument/2006/relationships/hyperlink" Target="https://myiipea.com/media/etudiant/photo/WhatsApp_Image_2023-10-19_at_15.08.43.jpeg" TargetMode="External"/><Relationship Id="rId86" Type="http://schemas.openxmlformats.org/officeDocument/2006/relationships/hyperlink" Target="https://myiipea.com/media/etudiant/photo/photo_IFcGTK8.jpg" TargetMode="External"/><Relationship Id="rId1776" Type="http://schemas.openxmlformats.org/officeDocument/2006/relationships/hyperlink" Target="https://myiipea.com/media/etudiant/photo/WhatsApp_Image_2023-10-21_at_11.20.18.jpeg" TargetMode="External"/><Relationship Id="rId85" Type="http://schemas.openxmlformats.org/officeDocument/2006/relationships/hyperlink" Target="https://myiipea.com/media/etudiant/photo/WhatsApp_Image_2023-09-15_at_08.52.01.jpeg" TargetMode="External"/><Relationship Id="rId1777" Type="http://schemas.openxmlformats.org/officeDocument/2006/relationships/hyperlink" Target="https://myiipea.com/media/etudiant/photo/WhatsApp_Image_2023-10-19_at_19.32.37.jpeg" TargetMode="External"/><Relationship Id="rId88" Type="http://schemas.openxmlformats.org/officeDocument/2006/relationships/hyperlink" Target="https://myiipea.com/media/etudiant/photo/WhatsApp_Image_2023-10-16_at_11.11.00.jpeg" TargetMode="External"/><Relationship Id="rId1778" Type="http://schemas.openxmlformats.org/officeDocument/2006/relationships/hyperlink" Target="https://myiipea.com/media/etudiant/photo/WhatsApp_Image_2023-10-04_at_10.16.14.jpeg" TargetMode="External"/><Relationship Id="rId87" Type="http://schemas.openxmlformats.org/officeDocument/2006/relationships/hyperlink" Target="https://myiipea.com/media/etudiant/photo/WhatsApp_Image_2023-10-09_at_1.01.53_PM.jpeg" TargetMode="External"/><Relationship Id="rId1779" Type="http://schemas.openxmlformats.org/officeDocument/2006/relationships/hyperlink" Target="https://myiipea.com/media/etudiant/photo/WhatsApp_Image_2023-10-09_at_15.21.39.jpeg" TargetMode="External"/><Relationship Id="rId89" Type="http://schemas.openxmlformats.org/officeDocument/2006/relationships/hyperlink" Target="https://myiipea.com/media/etudiant/photo/WhatsApp_Image_2023-10-26_at_1.37.43_PM.jpeg" TargetMode="External"/><Relationship Id="rId80" Type="http://schemas.openxmlformats.org/officeDocument/2006/relationships/hyperlink" Target="https://myiipea.com/media/etudiant/photo/WhatsApp_Image_2023-10-10_at_11.05.52.jpeg" TargetMode="External"/><Relationship Id="rId82" Type="http://schemas.openxmlformats.org/officeDocument/2006/relationships/hyperlink" Target="https://myiipea.com/media/etudiant/photo/WhatsApp_Image_2023-10-02_at_14.36.41.jpeg" TargetMode="External"/><Relationship Id="rId81" Type="http://schemas.openxmlformats.org/officeDocument/2006/relationships/hyperlink" Target="https://myiipea.com/media/etudiant/photo/WhatsApp_Image_2023-10-04_at_1.29.02_PM.jpeg" TargetMode="External"/><Relationship Id="rId1770" Type="http://schemas.openxmlformats.org/officeDocument/2006/relationships/hyperlink" Target="https://myiipea.com/media/etudiant/photo/WhatsApp_Image_2023-10-14_at_14.32.46.jpeg" TargetMode="External"/><Relationship Id="rId1771" Type="http://schemas.openxmlformats.org/officeDocument/2006/relationships/hyperlink" Target="https://myiipea.com/media/etudiant/photo/WhatsApp_Image_2023-10-02_at_18.11.23.jpeg" TargetMode="External"/><Relationship Id="rId1772" Type="http://schemas.openxmlformats.org/officeDocument/2006/relationships/hyperlink" Target="https://myiipea.com/media/etudiant/photo/WhatsApp_Image_2023-10-02_at_2.02.39_PM.jpeg" TargetMode="External"/><Relationship Id="rId1773" Type="http://schemas.openxmlformats.org/officeDocument/2006/relationships/hyperlink" Target="https://myiipea.com/media/etudiant/photo/WhatsApp_Image_2023-09-18_at_11.57.50.jpeg" TargetMode="External"/><Relationship Id="rId73" Type="http://schemas.openxmlformats.org/officeDocument/2006/relationships/hyperlink" Target="https://myiipea.com/media/etudiant/photo/WhatsApp_Image_2023-10-13_at_6.07.39_PM.jpeg" TargetMode="External"/><Relationship Id="rId1763" Type="http://schemas.openxmlformats.org/officeDocument/2006/relationships/hyperlink" Target="https://myiipea.com/media/etudiant/photo/WhatsApp_Image_2023-12-01_at_6_resized.png" TargetMode="External"/><Relationship Id="rId72" Type="http://schemas.openxmlformats.org/officeDocument/2006/relationships/hyperlink" Target="https://myiipea.com/media/etudiant/photo/WhatsApp_Image_2023-10-02_at_14.33.12.jpeg" TargetMode="External"/><Relationship Id="rId1764" Type="http://schemas.openxmlformats.org/officeDocument/2006/relationships/hyperlink" Target="https://myiipea.com/media/etudiant/photo/239422487_405915444207421_8131329350063382999_n_fHNDZ5r.jpg" TargetMode="External"/><Relationship Id="rId75" Type="http://schemas.openxmlformats.org/officeDocument/2006/relationships/hyperlink" Target="https://myiipea.com/media/etudiant/photo/WhatsApp_Image_2023-10-17_at_14.27.25.jpeg" TargetMode="External"/><Relationship Id="rId1765" Type="http://schemas.openxmlformats.org/officeDocument/2006/relationships/hyperlink" Target="https://myiipea.com/media/etudiant/photo/WhatsApp_Image_2023-10-04_at_14.48.45.jpeg" TargetMode="External"/><Relationship Id="rId74" Type="http://schemas.openxmlformats.org/officeDocument/2006/relationships/hyperlink" Target="https://myiipea.com/media/etudiant/photo/WhatsApp_Image_2023-10-13_at_17.07.19.jpeg" TargetMode="External"/><Relationship Id="rId1766" Type="http://schemas.openxmlformats.org/officeDocument/2006/relationships/hyperlink" Target="https://myiipea.com/media/etudiant/photo/WhatsApp_Image_2023-09-29_at_16.19.36.jpeg" TargetMode="External"/><Relationship Id="rId77" Type="http://schemas.openxmlformats.org/officeDocument/2006/relationships/hyperlink" Target="https://myiipea.com/media/etudiant/photo/WhatsApp_Image_2023-11-07_at_11_resized.png" TargetMode="External"/><Relationship Id="rId1767" Type="http://schemas.openxmlformats.org/officeDocument/2006/relationships/hyperlink" Target="https://myiipea.com/media/etudiant/photo/WhatsApp_Image_2023-10-13_at_14.07.22.jpeg" TargetMode="External"/><Relationship Id="rId76" Type="http://schemas.openxmlformats.org/officeDocument/2006/relationships/hyperlink" Target="https://myiipea.com/media/etudiant/photo/WhatsApp_Image_2023-10-03_at_13.39.50.jpeg" TargetMode="External"/><Relationship Id="rId1768" Type="http://schemas.openxmlformats.org/officeDocument/2006/relationships/hyperlink" Target="https://myiipea.com/media/etudiant/photo/WhatsApp_Image_2023-11-02_at_10.52.55.jpeg" TargetMode="External"/><Relationship Id="rId79" Type="http://schemas.openxmlformats.org/officeDocument/2006/relationships/hyperlink" Target="https://myiipea.com/media/etudiant/photo/WhatsApp_Image_2023-10-06_at_13.14.04.jpeg" TargetMode="External"/><Relationship Id="rId1769" Type="http://schemas.openxmlformats.org/officeDocument/2006/relationships/hyperlink" Target="https://myiipea.com/media/etudiant/photo/WhatsApp_Image_2023-10-13_at_14.22.35.jpeg" TargetMode="External"/><Relationship Id="rId78" Type="http://schemas.openxmlformats.org/officeDocument/2006/relationships/hyperlink" Target="https://myiipea.com/media/etudiant/photo/WhatsApp_Image_2023-10-13_at_13.27.23.jpeg" TargetMode="External"/><Relationship Id="rId71" Type="http://schemas.openxmlformats.org/officeDocument/2006/relationships/hyperlink" Target="https://myiipea.com/media/etudiant/photo/WhatsApp_Image_2023-10-02_at_3.27.15_PM.jpeg" TargetMode="External"/><Relationship Id="rId70" Type="http://schemas.openxmlformats.org/officeDocument/2006/relationships/hyperlink" Target="https://myiipea.com/media/etudiant/photo/WhatsApp_Image_2023-09-22_at_12.48.46.jpeg" TargetMode="External"/><Relationship Id="rId1760" Type="http://schemas.openxmlformats.org/officeDocument/2006/relationships/hyperlink" Target="https://myiipea.com/media/etudiant/photo/WhatsApp_Image_2023-10-31_at_11.44.11.jpeg" TargetMode="External"/><Relationship Id="rId1761" Type="http://schemas.openxmlformats.org/officeDocument/2006/relationships/hyperlink" Target="https://myiipea.com/media/etudiant/photo/WhatsApp_Image_2023-10-10_at_12.49.32_PM.jpeg" TargetMode="External"/><Relationship Id="rId1762" Type="http://schemas.openxmlformats.org/officeDocument/2006/relationships/hyperlink" Target="https://myiipea.com/media/etudiant/photo/WhatsApp_Image_2023-10-12_at_17.21.57.jpeg" TargetMode="External"/><Relationship Id="rId62" Type="http://schemas.openxmlformats.org/officeDocument/2006/relationships/hyperlink" Target="https://myiipea.com/media/etudiant/photo/WhatsApp_Image_2023-10-16_at_1.39.18_PM.jpeg" TargetMode="External"/><Relationship Id="rId1796" Type="http://schemas.openxmlformats.org/officeDocument/2006/relationships/hyperlink" Target="https://myiipea.com/media/etudiant/photo/WhatsApp_Image_2023-10-23_at_09.35.19.jpeg" TargetMode="External"/><Relationship Id="rId61" Type="http://schemas.openxmlformats.org/officeDocument/2006/relationships/hyperlink" Target="https://myiipea.com/media/etudiant/photo/WhatsApp_Image_2023-10-30_at_09.19.33.jpeg" TargetMode="External"/><Relationship Id="rId1797" Type="http://schemas.openxmlformats.org/officeDocument/2006/relationships/hyperlink" Target="https://myiipea.com/media/etudiant/photo/WhatsApp_Image_2023-10-03_at_16.18.52.jpeg" TargetMode="External"/><Relationship Id="rId64" Type="http://schemas.openxmlformats.org/officeDocument/2006/relationships/hyperlink" Target="https://myiipea.com/media/etudiant/photo/WhatsApp_Image_2023-11-09_at_10.50.45.jpeg" TargetMode="External"/><Relationship Id="rId1798" Type="http://schemas.openxmlformats.org/officeDocument/2006/relationships/hyperlink" Target="https://myiipea.com/media/etudiant/photo/WhatsApp_Image_2023-09-29_at_18.35.05.jpeg" TargetMode="External"/><Relationship Id="rId63" Type="http://schemas.openxmlformats.org/officeDocument/2006/relationships/hyperlink" Target="https://myiipea.com/media/etudiant/photo/WhatsApp_Image_2023-10-03_at_11.14.56_AM_MPqfEq9.jpeg" TargetMode="External"/><Relationship Id="rId1799" Type="http://schemas.openxmlformats.org/officeDocument/2006/relationships/hyperlink" Target="https://myiipea.com/media/etudiant/photo/WhatsApp_Image_2023-10-04_at_11.32.40.jpeg" TargetMode="External"/><Relationship Id="rId66" Type="http://schemas.openxmlformats.org/officeDocument/2006/relationships/hyperlink" Target="https://myiipea.com/media/etudiant/photo/WhatsApp_Image_2023-10-04_at_16.46.14.jpeg" TargetMode="External"/><Relationship Id="rId65" Type="http://schemas.openxmlformats.org/officeDocument/2006/relationships/hyperlink" Target="https://myiipea.com/media/etudiant/photo/WhatsApp_Image_2023-10-09_at_12.33.31.jpeg" TargetMode="External"/><Relationship Id="rId68" Type="http://schemas.openxmlformats.org/officeDocument/2006/relationships/hyperlink" Target="https://myiipea.com/media/etudiant/photo/WhatsApp_Image_2023-09-15_at_15.18.26.jpeg" TargetMode="External"/><Relationship Id="rId67" Type="http://schemas.openxmlformats.org/officeDocument/2006/relationships/hyperlink" Target="https://myiipea.com/media/etudiant/photo/WhatsApp_Image_2023-11-17_at_11.53.11.jpeg" TargetMode="External"/><Relationship Id="rId60" Type="http://schemas.openxmlformats.org/officeDocument/2006/relationships/hyperlink" Target="https://myiipea.com/media/etudiant/photo/WhatsApp_Image_2023-10-27_at_13.06.08.jpeg" TargetMode="External"/><Relationship Id="rId69" Type="http://schemas.openxmlformats.org/officeDocument/2006/relationships/hyperlink" Target="https://myiipea.com/media/etudiant/photo/WhatsApp_Image_2023-10-04_at_15.57.27.jpeg" TargetMode="External"/><Relationship Id="rId1790" Type="http://schemas.openxmlformats.org/officeDocument/2006/relationships/hyperlink" Target="https://myiipea.com/media/etudiant/photo/WhatsApp_Image_2023-11-06_at_12.27.24.jpeg" TargetMode="External"/><Relationship Id="rId1791" Type="http://schemas.openxmlformats.org/officeDocument/2006/relationships/hyperlink" Target="https://myiipea.com/media/etudiant/photo/WhatsApp_Image_2023-10-16_at_16.59.53.jpeg" TargetMode="External"/><Relationship Id="rId1792" Type="http://schemas.openxmlformats.org/officeDocument/2006/relationships/hyperlink" Target="https://myiipea.com/media/etudiant/photo/WhatsApp_Image_2023-11-16_at_11.02.39.jpeg" TargetMode="External"/><Relationship Id="rId1793" Type="http://schemas.openxmlformats.org/officeDocument/2006/relationships/hyperlink" Target="https://myiipea.com/media/etudiant/photo/WhatsApp_Image_2023-10-12_at_11_resized_tP0Ptis.png" TargetMode="External"/><Relationship Id="rId1794" Type="http://schemas.openxmlformats.org/officeDocument/2006/relationships/hyperlink" Target="https://myiipea.com/media/etudiant/photo/WhatsApp_Image_2023-10-27_at_11.32.59.jpeg" TargetMode="External"/><Relationship Id="rId1795" Type="http://schemas.openxmlformats.org/officeDocument/2006/relationships/hyperlink" Target="https://myiipea.com/media/etudiant/photo/WhatsApp_Image_2023-10-20_at_2.11.48_PM.jpeg" TargetMode="External"/><Relationship Id="rId51" Type="http://schemas.openxmlformats.org/officeDocument/2006/relationships/hyperlink" Target="https://myiipea.com/media/etudiant/photo/WhatsApp_Image_2023-10-10_at_11.33.20.jpeg" TargetMode="External"/><Relationship Id="rId1785" Type="http://schemas.openxmlformats.org/officeDocument/2006/relationships/hyperlink" Target="https://myiipea.com/media/etudiant/photo/WhatsApp_Image_2023-11-30_at_4.21.54_PM.jpeg" TargetMode="External"/><Relationship Id="rId50" Type="http://schemas.openxmlformats.org/officeDocument/2006/relationships/hyperlink" Target="https://myiipea.com/media/etudiant/photo/WhatsApp_Image_2023-10-05_at_14.44.05.jpeg" TargetMode="External"/><Relationship Id="rId1786" Type="http://schemas.openxmlformats.org/officeDocument/2006/relationships/hyperlink" Target="https://myiipea.com/media/etudiant/photo/WhatsApp_Image_2023-09-28_at_08.52.11.jpeg" TargetMode="External"/><Relationship Id="rId53" Type="http://schemas.openxmlformats.org/officeDocument/2006/relationships/hyperlink" Target="https://myiipea.com/media/etudiant/photo/WhatsApp_Image_2023-09-29_at_15_resized.png" TargetMode="External"/><Relationship Id="rId1787" Type="http://schemas.openxmlformats.org/officeDocument/2006/relationships/hyperlink" Target="https://myiipea.com/media/etudiant/photo/WhatsApp_Image_2023-10-05_at_10.14.06.jpeg" TargetMode="External"/><Relationship Id="rId52" Type="http://schemas.openxmlformats.org/officeDocument/2006/relationships/hyperlink" Target="https://myiipea.com/media/etudiant/photo/WhatsApp_Image_2023-09-19_at_12.29.48.jpeg" TargetMode="External"/><Relationship Id="rId1788" Type="http://schemas.openxmlformats.org/officeDocument/2006/relationships/hyperlink" Target="https://myiipea.com/media/etudiant/photo/WhatsApp_Image_2023-09-25_at_11.10.19.jpeg" TargetMode="External"/><Relationship Id="rId55" Type="http://schemas.openxmlformats.org/officeDocument/2006/relationships/hyperlink" Target="https://myiipea.com/media/etudiant/photo/WhatsApp_Image_2023-11-13_at_10.05.05.jpeg" TargetMode="External"/><Relationship Id="rId1789" Type="http://schemas.openxmlformats.org/officeDocument/2006/relationships/hyperlink" Target="https://myiipea.com/media/etudiant/photo/WhatsApp_Image_2023-11-16_at_4.14.14_PM.jpeg" TargetMode="External"/><Relationship Id="rId54" Type="http://schemas.openxmlformats.org/officeDocument/2006/relationships/hyperlink" Target="https://myiipea.com/media/etudiant/photo/WhatsApp_Image_2023-10-09_at_11.04.28.jpeg" TargetMode="External"/><Relationship Id="rId57" Type="http://schemas.openxmlformats.org/officeDocument/2006/relationships/hyperlink" Target="https://myiipea.com/media/etudiant/photo/WhatsApp_Image_2023-10-30_at_12.54.48.jpeg" TargetMode="External"/><Relationship Id="rId56" Type="http://schemas.openxmlformats.org/officeDocument/2006/relationships/hyperlink" Target="https://myiipea.com/media/etudiant/photo/WhatsApp_Image_2023-10-12_at_14_resized.png" TargetMode="External"/><Relationship Id="rId59" Type="http://schemas.openxmlformats.org/officeDocument/2006/relationships/hyperlink" Target="https://myiipea.com/media/etudiant/photo/WhatsApp_Image_2023-09-22_%C3%A0_16.06.37.jpg" TargetMode="External"/><Relationship Id="rId58" Type="http://schemas.openxmlformats.org/officeDocument/2006/relationships/hyperlink" Target="https://myiipea.com/media/etudiant/photo/WhatsApp_Image_2023-10-09_at_13.14.56.jpeg" TargetMode="External"/><Relationship Id="rId1780" Type="http://schemas.openxmlformats.org/officeDocument/2006/relationships/hyperlink" Target="https://myiipea.com/media/etudiant/photo/WhatsApp_Image_2023-10-26_at_09.10.37.jpeg" TargetMode="External"/><Relationship Id="rId1781" Type="http://schemas.openxmlformats.org/officeDocument/2006/relationships/hyperlink" Target="https://myiipea.com/media/etudiant/photo/WhatsApp_Image_2023-10-03_at_08.39.49.jpeg" TargetMode="External"/><Relationship Id="rId1782" Type="http://schemas.openxmlformats.org/officeDocument/2006/relationships/hyperlink" Target="https://myiipea.com/media/etudiant/photo/WhatsApp_Image_2023-10-03_at_15.11.03.jpeg" TargetMode="External"/><Relationship Id="rId1783" Type="http://schemas.openxmlformats.org/officeDocument/2006/relationships/hyperlink" Target="https://myiipea.com/media/etudiant/photo/WhatsApp_Image_2023-10-12_at_11_resized.png" TargetMode="External"/><Relationship Id="rId1784" Type="http://schemas.openxmlformats.org/officeDocument/2006/relationships/hyperlink" Target="https://myiipea.com/media/etudiant/photo/WhatsApp_Image_2023-10-02_at_18.10.15.jpeg" TargetMode="External"/><Relationship Id="rId2269" Type="http://schemas.openxmlformats.org/officeDocument/2006/relationships/hyperlink" Target="https://myiipea.com/media/etudiant/photo/WhatsApp_Image_2023-11-14_at_09.49.35.jpeg" TargetMode="External"/><Relationship Id="rId349" Type="http://schemas.openxmlformats.org/officeDocument/2006/relationships/hyperlink" Target="https://myiipea.com/media/etudiant/photo/WhatsApp_Image_2023-10-04_at_12.10.56.jpeg" TargetMode="External"/><Relationship Id="rId348" Type="http://schemas.openxmlformats.org/officeDocument/2006/relationships/hyperlink" Target="https://myiipea.com/media/etudiant/photo/WhatsApp_Image_2023-11-03_at_17.27.25.jpeg" TargetMode="External"/><Relationship Id="rId347" Type="http://schemas.openxmlformats.org/officeDocument/2006/relationships/hyperlink" Target="https://myiipea.com/media/etudiant/photo/WhatsApp_Image_2023-09-28_at_15.07.28_zJTOnlg.jpeg" TargetMode="External"/><Relationship Id="rId346" Type="http://schemas.openxmlformats.org/officeDocument/2006/relationships/hyperlink" Target="https://myiipea.com/media/etudiant/photo/WhatsApp_Image_2023-09-14_at_11.10.21.jpeg" TargetMode="External"/><Relationship Id="rId3591" Type="http://schemas.openxmlformats.org/officeDocument/2006/relationships/hyperlink" Target="https://myiipea.com/media/etudiant/photo/WhatsApp_Image_2023-11-21_at_2.07.19_PM.jpeg" TargetMode="External"/><Relationship Id="rId2260" Type="http://schemas.openxmlformats.org/officeDocument/2006/relationships/hyperlink" Target="https://myiipea.com/media/etudiant/photo/IIPEA_SSbFnGU.jpg" TargetMode="External"/><Relationship Id="rId3590" Type="http://schemas.openxmlformats.org/officeDocument/2006/relationships/hyperlink" Target="https://myiipea.com/media/etudiant/photo/WhatsApp_Image_2023-11-23_at_4.02.35_PM.jpeg" TargetMode="External"/><Relationship Id="rId341" Type="http://schemas.openxmlformats.org/officeDocument/2006/relationships/hyperlink" Target="https://myiipea.com/media/etudiant/photo/WhatsApp_Image_2023-11-06_at_12.00.55.jpeg" TargetMode="External"/><Relationship Id="rId2261" Type="http://schemas.openxmlformats.org/officeDocument/2006/relationships/hyperlink" Target="https://myiipea.com/media/etudiant/photo/WhatsApp_Image_2023-10-06_at_10_resized_1VDH54m.png" TargetMode="External"/><Relationship Id="rId3593" Type="http://schemas.openxmlformats.org/officeDocument/2006/relationships/hyperlink" Target="https://myiipea.com/media/etudiant/photo/WhatsApp_Image_2023-10-11_at_10.36.51.jpeg" TargetMode="External"/><Relationship Id="rId340" Type="http://schemas.openxmlformats.org/officeDocument/2006/relationships/hyperlink" Target="https://myiipea.com/media/etudiant/photo/WhatsApp_Image_2023-11-13_at_3.58.22_PM.jpeg" TargetMode="External"/><Relationship Id="rId2262" Type="http://schemas.openxmlformats.org/officeDocument/2006/relationships/hyperlink" Target="https://myiipea.com/media/etudiant/photo/WhatsApp_Image_2023-10-03_at_09.24.13.jpeg" TargetMode="External"/><Relationship Id="rId3592" Type="http://schemas.openxmlformats.org/officeDocument/2006/relationships/hyperlink" Target="https://myiipea.com/media/etudiant/photo/WhatsApp_Image_2023-11-22_at_1.59.15_PM.jpeg" TargetMode="External"/><Relationship Id="rId2263" Type="http://schemas.openxmlformats.org/officeDocument/2006/relationships/hyperlink" Target="https://myiipea.com/media/etudiant/photo/WhatsApp_Image_2023-10-13_at_10.27.42.jpeg" TargetMode="External"/><Relationship Id="rId3595" Type="http://schemas.openxmlformats.org/officeDocument/2006/relationships/hyperlink" Target="https://myiipea.com/media/etudiant/photo/WhatsApp_Image_2023-10-05_at_09.48.43.jpeg" TargetMode="External"/><Relationship Id="rId2264" Type="http://schemas.openxmlformats.org/officeDocument/2006/relationships/hyperlink" Target="https://myiipea.com/media/etudiant/photo/WhatsApp_Image_2023-10-16_at_12.58.04.jpeg" TargetMode="External"/><Relationship Id="rId3594" Type="http://schemas.openxmlformats.org/officeDocument/2006/relationships/hyperlink" Target="https://myiipea.com/media/etudiant/photo/photo_0vfxViO.jpg" TargetMode="External"/><Relationship Id="rId345" Type="http://schemas.openxmlformats.org/officeDocument/2006/relationships/hyperlink" Target="https://myiipea.com/media/etudiant/photo/WhatsApp_Image_2023-10-04_at_14.52.06.jpeg" TargetMode="External"/><Relationship Id="rId2265" Type="http://schemas.openxmlformats.org/officeDocument/2006/relationships/hyperlink" Target="https://myiipea.com/media/etudiant/photo/WhatsApp_Image_2023-10-11_at_18.51.58.jpeg" TargetMode="External"/><Relationship Id="rId3597" Type="http://schemas.openxmlformats.org/officeDocument/2006/relationships/hyperlink" Target="https://myiipea.com/media/etudiant/photo/WhatsApp_Image_2023-09-29_at_12.22.42.jpeg" TargetMode="External"/><Relationship Id="rId344" Type="http://schemas.openxmlformats.org/officeDocument/2006/relationships/hyperlink" Target="https://myiipea.com/media/etudiant/photo/WhatsApp_Image_2023-11-06_at_10.56.30.jpeg" TargetMode="External"/><Relationship Id="rId2266" Type="http://schemas.openxmlformats.org/officeDocument/2006/relationships/hyperlink" Target="https://myiipea.com/media/etudiant/photo/WhatsApp_Image_2023-11-10_at_5.29.58_PM_9TkN17d.jpeg" TargetMode="External"/><Relationship Id="rId3596" Type="http://schemas.openxmlformats.org/officeDocument/2006/relationships/hyperlink" Target="https://myiipea.com/media/etudiant/photo/WhatsApp_Image_2023-11-24_at_12.12.51_PM.jpeg" TargetMode="External"/><Relationship Id="rId343" Type="http://schemas.openxmlformats.org/officeDocument/2006/relationships/hyperlink" Target="https://myiipea.com/media/etudiant/photo/t%C3%A9l%C3%A9chargement_I2yMaf0.png" TargetMode="External"/><Relationship Id="rId2267" Type="http://schemas.openxmlformats.org/officeDocument/2006/relationships/hyperlink" Target="https://myiipea.com/media/etudiant/photo/WhatsApp_Image_2023-10-12_at_17.24.42.jpeg" TargetMode="External"/><Relationship Id="rId3599" Type="http://schemas.openxmlformats.org/officeDocument/2006/relationships/hyperlink" Target="https://myiipea.com/media/etudiant/photo/WhatsApp_Image_2023-10-10_at_12.17.01.jpeg" TargetMode="External"/><Relationship Id="rId342" Type="http://schemas.openxmlformats.org/officeDocument/2006/relationships/hyperlink" Target="https://myiipea.com/media/etudiant/photo/WhatsApp_Image_2023-10-10_at_15.50.46.jpeg" TargetMode="External"/><Relationship Id="rId2268" Type="http://schemas.openxmlformats.org/officeDocument/2006/relationships/hyperlink" Target="https://myiipea.com/media/etudiant/photo/WhatsApp_Image_2023-09-25_at_08.50.39.jpeg" TargetMode="External"/><Relationship Id="rId3598" Type="http://schemas.openxmlformats.org/officeDocument/2006/relationships/hyperlink" Target="https://myiipea.com/media/etudiant/photo/WhatsApp_Image_2023-11-02_at_3.46.50_PM.jpeg" TargetMode="External"/><Relationship Id="rId2258" Type="http://schemas.openxmlformats.org/officeDocument/2006/relationships/hyperlink" Target="https://myiipea.com/media/etudiant/photo/WhatsApp_Image_2023-11-21_at_15.51.37.jpeg" TargetMode="External"/><Relationship Id="rId2259" Type="http://schemas.openxmlformats.org/officeDocument/2006/relationships/hyperlink" Target="https://myiipea.com/media/etudiant/photo/WhatsApp_Image_2023-10-03_at_10.38.20_KlMWC4O.jpeg" TargetMode="External"/><Relationship Id="rId3589" Type="http://schemas.openxmlformats.org/officeDocument/2006/relationships/hyperlink" Target="https://myiipea.com/media/etudiant/photo/WhatsApp_Image_2023-10-05_at_13.52.55.jpeg" TargetMode="External"/><Relationship Id="rId338" Type="http://schemas.openxmlformats.org/officeDocument/2006/relationships/hyperlink" Target="https://myiipea.com/media/etudiant/photo/WhatsApp_Image_2023-09-28_at_15.49.54.jpeg" TargetMode="External"/><Relationship Id="rId337" Type="http://schemas.openxmlformats.org/officeDocument/2006/relationships/hyperlink" Target="https://myiipea.com/media/etudiant/photo/WhatsApp_Image_2023-10-12_at_12.46.08.jpeg" TargetMode="External"/><Relationship Id="rId336" Type="http://schemas.openxmlformats.org/officeDocument/2006/relationships/hyperlink" Target="https://myiipea.com/media/etudiant/photo/WhatsApp_Image_2023-10-12_at_14.46.22.jpeg" TargetMode="External"/><Relationship Id="rId335" Type="http://schemas.openxmlformats.org/officeDocument/2006/relationships/hyperlink" Target="https://myiipea.com/media/etudiant/photo/WhatsApp_Image_2023-10-25_at_12.57.12.jpeg" TargetMode="External"/><Relationship Id="rId3580" Type="http://schemas.openxmlformats.org/officeDocument/2006/relationships/hyperlink" Target="https://myiipea.com/media/etudiant/photo/WhatsApp_Image_2023-10-26_at_12.46.14_PM.jpeg" TargetMode="External"/><Relationship Id="rId339" Type="http://schemas.openxmlformats.org/officeDocument/2006/relationships/hyperlink" Target="https://myiipea.com/media/etudiant/photo/WhatsApp_Image_2023-09-21_at_10.52.28.jpeg" TargetMode="External"/><Relationship Id="rId330" Type="http://schemas.openxmlformats.org/officeDocument/2006/relationships/hyperlink" Target="https://myiipea.com/media/etudiant/photo/ee805a7a-bd0f-4cfc-a70e-cbab604ca96a_ugbLkcF.jpeg" TargetMode="External"/><Relationship Id="rId2250" Type="http://schemas.openxmlformats.org/officeDocument/2006/relationships/hyperlink" Target="https://myiipea.com/media/etudiant/photo/WhatsApp_Image_2023-10-19_at_15.43.45.jpeg" TargetMode="External"/><Relationship Id="rId3582" Type="http://schemas.openxmlformats.org/officeDocument/2006/relationships/hyperlink" Target="https://myiipea.com/media/etudiant/photo/WhatsApp_Image_2023-10-05_at_11.24.02.jpeg" TargetMode="External"/><Relationship Id="rId2251" Type="http://schemas.openxmlformats.org/officeDocument/2006/relationships/hyperlink" Target="https://myiipea.com/media/etudiant/photo/WhatsApp_Image_2023-10-04_at_13.36.51.jpeg" TargetMode="External"/><Relationship Id="rId3581" Type="http://schemas.openxmlformats.org/officeDocument/2006/relationships/hyperlink" Target="https://myiipea.com/media/etudiant/photo/MELVINE.jpg" TargetMode="External"/><Relationship Id="rId2252" Type="http://schemas.openxmlformats.org/officeDocument/2006/relationships/hyperlink" Target="https://myiipea.com/media/etudiant/photo/WhatsApp_Image_2023-12-01_at_1_resized_QzPVaGW.png" TargetMode="External"/><Relationship Id="rId3584" Type="http://schemas.openxmlformats.org/officeDocument/2006/relationships/hyperlink" Target="https://myiipea.com/media/etudiant/photo/WhatsApp_Image_2023-11-09_at_11.15.26.jpeg" TargetMode="External"/><Relationship Id="rId2253" Type="http://schemas.openxmlformats.org/officeDocument/2006/relationships/hyperlink" Target="https://myiipea.com/media/etudiant/photo/WhatsApp_Image_2023-10-04_at_13.48.01.jpeg" TargetMode="External"/><Relationship Id="rId3583" Type="http://schemas.openxmlformats.org/officeDocument/2006/relationships/hyperlink" Target="https://myiipea.com/media/etudiant/photo/WhatsApp_Image_2023-10-19_at_09_resized.png" TargetMode="External"/><Relationship Id="rId334" Type="http://schemas.openxmlformats.org/officeDocument/2006/relationships/hyperlink" Target="https://myiipea.com/media/etudiant/photo/WhatsApp_Image_2023-10-04_at_10.44.25.jpeg" TargetMode="External"/><Relationship Id="rId2254" Type="http://schemas.openxmlformats.org/officeDocument/2006/relationships/hyperlink" Target="https://myiipea.com/media/etudiant/photo/WhatsApp_Image_2023-09-28_at_09.25.31.jpeg" TargetMode="External"/><Relationship Id="rId3586" Type="http://schemas.openxmlformats.org/officeDocument/2006/relationships/hyperlink" Target="https://myiipea.com/media/etudiant/photo/WhatsApp_Image_2023-10-13_at_15.40.34.jpeg" TargetMode="External"/><Relationship Id="rId333" Type="http://schemas.openxmlformats.org/officeDocument/2006/relationships/hyperlink" Target="https://myiipea.com/media/etudiant/photo/WhatsApp_Image_2023-10-02_at_3.08.12_PM.jpeg" TargetMode="External"/><Relationship Id="rId2255" Type="http://schemas.openxmlformats.org/officeDocument/2006/relationships/hyperlink" Target="https://myiipea.com/media/etudiant/photo/WhatsApp_Image_2023-09-20_at_11.22.57.jpeg" TargetMode="External"/><Relationship Id="rId3585" Type="http://schemas.openxmlformats.org/officeDocument/2006/relationships/hyperlink" Target="https://myiipea.com/media/etudiant/photo/WhatsApp_Image_2023-10-04_at_08.32.04.jpeg" TargetMode="External"/><Relationship Id="rId332" Type="http://schemas.openxmlformats.org/officeDocument/2006/relationships/hyperlink" Target="https://myiipea.com/media/etudiant/photo/WhatsApp_Image_2023-10-13_at_15.36.41.jpeg" TargetMode="External"/><Relationship Id="rId2256" Type="http://schemas.openxmlformats.org/officeDocument/2006/relationships/hyperlink" Target="https://myiipea.com/media/etudiant/photo/WhatsApp_Image_2023-10-07_at_12.34.08.jpeg" TargetMode="External"/><Relationship Id="rId3588" Type="http://schemas.openxmlformats.org/officeDocument/2006/relationships/hyperlink" Target="https://myiipea.com/media/etudiant/photo/WhatsApp_Image_2023-10-05_at_2.29.59_PM.jpeg" TargetMode="External"/><Relationship Id="rId331" Type="http://schemas.openxmlformats.org/officeDocument/2006/relationships/hyperlink" Target="https://myiipea.com/media/etudiant/photo/WhatsApp_Image_2023-11-22_at_12.53.23_PM.jpeg" TargetMode="External"/><Relationship Id="rId2257" Type="http://schemas.openxmlformats.org/officeDocument/2006/relationships/hyperlink" Target="https://myiipea.com/media/etudiant/photo/WhatsApp_Image_2023-11-17_at_15.12.37.jpeg" TargetMode="External"/><Relationship Id="rId3587" Type="http://schemas.openxmlformats.org/officeDocument/2006/relationships/hyperlink" Target="https://myiipea.com/media/etudiant/photo/WhatsApp_Image_2023-10-27_at_4.47.27_PM.jpeg" TargetMode="External"/><Relationship Id="rId370" Type="http://schemas.openxmlformats.org/officeDocument/2006/relationships/hyperlink" Target="https://myiipea.com/media/etudiant/photo/WhatsApp_Image_2023-10-04_at_09.08.12.jpeg" TargetMode="External"/><Relationship Id="rId369" Type="http://schemas.openxmlformats.org/officeDocument/2006/relationships/hyperlink" Target="https://myiipea.com/media/etudiant/photo/WhatsApp_Image_2023-10-14_at_10.15.23.jpeg" TargetMode="External"/><Relationship Id="rId368" Type="http://schemas.openxmlformats.org/officeDocument/2006/relationships/hyperlink" Target="https://myiipea.com/media/etudiant/photo/WhatsApp_Image_2023-10-25_at_10.54.27.jpeg" TargetMode="External"/><Relationship Id="rId2280" Type="http://schemas.openxmlformats.org/officeDocument/2006/relationships/hyperlink" Target="https://myiipea.com/media/etudiant/photo/WhatsApp_Image_2023-10-17_at_13.34.18.jpeg" TargetMode="External"/><Relationship Id="rId2281" Type="http://schemas.openxmlformats.org/officeDocument/2006/relationships/hyperlink" Target="https://myiipea.com/media/etudiant/photo/WhatsApp_Image_2023-10-12_at_17.02.01.jpeg" TargetMode="External"/><Relationship Id="rId2282" Type="http://schemas.openxmlformats.org/officeDocument/2006/relationships/hyperlink" Target="https://myiipea.com/media/etudiant/photo/WhatsApp_Image_2023-10-03_at_11.14.56_AM_3CI1pKV.jpeg" TargetMode="External"/><Relationship Id="rId363" Type="http://schemas.openxmlformats.org/officeDocument/2006/relationships/hyperlink" Target="https://myiipea.com/media/etudiant/photo/WhatsApp_Image_2023-10-23_at_11.53.32.jpeg" TargetMode="External"/><Relationship Id="rId2283" Type="http://schemas.openxmlformats.org/officeDocument/2006/relationships/hyperlink" Target="https://myiipea.com/media/etudiant/photo/WhatsApp_Image_2023-10-06_at_11.46.29.jpeg" TargetMode="External"/><Relationship Id="rId362" Type="http://schemas.openxmlformats.org/officeDocument/2006/relationships/hyperlink" Target="https://myiipea.com/media/etudiant/photo/WhatsApp_Image_2023-10-12_at_10_resized.png" TargetMode="External"/><Relationship Id="rId2284" Type="http://schemas.openxmlformats.org/officeDocument/2006/relationships/hyperlink" Target="https://myiipea.com/media/etudiant/photo/WhatsApp_Image_2023-10-11_at_16_resized_kTj3bZq.png" TargetMode="External"/><Relationship Id="rId361" Type="http://schemas.openxmlformats.org/officeDocument/2006/relationships/hyperlink" Target="https://myiipea.com/media/etudiant/photo/WhatsApp_Image_2023-10-27_at_11.33.27.jpeg" TargetMode="External"/><Relationship Id="rId2285" Type="http://schemas.openxmlformats.org/officeDocument/2006/relationships/hyperlink" Target="https://myiipea.com/media/etudiant/photo/WhatsApp_Image_2023-10-13_at_14.22.02.jpeg" TargetMode="External"/><Relationship Id="rId360" Type="http://schemas.openxmlformats.org/officeDocument/2006/relationships/hyperlink" Target="https://myiipea.com/media/etudiant/photo/WhatsApp_Image_2023-10-10_at_1.16.25_PM.jpeg" TargetMode="External"/><Relationship Id="rId2286" Type="http://schemas.openxmlformats.org/officeDocument/2006/relationships/hyperlink" Target="https://myiipea.com/media/etudiant/photo/WhatsApp_Image_2023-10-17_at_15.25.52.jpeg" TargetMode="External"/><Relationship Id="rId367" Type="http://schemas.openxmlformats.org/officeDocument/2006/relationships/hyperlink" Target="https://myiipea.com/media/etudiant/photo/WhatsApp_Image_2023-09-18_at_16.38.48.jpeg" TargetMode="External"/><Relationship Id="rId2287" Type="http://schemas.openxmlformats.org/officeDocument/2006/relationships/hyperlink" Target="https://myiipea.com/media/etudiant/photo/AMA.jpg" TargetMode="External"/><Relationship Id="rId366" Type="http://schemas.openxmlformats.org/officeDocument/2006/relationships/hyperlink" Target="https://myiipea.com/media/etudiant/photo/WhatsApp_Image_2023-09-29_at_16.55.33.jpeg" TargetMode="External"/><Relationship Id="rId2288" Type="http://schemas.openxmlformats.org/officeDocument/2006/relationships/hyperlink" Target="https://myiipea.com/media/etudiant/photo/WhatsApp_Image_2023-10-02_at_09.53.38.jpeg" TargetMode="External"/><Relationship Id="rId365" Type="http://schemas.openxmlformats.org/officeDocument/2006/relationships/hyperlink" Target="https://myiipea.com/media/etudiant/photo/WhatsApp_Image_2023-10-14_at_11.57.05.jpeg" TargetMode="External"/><Relationship Id="rId2289" Type="http://schemas.openxmlformats.org/officeDocument/2006/relationships/hyperlink" Target="https://myiipea.com/media/etudiant/photo/WhatsApp_Image_2023-10-19_at_16.36.53.jpeg" TargetMode="External"/><Relationship Id="rId364" Type="http://schemas.openxmlformats.org/officeDocument/2006/relationships/hyperlink" Target="https://myiipea.com/media/etudiant/photo/WhatsApp_Image_2023-11-10_at_3.22.26_PM.jpeg" TargetMode="External"/><Relationship Id="rId95" Type="http://schemas.openxmlformats.org/officeDocument/2006/relationships/hyperlink" Target="https://myiipea.com/media/etudiant/photo/WhatsApp_Image_2023-10-05_at_10.54.08.jpeg" TargetMode="External"/><Relationship Id="rId94" Type="http://schemas.openxmlformats.org/officeDocument/2006/relationships/hyperlink" Target="https://myiipea.com/media/etudiant/photo/WhatsApp_Image_2023-10-27_at_09.23.59.jpeg" TargetMode="External"/><Relationship Id="rId97" Type="http://schemas.openxmlformats.org/officeDocument/2006/relationships/hyperlink" Target="https://myiipea.com/media/etudiant/photo/WhatsApp_Image_2023-10-10_at_16.09.04.jpeg" TargetMode="External"/><Relationship Id="rId96" Type="http://schemas.openxmlformats.org/officeDocument/2006/relationships/hyperlink" Target="https://myiipea.com/media/etudiant/photo/239422487_405915444207421_8131329350063382999_n_pdyCbnL_resized.png" TargetMode="External"/><Relationship Id="rId99" Type="http://schemas.openxmlformats.org/officeDocument/2006/relationships/hyperlink" Target="https://myiipea.com/media/etudiant/photo/WhatsApp_Image_2023-10-06_at_15.30.10.jpeg" TargetMode="External"/><Relationship Id="rId98" Type="http://schemas.openxmlformats.org/officeDocument/2006/relationships/hyperlink" Target="https://myiipea.com/media/etudiant/photo/WhatsApp_Image_2023-10-12_at_12.44.34.jpeg" TargetMode="External"/><Relationship Id="rId91" Type="http://schemas.openxmlformats.org/officeDocument/2006/relationships/hyperlink" Target="https://myiipea.com/media/etudiant/photo/WhatsApp_Image_2023-11-03_at_10.26.32.jpeg" TargetMode="External"/><Relationship Id="rId90" Type="http://schemas.openxmlformats.org/officeDocument/2006/relationships/hyperlink" Target="https://myiipea.com/media/etudiant/photo/WhatsApp_Image_2023-10-20_at_13.29.45_1.jpeg" TargetMode="External"/><Relationship Id="rId93" Type="http://schemas.openxmlformats.org/officeDocument/2006/relationships/hyperlink" Target="https://myiipea.com/media/etudiant/photo/WhatsApp_Image_2023-10-30_at_15.51.34.jpeg" TargetMode="External"/><Relationship Id="rId92" Type="http://schemas.openxmlformats.org/officeDocument/2006/relationships/hyperlink" Target="https://myiipea.com/media/etudiant/photo/WhatsApp_Image_2023-10-05_at_10.36.13.jpeg" TargetMode="External"/><Relationship Id="rId359" Type="http://schemas.openxmlformats.org/officeDocument/2006/relationships/hyperlink" Target="https://myiipea.com/media/etudiant/photo/WhatsApp_Image_2023-10-20_at_14_resized_rnKTyco.png" TargetMode="External"/><Relationship Id="rId358" Type="http://schemas.openxmlformats.org/officeDocument/2006/relationships/hyperlink" Target="https://myiipea.com/media/etudiant/photo/WhatsApp_Image_2023-10-17_at_11.37.51_AM.jpeg" TargetMode="External"/><Relationship Id="rId357" Type="http://schemas.openxmlformats.org/officeDocument/2006/relationships/hyperlink" Target="https://myiipea.com/media/etudiant/photo/WhatsApp_Image_2023-10-05_at_10.26.47.jpeg" TargetMode="External"/><Relationship Id="rId2270" Type="http://schemas.openxmlformats.org/officeDocument/2006/relationships/hyperlink" Target="https://myiipea.com/media/etudiant/photo/WhatsApp_Image_2023-10-18_at_10.15.45.jpeg" TargetMode="External"/><Relationship Id="rId2271" Type="http://schemas.openxmlformats.org/officeDocument/2006/relationships/hyperlink" Target="https://myiipea.com/media/etudiant/photo/WhatsApp_Image_2023-11-20_at_14.38.57.jpeg" TargetMode="External"/><Relationship Id="rId352" Type="http://schemas.openxmlformats.org/officeDocument/2006/relationships/hyperlink" Target="https://myiipea.com/media/etudiant/photo/WhatsApp_Image_2023-10-05_at_13.32.25.jpeg" TargetMode="External"/><Relationship Id="rId2272" Type="http://schemas.openxmlformats.org/officeDocument/2006/relationships/hyperlink" Target="https://myiipea.com/media/etudiant/photo/WhatsApp_Image_2023-10-02_at_19.08.10.jpeg" TargetMode="External"/><Relationship Id="rId351" Type="http://schemas.openxmlformats.org/officeDocument/2006/relationships/hyperlink" Target="https://myiipea.com/media/etudiant/photo/WhatsApp_Image_2023-10-12_at_09.32.35.jpeg" TargetMode="External"/><Relationship Id="rId2273" Type="http://schemas.openxmlformats.org/officeDocument/2006/relationships/hyperlink" Target="https://myiipea.com/media/etudiant/photo/WhatsApp_Image_2023-11-21_at_1_resized.png" TargetMode="External"/><Relationship Id="rId350" Type="http://schemas.openxmlformats.org/officeDocument/2006/relationships/hyperlink" Target="https://myiipea.com/media/etudiant/photo/WhatsApp_Image_2023-09-25_at_10.43.38.jpeg" TargetMode="External"/><Relationship Id="rId2274" Type="http://schemas.openxmlformats.org/officeDocument/2006/relationships/hyperlink" Target="https://myiipea.com/media/etudiant/photo/WhatsApp_Image_2023-10-02_at_15.21.06.jpeg" TargetMode="External"/><Relationship Id="rId2275" Type="http://schemas.openxmlformats.org/officeDocument/2006/relationships/hyperlink" Target="https://myiipea.com/media/etudiant/photo/WhatsApp_Image_2023-10-02_at_17.08.44.jpeg" TargetMode="External"/><Relationship Id="rId356" Type="http://schemas.openxmlformats.org/officeDocument/2006/relationships/hyperlink" Target="https://myiipea.com/media/etudiant/photo/WhatsApp_Image_2023-10-10_at_11.24.09.jpeg" TargetMode="External"/><Relationship Id="rId2276" Type="http://schemas.openxmlformats.org/officeDocument/2006/relationships/hyperlink" Target="https://myiipea.com/media/etudiant/photo/WhatsApp_Image_2023-10-06_at_2.36.23_PM.jpeg" TargetMode="External"/><Relationship Id="rId355" Type="http://schemas.openxmlformats.org/officeDocument/2006/relationships/hyperlink" Target="https://myiipea.com/media/etudiant/photo/WhatsApp_Image_2023-10-14_at_10.54.03.jpeg" TargetMode="External"/><Relationship Id="rId2277" Type="http://schemas.openxmlformats.org/officeDocument/2006/relationships/hyperlink" Target="https://myiipea.com/media/etudiant/photo/WhatsApp_Image_2023-11-06_at_09.42.43.jpeg" TargetMode="External"/><Relationship Id="rId354" Type="http://schemas.openxmlformats.org/officeDocument/2006/relationships/hyperlink" Target="https://myiipea.com/media/etudiant/photo/WhatsApp_Image_2023-10-04_at_14.51.49.jpeg" TargetMode="External"/><Relationship Id="rId2278" Type="http://schemas.openxmlformats.org/officeDocument/2006/relationships/hyperlink" Target="https://myiipea.com/media/etudiant/photo/WhatsApp_Image_2023-09-25_%C3%A0_15.12.17.jpg" TargetMode="External"/><Relationship Id="rId353" Type="http://schemas.openxmlformats.org/officeDocument/2006/relationships/hyperlink" Target="https://myiipea.com/media/etudiant/photo/WhatsApp_Image_2023-10-12_at_13.50.39.jpeg" TargetMode="External"/><Relationship Id="rId2279" Type="http://schemas.openxmlformats.org/officeDocument/2006/relationships/hyperlink" Target="https://myiipea.com/media/etudiant/photo/WhatsApp_Image_2023-10-20_at_14.17.04.jpeg" TargetMode="External"/><Relationship Id="rId2225" Type="http://schemas.openxmlformats.org/officeDocument/2006/relationships/hyperlink" Target="https://myiipea.com/media/etudiant/photo/WhatsApp_Image_2023-11-06_at_14.39.26.jpeg" TargetMode="External"/><Relationship Id="rId3557" Type="http://schemas.openxmlformats.org/officeDocument/2006/relationships/hyperlink" Target="https://myiipea.com/media/etudiant/photo/WhatsApp_Image_2023-09-18_at_12.46.24.jpeg" TargetMode="External"/><Relationship Id="rId2226" Type="http://schemas.openxmlformats.org/officeDocument/2006/relationships/hyperlink" Target="https://myiipea.com/media/etudiant/photo/WhatsApp_Image_2023-10-28_at_13.18.47_1.jpeg" TargetMode="External"/><Relationship Id="rId3556" Type="http://schemas.openxmlformats.org/officeDocument/2006/relationships/hyperlink" Target="https://myiipea.com/media/etudiant/photo/photo_WSUfThF.jpg" TargetMode="External"/><Relationship Id="rId2227" Type="http://schemas.openxmlformats.org/officeDocument/2006/relationships/hyperlink" Target="https://myiipea.com/media/etudiant/photo/WhatsApp_Image_2023-11-20_at_2.14.42_PM.jpeg" TargetMode="External"/><Relationship Id="rId3559" Type="http://schemas.openxmlformats.org/officeDocument/2006/relationships/hyperlink" Target="https://myiipea.com/media/etudiant/photo/WhatsApp_Image_2023-10-04_at_14.51.51.jpeg" TargetMode="External"/><Relationship Id="rId2228" Type="http://schemas.openxmlformats.org/officeDocument/2006/relationships/hyperlink" Target="https://myiipea.com/media/etudiant/photo/WhatsApp_Image_2023-10-27_at_12.17.15.jpeg" TargetMode="External"/><Relationship Id="rId3558" Type="http://schemas.openxmlformats.org/officeDocument/2006/relationships/hyperlink" Target="https://myiipea.com/media/etudiant/photo/WhatsApp_Image_2023-11-09_at_12.32.16.jpeg" TargetMode="External"/><Relationship Id="rId2229" Type="http://schemas.openxmlformats.org/officeDocument/2006/relationships/hyperlink" Target="https://myiipea.com/media/etudiant/photo/WhatsApp_Image_2023-10-25_at_10.45.05.jpeg" TargetMode="External"/><Relationship Id="rId305" Type="http://schemas.openxmlformats.org/officeDocument/2006/relationships/hyperlink" Target="https://myiipea.com/media/etudiant/photo/WhatsApp_Image_2023-11-06_at_17.12.04.jpeg" TargetMode="External"/><Relationship Id="rId304" Type="http://schemas.openxmlformats.org/officeDocument/2006/relationships/hyperlink" Target="https://myiipea.com/media/etudiant/photo/WhatsApp_Image_2023-10-06_at_13.49.18.jpeg" TargetMode="External"/><Relationship Id="rId303" Type="http://schemas.openxmlformats.org/officeDocument/2006/relationships/hyperlink" Target="https://myiipea.com/media/etudiant/photo/WhatsApp_Image_2023-09-20_at_10.53.30.jpeg" TargetMode="External"/><Relationship Id="rId302" Type="http://schemas.openxmlformats.org/officeDocument/2006/relationships/hyperlink" Target="https://myiipea.com/media/etudiant/photo/WhatsApp_Image_2023-09-25_at_08.50.15.jpeg" TargetMode="External"/><Relationship Id="rId309" Type="http://schemas.openxmlformats.org/officeDocument/2006/relationships/hyperlink" Target="https://myiipea.com/media/etudiant/photo/WhatsApp_Image_2023-10-24_at_14.10.38.jpeg" TargetMode="External"/><Relationship Id="rId308" Type="http://schemas.openxmlformats.org/officeDocument/2006/relationships/hyperlink" Target="https://myiipea.com/media/etudiant/photo/WhatsApp_Image_2023-09-29_at_15.55.19.jpeg" TargetMode="External"/><Relationship Id="rId307" Type="http://schemas.openxmlformats.org/officeDocument/2006/relationships/hyperlink" Target="https://myiipea.com/media/etudiant/photo/WhatsApp_Image_2023-09-28_at_12.41.30.jpeg" TargetMode="External"/><Relationship Id="rId306" Type="http://schemas.openxmlformats.org/officeDocument/2006/relationships/hyperlink" Target="https://myiipea.com/media/etudiant/photo/WhatsApp_Image_2023-10-03_at_4.34.29_PM.jpeg" TargetMode="External"/><Relationship Id="rId3551" Type="http://schemas.openxmlformats.org/officeDocument/2006/relationships/hyperlink" Target="https://myiipea.com/media/etudiant/photo/WhatsApp_Image_2023-10-03_at_18.13.17.jpeg" TargetMode="External"/><Relationship Id="rId2220" Type="http://schemas.openxmlformats.org/officeDocument/2006/relationships/hyperlink" Target="https://myiipea.com/media/etudiant/photo/WhatsApp_Image_2023-10-06_at_13.11.40.jpeg" TargetMode="External"/><Relationship Id="rId3550" Type="http://schemas.openxmlformats.org/officeDocument/2006/relationships/hyperlink" Target="https://myiipea.com/media/etudiant/photo/WhatsApp_Image_2023-11-16_at_17.13.27.jpeg" TargetMode="External"/><Relationship Id="rId301" Type="http://schemas.openxmlformats.org/officeDocument/2006/relationships/hyperlink" Target="https://myiipea.com/media/etudiant/photo/WhatsApp_Image_2023-09-20_%C3%A0_10.45.40.jpg" TargetMode="External"/><Relationship Id="rId2221" Type="http://schemas.openxmlformats.org/officeDocument/2006/relationships/hyperlink" Target="https://myiipea.com/media/etudiant/photo/WhatsApp_Image_2023-11-09_at_15.05.25.jpeg" TargetMode="External"/><Relationship Id="rId3553" Type="http://schemas.openxmlformats.org/officeDocument/2006/relationships/hyperlink" Target="https://myiipea.com/media/etudiant/photo/WhatsApp_Image_2023-10-09_at_16_resized.png" TargetMode="External"/><Relationship Id="rId300" Type="http://schemas.openxmlformats.org/officeDocument/2006/relationships/hyperlink" Target="https://myiipea.com/media/etudiant/photo/WhatsApp_Image_2023-09-28_at_15.55.07.jpeg" TargetMode="External"/><Relationship Id="rId2222" Type="http://schemas.openxmlformats.org/officeDocument/2006/relationships/hyperlink" Target="https://myiipea.com/media/etudiant/photo/WhatsApp_Image_2023-09-22_at_15.17.59.jpeg" TargetMode="External"/><Relationship Id="rId3552" Type="http://schemas.openxmlformats.org/officeDocument/2006/relationships/hyperlink" Target="https://myiipea.com/media/etudiant/photo/WhatsApp_Image_2023-09-28_at_18.36.58.jpeg" TargetMode="External"/><Relationship Id="rId2223" Type="http://schemas.openxmlformats.org/officeDocument/2006/relationships/hyperlink" Target="https://myiipea.com/media/etudiant/photo/WhatsApp_Image_2023-11-07_at_12.22.43_PM.jpeg" TargetMode="External"/><Relationship Id="rId3555" Type="http://schemas.openxmlformats.org/officeDocument/2006/relationships/hyperlink" Target="https://myiipea.com/media/etudiant/photo/IIPEA_KLhYGsH.jpg" TargetMode="External"/><Relationship Id="rId2224" Type="http://schemas.openxmlformats.org/officeDocument/2006/relationships/hyperlink" Target="https://myiipea.com/media/etudiant/photo/WhatsApp_Image_2023-10-04_at_16.56.55.jpeg" TargetMode="External"/><Relationship Id="rId3554" Type="http://schemas.openxmlformats.org/officeDocument/2006/relationships/hyperlink" Target="https://myiipea.com/media/etudiant/photo/WhatsApp_Image_2023-10-23_at_13.54.42.jpeg" TargetMode="External"/><Relationship Id="rId2214" Type="http://schemas.openxmlformats.org/officeDocument/2006/relationships/hyperlink" Target="https://myiipea.com/media/etudiant/photo/WhatsApp_Image_2023-09-25_at_14.57.57.jpeg" TargetMode="External"/><Relationship Id="rId3546" Type="http://schemas.openxmlformats.org/officeDocument/2006/relationships/hyperlink" Target="https://myiipea.com/media/etudiant/photo/WhatsApp_Image_2023-10-25_at_4.20.40_PM.jpeg" TargetMode="External"/><Relationship Id="rId2215" Type="http://schemas.openxmlformats.org/officeDocument/2006/relationships/hyperlink" Target="https://myiipea.com/media/etudiant/photo/WhatsApp_Image_2023-09-28_at_16.12.19.jpeg" TargetMode="External"/><Relationship Id="rId3545" Type="http://schemas.openxmlformats.org/officeDocument/2006/relationships/hyperlink" Target="https://myiipea.com/media/etudiant/photo/WhatsApp_Image_2023-11-03_at_12.26.46_PM.jpeg" TargetMode="External"/><Relationship Id="rId2216" Type="http://schemas.openxmlformats.org/officeDocument/2006/relationships/hyperlink" Target="https://myiipea.com/media/etudiant/photo/WhatsApp_Image_2023-10-16_at_12.57.15.jpeg" TargetMode="External"/><Relationship Id="rId3548" Type="http://schemas.openxmlformats.org/officeDocument/2006/relationships/hyperlink" Target="https://myiipea.com/media/etudiant/photo/AYA.jpg" TargetMode="External"/><Relationship Id="rId2217" Type="http://schemas.openxmlformats.org/officeDocument/2006/relationships/hyperlink" Target="https://myiipea.com/media/etudiant/photo/WhatsApp_Image_2023-11-07_at_11.44.51.jpeg" TargetMode="External"/><Relationship Id="rId3547" Type="http://schemas.openxmlformats.org/officeDocument/2006/relationships/hyperlink" Target="https://myiipea.com/media/etudiant/photo/WhatsApp_Image_2023-10-12_at_15_resized.png" TargetMode="External"/><Relationship Id="rId2218" Type="http://schemas.openxmlformats.org/officeDocument/2006/relationships/hyperlink" Target="https://myiipea.com/media/etudiant/photo/WhatsApp_Image_2023-10-30_at_17.20.30.jpeg" TargetMode="External"/><Relationship Id="rId2219" Type="http://schemas.openxmlformats.org/officeDocument/2006/relationships/hyperlink" Target="https://myiipea.com/media/etudiant/photo/WhatsApp_Image_2023-11-07_at_12.17.39.jpeg" TargetMode="External"/><Relationship Id="rId3549" Type="http://schemas.openxmlformats.org/officeDocument/2006/relationships/hyperlink" Target="https://myiipea.com/media/etudiant/photo/WhatsApp_Image_2023-09-25_at_08.50.27.jpeg" TargetMode="External"/><Relationship Id="rId3540" Type="http://schemas.openxmlformats.org/officeDocument/2006/relationships/hyperlink" Target="https://myiipea.com/media/etudiant/photo/WhatsApp_Image_2023-11-24_at_12.05.24_PM.jpeg" TargetMode="External"/><Relationship Id="rId2210" Type="http://schemas.openxmlformats.org/officeDocument/2006/relationships/hyperlink" Target="https://myiipea.com/media/etudiant/photo/WhatsApp_Image_2023-10-13_at_17.19.28.jpeg" TargetMode="External"/><Relationship Id="rId3542" Type="http://schemas.openxmlformats.org/officeDocument/2006/relationships/hyperlink" Target="https://myiipea.com/media/etudiant/photo/WhatsApp_Image_2023-10-06_at_10.26.17.jpeg" TargetMode="External"/><Relationship Id="rId2211" Type="http://schemas.openxmlformats.org/officeDocument/2006/relationships/hyperlink" Target="https://myiipea.com/media/etudiant/photo/WhatsApp_Image_2023-10-03_at_10.01.53.jpeg" TargetMode="External"/><Relationship Id="rId3541" Type="http://schemas.openxmlformats.org/officeDocument/2006/relationships/hyperlink" Target="https://myiipea.com/media/etudiant/photo/WhatsApp_Image_2023-11-02_at_08.57.55.jpeg" TargetMode="External"/><Relationship Id="rId2212" Type="http://schemas.openxmlformats.org/officeDocument/2006/relationships/hyperlink" Target="https://myiipea.com/media/etudiant/photo/WhatsApp_Image_2023-09-25_at_09.56.57.jpeg" TargetMode="External"/><Relationship Id="rId3544" Type="http://schemas.openxmlformats.org/officeDocument/2006/relationships/hyperlink" Target="https://myiipea.com/media/etudiant/photo/WhatsApp_Image_2023-10-16_at_14.18.44.jpeg" TargetMode="External"/><Relationship Id="rId2213" Type="http://schemas.openxmlformats.org/officeDocument/2006/relationships/hyperlink" Target="https://myiipea.com/media/etudiant/photo/WhatsApp_Image_2023-10-09_at_16.58.44.jpeg" TargetMode="External"/><Relationship Id="rId3543" Type="http://schemas.openxmlformats.org/officeDocument/2006/relationships/hyperlink" Target="https://myiipea.com/media/etudiant/photo/d.jpeg" TargetMode="External"/><Relationship Id="rId2247" Type="http://schemas.openxmlformats.org/officeDocument/2006/relationships/hyperlink" Target="https://myiipea.com/media/etudiant/photo/WhatsApp_Image_2023-10-06_at_09.28.31.jpeg" TargetMode="External"/><Relationship Id="rId3579" Type="http://schemas.openxmlformats.org/officeDocument/2006/relationships/hyperlink" Target="https://myiipea.com/media/etudiant/photo/WhatsApp_Image_2023-11-03_at_12.03.58.jpeg" TargetMode="External"/><Relationship Id="rId2248" Type="http://schemas.openxmlformats.org/officeDocument/2006/relationships/hyperlink" Target="https://myiipea.com/media/etudiant/photo/WhatsApp_Image_2023-09-18_at_14.38.12.jpeg" TargetMode="External"/><Relationship Id="rId3578" Type="http://schemas.openxmlformats.org/officeDocument/2006/relationships/hyperlink" Target="https://myiipea.com/media/etudiant/photo/WhatsApp_Image_2023-11-08_at_12.04.16_PM.jpeg" TargetMode="External"/><Relationship Id="rId2249" Type="http://schemas.openxmlformats.org/officeDocument/2006/relationships/hyperlink" Target="https://myiipea.com/media/etudiant/photo/WhatsApp_Image_2023-10-18_at_12.46.48.jpeg" TargetMode="External"/><Relationship Id="rId327" Type="http://schemas.openxmlformats.org/officeDocument/2006/relationships/hyperlink" Target="https://myiipea.com/media/etudiant/photo/WhatsApp_Image_2023-10-05_at_13.29.42.jpeg" TargetMode="External"/><Relationship Id="rId326" Type="http://schemas.openxmlformats.org/officeDocument/2006/relationships/hyperlink" Target="https://myiipea.com/media/etudiant/photo/WhatsApp_Image_2023-09-22_at_11.15.04.jpeg" TargetMode="External"/><Relationship Id="rId325" Type="http://schemas.openxmlformats.org/officeDocument/2006/relationships/hyperlink" Target="https://myiipea.com/media/etudiant/photo/WhatsApp_Image_2023-10-16_at_20.21.59.jpeg" TargetMode="External"/><Relationship Id="rId324" Type="http://schemas.openxmlformats.org/officeDocument/2006/relationships/hyperlink" Target="https://myiipea.com/media/etudiant/photo/WhatsApp_Image_2023-10-26_at_12.33.43.jpeg" TargetMode="External"/><Relationship Id="rId329" Type="http://schemas.openxmlformats.org/officeDocument/2006/relationships/hyperlink" Target="https://myiipea.com/media/etudiant/photo/WhatsApp_Image_2023-10-11_at_18.12.00.jpeg" TargetMode="External"/><Relationship Id="rId328" Type="http://schemas.openxmlformats.org/officeDocument/2006/relationships/hyperlink" Target="https://myiipea.com/media/etudiant/photo/ANON.jpg" TargetMode="External"/><Relationship Id="rId3571" Type="http://schemas.openxmlformats.org/officeDocument/2006/relationships/hyperlink" Target="https://myiipea.com/media/etudiant/photo/WhatsApp_Image_2023-10-03_at_08.46.05.jpeg" TargetMode="External"/><Relationship Id="rId2240" Type="http://schemas.openxmlformats.org/officeDocument/2006/relationships/hyperlink" Target="https://myiipea.com/media/etudiant/photo/WhatsApp_Image_2023-10-24_at_12.53.10.jpeg" TargetMode="External"/><Relationship Id="rId3570" Type="http://schemas.openxmlformats.org/officeDocument/2006/relationships/hyperlink" Target="https://myiipea.com/media/etudiant/photo/WhatsApp_Image_2023-11-02_at_15.40.14.jpeg" TargetMode="External"/><Relationship Id="rId2241" Type="http://schemas.openxmlformats.org/officeDocument/2006/relationships/hyperlink" Target="https://myiipea.com/media/etudiant/photo/WhatsApp_Image_2023-09-26_%C3%A0_14.06.24.jpg" TargetMode="External"/><Relationship Id="rId3573" Type="http://schemas.openxmlformats.org/officeDocument/2006/relationships/hyperlink" Target="https://myiipea.com/media/etudiant/photo/WhatsApp_Image_2023-10-03_at_11.14.56_AM_V4Yl0M1.jpeg" TargetMode="External"/><Relationship Id="rId2242" Type="http://schemas.openxmlformats.org/officeDocument/2006/relationships/hyperlink" Target="https://myiipea.com/media/etudiant/photo/WhatsApp_Image_2023-10-16_at_12.38.41.jpeg" TargetMode="External"/><Relationship Id="rId3572" Type="http://schemas.openxmlformats.org/officeDocument/2006/relationships/hyperlink" Target="https://myiipea.com/media/etudiant/photo/WhatsApp_Image_2023-11-23_at_12.01.18.jpeg" TargetMode="External"/><Relationship Id="rId323" Type="http://schemas.openxmlformats.org/officeDocument/2006/relationships/hyperlink" Target="https://myiipea.com/media/etudiant/photo/WhatsApp_Image_2023-10-17_at_4.59.19_PM.jpeg" TargetMode="External"/><Relationship Id="rId2243" Type="http://schemas.openxmlformats.org/officeDocument/2006/relationships/hyperlink" Target="https://myiipea.com/media/etudiant/photo/WhatsApp_Image_2023-10-31_at_10.11.30.jpeg" TargetMode="External"/><Relationship Id="rId3575" Type="http://schemas.openxmlformats.org/officeDocument/2006/relationships/hyperlink" Target="https://myiipea.com/media/etudiant/photo/WhatsApp_Image_2023-10-16_at_16.01.26.jpeg" TargetMode="External"/><Relationship Id="rId322" Type="http://schemas.openxmlformats.org/officeDocument/2006/relationships/hyperlink" Target="https://myiipea.com/media/etudiant/photo/WhatsApp_Image_2023-10-03_at_15.32.55.jpeg" TargetMode="External"/><Relationship Id="rId2244" Type="http://schemas.openxmlformats.org/officeDocument/2006/relationships/hyperlink" Target="https://myiipea.com/media/etudiant/photo/WhatsApp_Image_2023-10-03_at_15_resized.png" TargetMode="External"/><Relationship Id="rId3574" Type="http://schemas.openxmlformats.org/officeDocument/2006/relationships/hyperlink" Target="https://myiipea.com/media/etudiant/photo/WhatsApp_Image_2023-09-14_at_15.03.22.jpeg" TargetMode="External"/><Relationship Id="rId321" Type="http://schemas.openxmlformats.org/officeDocument/2006/relationships/hyperlink" Target="https://myiipea.com/media/etudiant/photo/WhatsApp_Image_2023-10-03_at_1_resized.png" TargetMode="External"/><Relationship Id="rId2245" Type="http://schemas.openxmlformats.org/officeDocument/2006/relationships/hyperlink" Target="https://myiipea.com/media/etudiant/photo/WhatsApp_Image_2023-10-25_at_12.39.50.jpeg" TargetMode="External"/><Relationship Id="rId3577" Type="http://schemas.openxmlformats.org/officeDocument/2006/relationships/hyperlink" Target="https://myiipea.com/media/etudiant/photo/WhatsApp_Image_2023-10-02_at_10.42.40.jpeg" TargetMode="External"/><Relationship Id="rId320" Type="http://schemas.openxmlformats.org/officeDocument/2006/relationships/hyperlink" Target="https://myiipea.com/media/etudiant/photo/WhatsApp_Image_2023-10-18_at_13.49.40.jpeg" TargetMode="External"/><Relationship Id="rId2246" Type="http://schemas.openxmlformats.org/officeDocument/2006/relationships/hyperlink" Target="https://myiipea.com/media/etudiant/photo/WhatsApp_Image_2023-10-03_at_11.14.56_AM_Yoj0tJu.jpeg" TargetMode="External"/><Relationship Id="rId3576" Type="http://schemas.openxmlformats.org/officeDocument/2006/relationships/hyperlink" Target="https://myiipea.com/media/etudiant/photo/WhatsApp_Image_2023-11-03_at_10.15.40.jpeg" TargetMode="External"/><Relationship Id="rId2236" Type="http://schemas.openxmlformats.org/officeDocument/2006/relationships/hyperlink" Target="https://myiipea.com/media/etudiant/photo/DIT.jpg" TargetMode="External"/><Relationship Id="rId3568" Type="http://schemas.openxmlformats.org/officeDocument/2006/relationships/hyperlink" Target="https://myiipea.com/media/etudiant/photo/WhatsApp_Image_2023-10-05_at_10.29.53.jpeg" TargetMode="External"/><Relationship Id="rId2237" Type="http://schemas.openxmlformats.org/officeDocument/2006/relationships/hyperlink" Target="https://myiipea.com/media/etudiant/photo/WhatsApp_Image_2023-10-31_at_10.04.58.jpeg" TargetMode="External"/><Relationship Id="rId3567" Type="http://schemas.openxmlformats.org/officeDocument/2006/relationships/hyperlink" Target="https://myiipea.com/media/etudiant/photo/WhatsApp_Image_2023-09-26_at_11.33.42_1_WvPYhfm.jpeg" TargetMode="External"/><Relationship Id="rId2238" Type="http://schemas.openxmlformats.org/officeDocument/2006/relationships/hyperlink" Target="https://myiipea.com/media/etudiant/photo/WhatsApp_Image_2023-10-03_at_08.43.32.jpeg" TargetMode="External"/><Relationship Id="rId2239" Type="http://schemas.openxmlformats.org/officeDocument/2006/relationships/hyperlink" Target="https://myiipea.com/media/etudiant/photo/WhatsApp_Image_2023-10-25_at_09.03.01.jpeg" TargetMode="External"/><Relationship Id="rId3569" Type="http://schemas.openxmlformats.org/officeDocument/2006/relationships/hyperlink" Target="https://myiipea.com/media/etudiant/photo/ISAAC.jpg" TargetMode="External"/><Relationship Id="rId316" Type="http://schemas.openxmlformats.org/officeDocument/2006/relationships/hyperlink" Target="https://myiipea.com/media/etudiant/photo/WhatsApp_Image_2023-09-29_at_09.17.02.jpeg" TargetMode="External"/><Relationship Id="rId315" Type="http://schemas.openxmlformats.org/officeDocument/2006/relationships/hyperlink" Target="https://myiipea.com/media/etudiant/photo/WhatsApp_Image_2023-11-16_at_3.41.44_PM.jpeg" TargetMode="External"/><Relationship Id="rId314" Type="http://schemas.openxmlformats.org/officeDocument/2006/relationships/hyperlink" Target="https://myiipea.com/media/etudiant/photo/WhatsApp_Image_2023-11-09_at_12.52.02.jpeg" TargetMode="External"/><Relationship Id="rId313" Type="http://schemas.openxmlformats.org/officeDocument/2006/relationships/hyperlink" Target="https://myiipea.com/media/etudiant/photo/WhatsApp_Image_2023-10-17_at_14_resized.png" TargetMode="External"/><Relationship Id="rId319" Type="http://schemas.openxmlformats.org/officeDocument/2006/relationships/hyperlink" Target="https://myiipea.com/media/etudiant/photo/WhatsApp_Image_2023-11-07_at_14.13.47.jpeg" TargetMode="External"/><Relationship Id="rId318" Type="http://schemas.openxmlformats.org/officeDocument/2006/relationships/hyperlink" Target="https://myiipea.com/media/etudiant/photo/WhatsApp_Image_2023-11-06_at_14.15.38.jpeg" TargetMode="External"/><Relationship Id="rId317" Type="http://schemas.openxmlformats.org/officeDocument/2006/relationships/hyperlink" Target="https://myiipea.com/media/etudiant/photo/WhatsApp_Image_2023-10-06_at_16.44.51.jpeg" TargetMode="External"/><Relationship Id="rId3560" Type="http://schemas.openxmlformats.org/officeDocument/2006/relationships/hyperlink" Target="https://myiipea.com/media/etudiant/photo/WhatsApp_Image_2023-09-20_at_11.56.42.jpeg" TargetMode="External"/><Relationship Id="rId2230" Type="http://schemas.openxmlformats.org/officeDocument/2006/relationships/hyperlink" Target="https://myiipea.com/media/etudiant/photo/WhatsApp_Image_2023-10-04_at_14.47.59.jpeg" TargetMode="External"/><Relationship Id="rId3562" Type="http://schemas.openxmlformats.org/officeDocument/2006/relationships/hyperlink" Target="https://myiipea.com/media/etudiant/photo/WhatsApp_Image_2023-09-20_at_11.48.56.jpeg" TargetMode="External"/><Relationship Id="rId2231" Type="http://schemas.openxmlformats.org/officeDocument/2006/relationships/hyperlink" Target="https://myiipea.com/media/etudiant/photo/WhatsApp_Image_2023-10-13_at_20.14.39.jpeg" TargetMode="External"/><Relationship Id="rId3561" Type="http://schemas.openxmlformats.org/officeDocument/2006/relationships/hyperlink" Target="https://myiipea.com/media/etudiant/photo/WhatsApp_Image_2023-10-28_at_13.26.11.jpeg" TargetMode="External"/><Relationship Id="rId312" Type="http://schemas.openxmlformats.org/officeDocument/2006/relationships/hyperlink" Target="https://myiipea.com/media/etudiant/photo/WhatsApp_Image_2023-10-06_at_14.19.19.jpeg" TargetMode="External"/><Relationship Id="rId2232" Type="http://schemas.openxmlformats.org/officeDocument/2006/relationships/hyperlink" Target="https://myiipea.com/media/etudiant/photo/WhatsApp_Image_2023-11-20_at_3.35.43_PM_1.jpeg" TargetMode="External"/><Relationship Id="rId3564" Type="http://schemas.openxmlformats.org/officeDocument/2006/relationships/hyperlink" Target="https://myiipea.com/media/etudiant/photo/WhatsApp_Image_2023-10-30_at_13.13.19.jpeg" TargetMode="External"/><Relationship Id="rId311" Type="http://schemas.openxmlformats.org/officeDocument/2006/relationships/hyperlink" Target="https://myiipea.com/media/etudiant/photo/WhatsApp_Image_2023-10-12_at_13.09.14.jpeg" TargetMode="External"/><Relationship Id="rId2233" Type="http://schemas.openxmlformats.org/officeDocument/2006/relationships/hyperlink" Target="https://myiipea.com/media/etudiant/photo/WhatsApp_Image_2023-10-04_at_14.54.35.jpeg" TargetMode="External"/><Relationship Id="rId3563" Type="http://schemas.openxmlformats.org/officeDocument/2006/relationships/hyperlink" Target="https://myiipea.com/media/etudiant/photo/WhatsApp_Image_2023-10-04_at_16.49.24_1.jpeg" TargetMode="External"/><Relationship Id="rId310" Type="http://schemas.openxmlformats.org/officeDocument/2006/relationships/hyperlink" Target="https://myiipea.com/media/etudiant/photo/WhatsApp_Image_2023-10-04_at_11.38.35.jpeg" TargetMode="External"/><Relationship Id="rId2234" Type="http://schemas.openxmlformats.org/officeDocument/2006/relationships/hyperlink" Target="https://myiipea.com/media/etudiant/photo/WhatsApp_Image_2023-10-02_at_14.39.59.jpeg" TargetMode="External"/><Relationship Id="rId3566" Type="http://schemas.openxmlformats.org/officeDocument/2006/relationships/hyperlink" Target="https://myiipea.com/media/etudiant/photo/WhatsApp_Image_2023-10-16_at_13.37.25.jpeg" TargetMode="External"/><Relationship Id="rId2235" Type="http://schemas.openxmlformats.org/officeDocument/2006/relationships/hyperlink" Target="https://myiipea.com/media/etudiant/photo/WhatsApp_Image_2023-09-29_at_10.23.46.jpeg" TargetMode="External"/><Relationship Id="rId3565" Type="http://schemas.openxmlformats.org/officeDocument/2006/relationships/hyperlink" Target="https://myiipea.com/media/etudiant/photo/WhatsApp_Image_2023-10-03_at_13.04.28.jpeg" TargetMode="External"/><Relationship Id="rId297" Type="http://schemas.openxmlformats.org/officeDocument/2006/relationships/hyperlink" Target="https://myiipea.com/media/etudiant/photo/WhatsApp_Image_2023-09-28_at_12.19.50.jpeg" TargetMode="External"/><Relationship Id="rId296" Type="http://schemas.openxmlformats.org/officeDocument/2006/relationships/hyperlink" Target="https://myiipea.com/media/etudiant/photo/WhatsApp_Image_2023-09-28_at_12.46.59.jpeg" TargetMode="External"/><Relationship Id="rId295" Type="http://schemas.openxmlformats.org/officeDocument/2006/relationships/hyperlink" Target="https://myiipea.com/media/etudiant/photo/WhatsApp_Image_2023-10-30_at_15.04.10.jpeg" TargetMode="External"/><Relationship Id="rId294" Type="http://schemas.openxmlformats.org/officeDocument/2006/relationships/hyperlink" Target="https://myiipea.com/media/etudiant/photo/WhatsApp_Image_2023-10-26_at_1.26.25_PM.jpeg" TargetMode="External"/><Relationship Id="rId299" Type="http://schemas.openxmlformats.org/officeDocument/2006/relationships/hyperlink" Target="https://myiipea.com/media/etudiant/photo/WhatsApp_Image_2023-10-06_at_12.13.53.jpeg" TargetMode="External"/><Relationship Id="rId298" Type="http://schemas.openxmlformats.org/officeDocument/2006/relationships/hyperlink" Target="https://myiipea.com/media/etudiant/photo/WhatsApp_Image_2023-11-13_at_11.12.40.jpeg" TargetMode="External"/><Relationship Id="rId271" Type="http://schemas.openxmlformats.org/officeDocument/2006/relationships/hyperlink" Target="https://myiipea.com/media/etudiant/photo/WhatsApp_Image_2023-10-02_at_11.21.16.jpeg" TargetMode="External"/><Relationship Id="rId270" Type="http://schemas.openxmlformats.org/officeDocument/2006/relationships/hyperlink" Target="https://myiipea.com/media/etudiant/photo/WhatsApp_Image_2023-10-04_at_12.06.12.jpeg" TargetMode="External"/><Relationship Id="rId269" Type="http://schemas.openxmlformats.org/officeDocument/2006/relationships/hyperlink" Target="https://myiipea.com/media/etudiant/photo/WhatsApp_Image_2023-09-25_at_11.27.48.jpeg" TargetMode="External"/><Relationship Id="rId264" Type="http://schemas.openxmlformats.org/officeDocument/2006/relationships/hyperlink" Target="https://myiipea.com/media/etudiant/photo/WhatsApp_Image_2023-11-27_at_13.18.42.jpeg" TargetMode="External"/><Relationship Id="rId263" Type="http://schemas.openxmlformats.org/officeDocument/2006/relationships/hyperlink" Target="https://myiipea.com/media/etudiant/photo/WhatsApp_Image_2023-09-28_at_10.17.32.jpeg" TargetMode="External"/><Relationship Id="rId262" Type="http://schemas.openxmlformats.org/officeDocument/2006/relationships/hyperlink" Target="https://myiipea.com/media/etudiant/photo/WhatsApp_Image_2023-10-10_at_13.01.10.jpeg" TargetMode="External"/><Relationship Id="rId261" Type="http://schemas.openxmlformats.org/officeDocument/2006/relationships/hyperlink" Target="https://myiipea.com/media/etudiant/photo/IMG_1235_resized.png" TargetMode="External"/><Relationship Id="rId268" Type="http://schemas.openxmlformats.org/officeDocument/2006/relationships/hyperlink" Target="https://myiipea.com/media/etudiant/photo/WhatsApp_Image_2023-10-16_at_10.09.30.jpeg" TargetMode="External"/><Relationship Id="rId267" Type="http://schemas.openxmlformats.org/officeDocument/2006/relationships/hyperlink" Target="https://myiipea.com/media/etudiant/photo/WhatsApp_Image_2023-11-06_at_5.50.15_PM.jpeg" TargetMode="External"/><Relationship Id="rId266" Type="http://schemas.openxmlformats.org/officeDocument/2006/relationships/hyperlink" Target="https://myiipea.com/media/etudiant/photo/WhatsApp_Image_2023-10-23_at_09.55.28.jpeg" TargetMode="External"/><Relationship Id="rId265" Type="http://schemas.openxmlformats.org/officeDocument/2006/relationships/hyperlink" Target="https://myiipea.com/media/etudiant/photo/WhatsApp_Image_2023-10-06_at_16.43.31.jpeg" TargetMode="External"/><Relationship Id="rId260" Type="http://schemas.openxmlformats.org/officeDocument/2006/relationships/hyperlink" Target="https://myiipea.com/media/etudiant/photo/WhatsApp_Image_2023-10-11_at_13.04.26.jpeg" TargetMode="External"/><Relationship Id="rId259" Type="http://schemas.openxmlformats.org/officeDocument/2006/relationships/hyperlink" Target="https://myiipea.com/media/etudiant/photo/WhatsApp_Image_2023-10-04_at_12.38.54_PM.jpeg" TargetMode="External"/><Relationship Id="rId258" Type="http://schemas.openxmlformats.org/officeDocument/2006/relationships/hyperlink" Target="https://myiipea.com/media/etudiant/photo/WhatsApp_Image_2023-10-05_at_13.31.12.jpeg" TargetMode="External"/><Relationship Id="rId2290" Type="http://schemas.openxmlformats.org/officeDocument/2006/relationships/hyperlink" Target="https://myiipea.com/media/etudiant/photo/WhatsApp_Image_2023-10-03_at_09.55.37.jpeg" TargetMode="External"/><Relationship Id="rId2291" Type="http://schemas.openxmlformats.org/officeDocument/2006/relationships/hyperlink" Target="https://myiipea.com/media/etudiant/photo/WhatsApp_Image_2023-09-28_at_12.57.41.jpeg" TargetMode="External"/><Relationship Id="rId2292" Type="http://schemas.openxmlformats.org/officeDocument/2006/relationships/hyperlink" Target="https://myiipea.com/media/etudiant/photo/WhatsApp_Image_2023-10-17_at_14.43.07.jpeg" TargetMode="External"/><Relationship Id="rId2293" Type="http://schemas.openxmlformats.org/officeDocument/2006/relationships/hyperlink" Target="https://myiipea.com/media/etudiant/photo/WhatsApp_Image_2023-10-06_at_11.58.36.jpeg" TargetMode="External"/><Relationship Id="rId253" Type="http://schemas.openxmlformats.org/officeDocument/2006/relationships/hyperlink" Target="https://myiipea.com/media/etudiant/photo/WhatsApp_Image_2023-10-30_at_10.57.40.jpeg" TargetMode="External"/><Relationship Id="rId2294" Type="http://schemas.openxmlformats.org/officeDocument/2006/relationships/hyperlink" Target="https://myiipea.com/media/etudiant/photo/WhatsApp_Image_2023-10-26_at_17.40.21.jpeg" TargetMode="External"/><Relationship Id="rId252" Type="http://schemas.openxmlformats.org/officeDocument/2006/relationships/hyperlink" Target="https://myiipea.com/media/etudiant/photo/WhatsApp_Image_2023-10-10_at_12.02.44.jpeg" TargetMode="External"/><Relationship Id="rId2295" Type="http://schemas.openxmlformats.org/officeDocument/2006/relationships/hyperlink" Target="https://myiipea.com/media/etudiant/photo/WhatsApp_Image_2023-10-30_at_12.33.42.jpeg" TargetMode="External"/><Relationship Id="rId251" Type="http://schemas.openxmlformats.org/officeDocument/2006/relationships/hyperlink" Target="https://myiipea.com/media/etudiant/photo/WhatsApp_Image_2023-09-22_at_10.51.57.jpeg" TargetMode="External"/><Relationship Id="rId2296" Type="http://schemas.openxmlformats.org/officeDocument/2006/relationships/hyperlink" Target="https://myiipea.com/media/etudiant/photo/WhatsApp_Image_2023-11-20_at_11.34.33_AM.jpeg" TargetMode="External"/><Relationship Id="rId250" Type="http://schemas.openxmlformats.org/officeDocument/2006/relationships/hyperlink" Target="https://myiipea.com/media/etudiant/photo/WhatsApp_Image_2023-10-09_at_14.56.42.jpeg" TargetMode="External"/><Relationship Id="rId2297" Type="http://schemas.openxmlformats.org/officeDocument/2006/relationships/hyperlink" Target="https://myiipea.com/media/etudiant/photo/WhatsApp_Image_2023-09-18_at_15.39.03.jpeg" TargetMode="External"/><Relationship Id="rId257" Type="http://schemas.openxmlformats.org/officeDocument/2006/relationships/hyperlink" Target="https://myiipea.com/media/etudiant/photo/WhatsApp_Image_2023-10-05_at_15_resized_QKmVSO6.png" TargetMode="External"/><Relationship Id="rId2298" Type="http://schemas.openxmlformats.org/officeDocument/2006/relationships/hyperlink" Target="https://myiipea.com/media/etudiant/photo/WhatsApp_Image_2023-10-04_at_12.10.22.jpeg" TargetMode="External"/><Relationship Id="rId256" Type="http://schemas.openxmlformats.org/officeDocument/2006/relationships/hyperlink" Target="https://myiipea.com/media/etudiant/photo/WhatsApp_Image_2023-10-17_at_10.20.16.jpeg" TargetMode="External"/><Relationship Id="rId2299" Type="http://schemas.openxmlformats.org/officeDocument/2006/relationships/hyperlink" Target="https://myiipea.com/media/etudiant/photo/WhatsApp_Image_2023-11-03_at_10.42.50.jpeg" TargetMode="External"/><Relationship Id="rId255" Type="http://schemas.openxmlformats.org/officeDocument/2006/relationships/hyperlink" Target="https://myiipea.com/media/etudiant/photo/WhatsApp_Image_2023-11-03_at_1.19.11_PM.jpeg" TargetMode="External"/><Relationship Id="rId254" Type="http://schemas.openxmlformats.org/officeDocument/2006/relationships/hyperlink" Target="https://myiipea.com/media/etudiant/photo/WhatsApp_Image_2023-11-17_at_15.43.37.jpeg" TargetMode="External"/><Relationship Id="rId293" Type="http://schemas.openxmlformats.org/officeDocument/2006/relationships/hyperlink" Target="https://myiipea.com/media/etudiant/photo/WhatsApp_Image_2023-10-02_at_14.09.45.jpeg" TargetMode="External"/><Relationship Id="rId292" Type="http://schemas.openxmlformats.org/officeDocument/2006/relationships/hyperlink" Target="https://myiipea.com/media/etudiant/photo/WhatsApp_Image_2023-10-03_at_12.13.29.jpeg" TargetMode="External"/><Relationship Id="rId291" Type="http://schemas.openxmlformats.org/officeDocument/2006/relationships/hyperlink" Target="https://myiipea.com/media/etudiant/photo/WhatsApp_Image_2023-10-31_at_16.34.31.jpeg" TargetMode="External"/><Relationship Id="rId290" Type="http://schemas.openxmlformats.org/officeDocument/2006/relationships/hyperlink" Target="https://myiipea.com/media/etudiant/photo/WhatsApp_Image_2023-11-14_at_1.34.54_PM.jpeg" TargetMode="External"/><Relationship Id="rId286" Type="http://schemas.openxmlformats.org/officeDocument/2006/relationships/hyperlink" Target="https://myiipea.com/media/etudiant/photo/WhatsApp_Image_2023-09-26_at_10.59.00.jpeg" TargetMode="External"/><Relationship Id="rId285" Type="http://schemas.openxmlformats.org/officeDocument/2006/relationships/hyperlink" Target="https://myiipea.com/media/etudiant/photo/WhatsApp_Image_2023-11-27_at_1.49.13_PM.jpeg" TargetMode="External"/><Relationship Id="rId284" Type="http://schemas.openxmlformats.org/officeDocument/2006/relationships/hyperlink" Target="https://myiipea.com/media/etudiant/photo/WhatsApp_Image_2023-10-12_at_12.39.29.jpeg" TargetMode="External"/><Relationship Id="rId283" Type="http://schemas.openxmlformats.org/officeDocument/2006/relationships/hyperlink" Target="https://myiipea.com/media/etudiant/photo/WhatsApp_Image_2023-10-04_at_14.57.15.jpeg" TargetMode="External"/><Relationship Id="rId289" Type="http://schemas.openxmlformats.org/officeDocument/2006/relationships/hyperlink" Target="https://myiipea.com/media/etudiant/photo/WhatsApp_Image_2023-10-06_at_17.00.11.jpeg" TargetMode="External"/><Relationship Id="rId288" Type="http://schemas.openxmlformats.org/officeDocument/2006/relationships/hyperlink" Target="https://myiipea.com/media/etudiant/photo/WhatsApp_Image_2023-10-13_at_16.39.50.jpeg" TargetMode="External"/><Relationship Id="rId287" Type="http://schemas.openxmlformats.org/officeDocument/2006/relationships/hyperlink" Target="https://myiipea.com/media/etudiant/photo/WhatsApp_Image_2023-10-11_at_14.12.44.jpeg" TargetMode="External"/><Relationship Id="rId282" Type="http://schemas.openxmlformats.org/officeDocument/2006/relationships/hyperlink" Target="https://myiipea.com/media/etudiant/photo/WhatsApp_Image_2023-10-05_at_12.30.54.jpeg" TargetMode="External"/><Relationship Id="rId281" Type="http://schemas.openxmlformats.org/officeDocument/2006/relationships/hyperlink" Target="https://myiipea.com/media/etudiant/photo/WhatsApp_Image_2023-10-26_at_12.33.42.jpeg" TargetMode="External"/><Relationship Id="rId280" Type="http://schemas.openxmlformats.org/officeDocument/2006/relationships/hyperlink" Target="https://myiipea.com/media/etudiant/photo/IIPEA_2gmdB9l.jpg" TargetMode="External"/><Relationship Id="rId275" Type="http://schemas.openxmlformats.org/officeDocument/2006/relationships/hyperlink" Target="https://myiipea.com/media/etudiant/photo/WhatsApp_Image_2023-10-03_at_14.11.37.jpeg" TargetMode="External"/><Relationship Id="rId274" Type="http://schemas.openxmlformats.org/officeDocument/2006/relationships/hyperlink" Target="https://myiipea.com/media/etudiant/photo/WhatsApp_Image_2023-11-02_at_09.56.49_AChpEvB.jpeg" TargetMode="External"/><Relationship Id="rId273" Type="http://schemas.openxmlformats.org/officeDocument/2006/relationships/hyperlink" Target="https://myiipea.com/media/etudiant/photo/WhatsApp_Image_2023-10-03_at_17_resized.png" TargetMode="External"/><Relationship Id="rId272" Type="http://schemas.openxmlformats.org/officeDocument/2006/relationships/hyperlink" Target="https://myiipea.com/media/etudiant/photo/WhatsApp_Image_2023-10-10_at_17.17.55.jpeg" TargetMode="External"/><Relationship Id="rId279" Type="http://schemas.openxmlformats.org/officeDocument/2006/relationships/hyperlink" Target="https://myiipea.com/media/etudiant/photo/WhatsApp_Image_2023-09-29_at_09.07.04.jpeg" TargetMode="External"/><Relationship Id="rId278" Type="http://schemas.openxmlformats.org/officeDocument/2006/relationships/hyperlink" Target="https://myiipea.com/media/etudiant/photo/WhatsApp_Image_2023-10-04_at_13.39.17.jpeg" TargetMode="External"/><Relationship Id="rId277" Type="http://schemas.openxmlformats.org/officeDocument/2006/relationships/hyperlink" Target="https://myiipea.com/media/etudiant/photo/WhatsApp_Image_2023-11-21_at_16.44.33.jpeg" TargetMode="External"/><Relationship Id="rId276" Type="http://schemas.openxmlformats.org/officeDocument/2006/relationships/hyperlink" Target="https://myiipea.com/media/etudiant/photo/WhatsApp_Image_2023-10-06_at_15.55.35.jpeg" TargetMode="External"/><Relationship Id="rId1851" Type="http://schemas.openxmlformats.org/officeDocument/2006/relationships/hyperlink" Target="https://myiipea.com/media/etudiant/photo/WhatsApp_Image_2023-09-25_%C3%A0_11.00.51.jpg" TargetMode="External"/><Relationship Id="rId1852" Type="http://schemas.openxmlformats.org/officeDocument/2006/relationships/hyperlink" Target="https://myiipea.com/media/etudiant/photo/WhatsApp_Image_2023-10-09_at_17.36.15.jpeg" TargetMode="External"/><Relationship Id="rId1853" Type="http://schemas.openxmlformats.org/officeDocument/2006/relationships/hyperlink" Target="https://myiipea.com/media/etudiant/photo/WhatsApp_Image_2023-10-04_at_10.31.04.jpeg" TargetMode="External"/><Relationship Id="rId1854" Type="http://schemas.openxmlformats.org/officeDocument/2006/relationships/hyperlink" Target="https://myiipea.com/media/etudiant/photo/WhatsApp_Image_2023-10-12_at_16.30.07.jpeg" TargetMode="External"/><Relationship Id="rId1855" Type="http://schemas.openxmlformats.org/officeDocument/2006/relationships/hyperlink" Target="https://myiipea.com/media/etudiant/photo/WhatsApp_Image_2023-10-13_at_13.32.56.jpeg" TargetMode="External"/><Relationship Id="rId1856" Type="http://schemas.openxmlformats.org/officeDocument/2006/relationships/hyperlink" Target="https://myiipea.com/media/etudiant/photo/WhatsApp_Image_2023-09-22_at_15.05.22.jpeg" TargetMode="External"/><Relationship Id="rId1857" Type="http://schemas.openxmlformats.org/officeDocument/2006/relationships/hyperlink" Target="https://myiipea.com/media/etudiant/photo/WhatsApp_Image_2023-10-03_at_16.22.12.jpeg" TargetMode="External"/><Relationship Id="rId1858" Type="http://schemas.openxmlformats.org/officeDocument/2006/relationships/hyperlink" Target="https://myiipea.com/media/etudiant/photo/IIPEA_bqctoGN.jpg" TargetMode="External"/><Relationship Id="rId1859" Type="http://schemas.openxmlformats.org/officeDocument/2006/relationships/hyperlink" Target="https://myiipea.com/media/etudiant/photo/WhatsApp_Image_2023-10-11_at_17.05.25.jpeg" TargetMode="External"/><Relationship Id="rId1850" Type="http://schemas.openxmlformats.org/officeDocument/2006/relationships/hyperlink" Target="https://myiipea.com/media/etudiant/photo/WhatsApp_Image_2023-10-27_at_16.28.59.jpeg" TargetMode="External"/><Relationship Id="rId1840" Type="http://schemas.openxmlformats.org/officeDocument/2006/relationships/hyperlink" Target="https://myiipea.com/media/etudiant/photo/WhatsApp_Image_2023-09-28_at_13.51.33.jpeg" TargetMode="External"/><Relationship Id="rId1841" Type="http://schemas.openxmlformats.org/officeDocument/2006/relationships/hyperlink" Target="https://myiipea.com/media/etudiant/photo/WhatsApp_Image_2023-11-16_at_1.12.59_PM.jpeg" TargetMode="External"/><Relationship Id="rId1842" Type="http://schemas.openxmlformats.org/officeDocument/2006/relationships/hyperlink" Target="https://myiipea.com/media/etudiant/photo/WhatsApp_Image_2023-10-10_at_3.58.27_PM.jpeg" TargetMode="External"/><Relationship Id="rId1843" Type="http://schemas.openxmlformats.org/officeDocument/2006/relationships/hyperlink" Target="https://myiipea.com/media/etudiant/photo/ee805a7a-bd0f-4cfc-a70e-cbab604ca96a.jpeg" TargetMode="External"/><Relationship Id="rId1844" Type="http://schemas.openxmlformats.org/officeDocument/2006/relationships/hyperlink" Target="https://myiipea.com/media/etudiant/photo/WhatsApp_Image_2023-10-11_at_09.33.57.jpeg" TargetMode="External"/><Relationship Id="rId1845" Type="http://schemas.openxmlformats.org/officeDocument/2006/relationships/hyperlink" Target="https://myiipea.com/media/etudiant/photo/WhatsApp_Image_2023-10-24_at_1_resized.png" TargetMode="External"/><Relationship Id="rId1846" Type="http://schemas.openxmlformats.org/officeDocument/2006/relationships/hyperlink" Target="https://myiipea.com/media/etudiant/photo/WhatsApp_Image_2023-11-16_at_3.26.58_PM.jpeg" TargetMode="External"/><Relationship Id="rId1847" Type="http://schemas.openxmlformats.org/officeDocument/2006/relationships/hyperlink" Target="https://myiipea.com/media/etudiant/photo/WhatsApp_Image_2023-10-14_at_11.22.05.jpeg" TargetMode="External"/><Relationship Id="rId1848" Type="http://schemas.openxmlformats.org/officeDocument/2006/relationships/hyperlink" Target="https://myiipea.com/media/etudiant/photo/WhatsApp_Image_2023-10-04_at_12.01.52.jpeg" TargetMode="External"/><Relationship Id="rId1849" Type="http://schemas.openxmlformats.org/officeDocument/2006/relationships/hyperlink" Target="https://myiipea.com/media/etudiant/photo/WhatsApp_Image_2023-10-24_at_16.13.48.jpeg" TargetMode="External"/><Relationship Id="rId1873" Type="http://schemas.openxmlformats.org/officeDocument/2006/relationships/hyperlink" Target="https://myiipea.com/media/etudiant/photo/WhatsApp_Image_2023-10-04_at_12.13.13.jpeg" TargetMode="External"/><Relationship Id="rId1874" Type="http://schemas.openxmlformats.org/officeDocument/2006/relationships/hyperlink" Target="https://myiipea.com/media/etudiant/photo/IIPEA_6ycWzuI.jpg" TargetMode="External"/><Relationship Id="rId1875" Type="http://schemas.openxmlformats.org/officeDocument/2006/relationships/hyperlink" Target="https://myiipea.com/media/etudiant/photo/t%C3%A9l%C3%A9charg%C3%A9_YGhxOUy.jpeg" TargetMode="External"/><Relationship Id="rId1876" Type="http://schemas.openxmlformats.org/officeDocument/2006/relationships/hyperlink" Target="https://myiipea.com/media/etudiant/photo/WhatsApp_Image_2023-10-03_at_11.14.56_AM_2dJUc7S.jpeg" TargetMode="External"/><Relationship Id="rId1877" Type="http://schemas.openxmlformats.org/officeDocument/2006/relationships/hyperlink" Target="https://myiipea.com/media/etudiant/photo/WhatsApp_Image_2023-11-20_at_1.15.17_PM.jpeg" TargetMode="External"/><Relationship Id="rId1878" Type="http://schemas.openxmlformats.org/officeDocument/2006/relationships/hyperlink" Target="https://myiipea.com/media/etudiant/photo/WhatsApp_Image_2023-10-26_at_14.12.45.jpeg" TargetMode="External"/><Relationship Id="rId1879" Type="http://schemas.openxmlformats.org/officeDocument/2006/relationships/hyperlink" Target="https://myiipea.com/media/etudiant/photo/WhatsApp_Image_2023-11-08_at_11.18.52_AM.jpeg" TargetMode="External"/><Relationship Id="rId1870" Type="http://schemas.openxmlformats.org/officeDocument/2006/relationships/hyperlink" Target="https://myiipea.com/media/etudiant/photo/WhatsApp_Image_2023-10-04_at_16.53.26.jpeg" TargetMode="External"/><Relationship Id="rId1871" Type="http://schemas.openxmlformats.org/officeDocument/2006/relationships/hyperlink" Target="https://myiipea.com/media/etudiant/photo/257bd9f3-d5af-4ee9-a912-b1b6832a0fbf-removebg-preview.png" TargetMode="External"/><Relationship Id="rId1872" Type="http://schemas.openxmlformats.org/officeDocument/2006/relationships/hyperlink" Target="https://myiipea.com/media/etudiant/photo/WhatsApp_Image_2023-10-10_at_11.41.33.jpeg" TargetMode="External"/><Relationship Id="rId1862" Type="http://schemas.openxmlformats.org/officeDocument/2006/relationships/hyperlink" Target="https://myiipea.com/media/etudiant/photo/WhatsApp_Image_2023-10-16_at_16.28.01.jpeg" TargetMode="External"/><Relationship Id="rId1863" Type="http://schemas.openxmlformats.org/officeDocument/2006/relationships/hyperlink" Target="https://myiipea.com/media/etudiant/photo/WhatsApp_Image_2023-10-25_at_15.43.53.jpeg" TargetMode="External"/><Relationship Id="rId1864" Type="http://schemas.openxmlformats.org/officeDocument/2006/relationships/hyperlink" Target="https://myiipea.com/media/etudiant/photo/WhatsApp_Image_2023-10-12_at_09.00.44_2ivZ5M2.jpeg" TargetMode="External"/><Relationship Id="rId1865" Type="http://schemas.openxmlformats.org/officeDocument/2006/relationships/hyperlink" Target="https://myiipea.com/media/etudiant/photo/WhatsApp_Image_2023-10-05_at_15_resized.png" TargetMode="External"/><Relationship Id="rId1866" Type="http://schemas.openxmlformats.org/officeDocument/2006/relationships/hyperlink" Target="https://myiipea.com/media/etudiant/photo/WhatsApp_Image_2023-10-03_at_11.32.05.jpeg" TargetMode="External"/><Relationship Id="rId1867" Type="http://schemas.openxmlformats.org/officeDocument/2006/relationships/hyperlink" Target="https://myiipea.com/media/etudiant/photo/WhatsApp_Image_2023-11-02_at_1.44.30_PM.jpeg" TargetMode="External"/><Relationship Id="rId1868" Type="http://schemas.openxmlformats.org/officeDocument/2006/relationships/hyperlink" Target="https://myiipea.com/media/etudiant/photo/WhatsApp_Image_2023-10-10_at_16.06.32_1.jpeg" TargetMode="External"/><Relationship Id="rId1869" Type="http://schemas.openxmlformats.org/officeDocument/2006/relationships/hyperlink" Target="https://myiipea.com/media/etudiant/photo/WhatsApp_Image_2023-10-04_at_09.31.54.jpeg" TargetMode="External"/><Relationship Id="rId1860" Type="http://schemas.openxmlformats.org/officeDocument/2006/relationships/hyperlink" Target="https://myiipea.com/media/etudiant/photo/WhatsApp_Image_2023-11-13_at_4.39.23_PM.jpeg" TargetMode="External"/><Relationship Id="rId1861" Type="http://schemas.openxmlformats.org/officeDocument/2006/relationships/hyperlink" Target="https://myiipea.com/media/etudiant/photo/WhatsApp_Image_2023-11-13_at_15.40.07.jpeg" TargetMode="External"/><Relationship Id="rId1810" Type="http://schemas.openxmlformats.org/officeDocument/2006/relationships/hyperlink" Target="https://myiipea.com/media/etudiant/photo/WhatsApp_Image_2023-10-02_at_19.07.36.jpeg" TargetMode="External"/><Relationship Id="rId1811" Type="http://schemas.openxmlformats.org/officeDocument/2006/relationships/hyperlink" Target="https://myiipea.com/media/etudiant/photo/WhatsApp_Image_2023-10-02_at_12.03.03.jpeg" TargetMode="External"/><Relationship Id="rId1812" Type="http://schemas.openxmlformats.org/officeDocument/2006/relationships/hyperlink" Target="https://myiipea.com/media/etudiant/photo/WhatsApp_Image_2023-10-13_at_3.06.11_PM.jpeg" TargetMode="External"/><Relationship Id="rId1813" Type="http://schemas.openxmlformats.org/officeDocument/2006/relationships/hyperlink" Target="https://myiipea.com/media/etudiant/photo/WhatsApp_Image_2023-10-10_at_16.09.32.jpeg" TargetMode="External"/><Relationship Id="rId1814" Type="http://schemas.openxmlformats.org/officeDocument/2006/relationships/hyperlink" Target="https://myiipea.com/media/etudiant/photo/WhatsApp_Image_2023-10-03_at_3.18.00_PM.jpeg" TargetMode="External"/><Relationship Id="rId1815" Type="http://schemas.openxmlformats.org/officeDocument/2006/relationships/hyperlink" Target="https://myiipea.com/media/etudiant/photo/WhatsApp_Image_2023-10-03_at_6_resized.png" TargetMode="External"/><Relationship Id="rId1816" Type="http://schemas.openxmlformats.org/officeDocument/2006/relationships/hyperlink" Target="https://myiipea.com/media/etudiant/photo/WhatsApp_Image_2023-10-05_at_13.30.51.jpeg" TargetMode="External"/><Relationship Id="rId1817" Type="http://schemas.openxmlformats.org/officeDocument/2006/relationships/hyperlink" Target="https://myiipea.com/media/etudiant/photo/WhatsApp_Image_2023-10-13_at_16.36.40.jpeg" TargetMode="External"/><Relationship Id="rId1818" Type="http://schemas.openxmlformats.org/officeDocument/2006/relationships/hyperlink" Target="https://myiipea.com/media/etudiant/photo/WhatsApp_Image_2023-10-31_at_5.21.36_PM.jpeg" TargetMode="External"/><Relationship Id="rId1819" Type="http://schemas.openxmlformats.org/officeDocument/2006/relationships/hyperlink" Target="https://myiipea.com/media/etudiant/photo/WhatsApp_Image_2023-10-03_at_10.40.56.jpeg" TargetMode="External"/><Relationship Id="rId1800" Type="http://schemas.openxmlformats.org/officeDocument/2006/relationships/hyperlink" Target="https://myiipea.com/media/etudiant/photo/WhatsApp_Image_2023-10-27_at_13.08.10.jpeg" TargetMode="External"/><Relationship Id="rId1801" Type="http://schemas.openxmlformats.org/officeDocument/2006/relationships/hyperlink" Target="https://myiipea.com/media/etudiant/photo/WhatsApp_Image_2023-10-12_at_09.49.42.jpeg" TargetMode="External"/><Relationship Id="rId1802" Type="http://schemas.openxmlformats.org/officeDocument/2006/relationships/hyperlink" Target="https://myiipea.com/media/etudiant/photo/WhatsApp_Image_2023-11-10_at_3.50.59_PM.jpeg" TargetMode="External"/><Relationship Id="rId1803" Type="http://schemas.openxmlformats.org/officeDocument/2006/relationships/hyperlink" Target="https://myiipea.com/media/etudiant/photo/WhatsApp_Image_2023-10-04_at_09.47.40.jpeg" TargetMode="External"/><Relationship Id="rId1804" Type="http://schemas.openxmlformats.org/officeDocument/2006/relationships/hyperlink" Target="https://myiipea.com/media/etudiant/photo/WhatsApp_Image_2023-10-06_at_09.11.37.jpeg" TargetMode="External"/><Relationship Id="rId1805" Type="http://schemas.openxmlformats.org/officeDocument/2006/relationships/hyperlink" Target="https://myiipea.com/media/etudiant/photo/WhatsApp_Image_2023-10-24_at_15.00.08.jpeg" TargetMode="External"/><Relationship Id="rId1806" Type="http://schemas.openxmlformats.org/officeDocument/2006/relationships/hyperlink" Target="https://myiipea.com/media/etudiant/photo/WhatsApp_Image_2023-10-05_at_2.50.43_PM.jpeg" TargetMode="External"/><Relationship Id="rId1807" Type="http://schemas.openxmlformats.org/officeDocument/2006/relationships/hyperlink" Target="https://myiipea.com/media/etudiant/photo/WhatsApp_Image_2023-10-12_at_13.04.15.jpeg" TargetMode="External"/><Relationship Id="rId1808" Type="http://schemas.openxmlformats.org/officeDocument/2006/relationships/hyperlink" Target="https://myiipea.com/media/etudiant/photo/WhatsApp_Image_2023-10-12_at_16.53.29.jpeg" TargetMode="External"/><Relationship Id="rId1809" Type="http://schemas.openxmlformats.org/officeDocument/2006/relationships/hyperlink" Target="https://myiipea.com/media/etudiant/photo/WhatsApp_Image_2023-10-26_at_10.25.04.jpeg" TargetMode="External"/><Relationship Id="rId1830" Type="http://schemas.openxmlformats.org/officeDocument/2006/relationships/hyperlink" Target="https://myiipea.com/media/etudiant/photo/WhatsApp_Image_2023-11-13_at_1.47.48_PM.jpeg" TargetMode="External"/><Relationship Id="rId1831" Type="http://schemas.openxmlformats.org/officeDocument/2006/relationships/hyperlink" Target="https://myiipea.com/media/etudiant/photo/WhatsApp_Image_2023-10-20_at_14_resized.png" TargetMode="External"/><Relationship Id="rId1832" Type="http://schemas.openxmlformats.org/officeDocument/2006/relationships/hyperlink" Target="https://myiipea.com/media/etudiant/photo/WhatsApp_Image_2023-11-22_at_14.27.43.jpeg" TargetMode="External"/><Relationship Id="rId1833" Type="http://schemas.openxmlformats.org/officeDocument/2006/relationships/hyperlink" Target="https://myiipea.com/media/etudiant/photo/WhatsApp_Image_2023-10-27_at_6.06.06_PM.jpeg" TargetMode="External"/><Relationship Id="rId1834" Type="http://schemas.openxmlformats.org/officeDocument/2006/relationships/hyperlink" Target="https://myiipea.com/media/etudiant/photo/WhatsApp_Image_2023-10-13_at_12.48.00_PM.jpeg" TargetMode="External"/><Relationship Id="rId1835" Type="http://schemas.openxmlformats.org/officeDocument/2006/relationships/hyperlink" Target="https://myiipea.com/media/etudiant/photo/WhatsApp_Image_2023-11-17_at_09.57.15.jpeg" TargetMode="External"/><Relationship Id="rId1836" Type="http://schemas.openxmlformats.org/officeDocument/2006/relationships/hyperlink" Target="https://myiipea.com/media/etudiant/photo/WhatsApp_Image_2023-10-31_at_12.05.12.jpeg" TargetMode="External"/><Relationship Id="rId1837" Type="http://schemas.openxmlformats.org/officeDocument/2006/relationships/hyperlink" Target="https://myiipea.com/media/etudiant/photo/WhatsApp_Image_2023-10-09_at_13.55.02.jpeg" TargetMode="External"/><Relationship Id="rId1838" Type="http://schemas.openxmlformats.org/officeDocument/2006/relationships/hyperlink" Target="https://myiipea.com/media/etudiant/photo/WhatsApp_Image_2023-09-20_at_15.20.49.jpeg" TargetMode="External"/><Relationship Id="rId1839" Type="http://schemas.openxmlformats.org/officeDocument/2006/relationships/hyperlink" Target="https://myiipea.com/media/etudiant/photo/WhatsApp_Image_2023-09-28_at_13.13.15.jpeg" TargetMode="External"/><Relationship Id="rId1820" Type="http://schemas.openxmlformats.org/officeDocument/2006/relationships/hyperlink" Target="https://myiipea.com/media/etudiant/photo/unnamed-2_t4OtPSU.png" TargetMode="External"/><Relationship Id="rId1821" Type="http://schemas.openxmlformats.org/officeDocument/2006/relationships/hyperlink" Target="https://myiipea.com/media/etudiant/photo/WhatsApp_Image_2023-10-19_at_1.20.29_PM.jpeg" TargetMode="External"/><Relationship Id="rId1822" Type="http://schemas.openxmlformats.org/officeDocument/2006/relationships/hyperlink" Target="https://myiipea.com/media/etudiant/photo/WhatsApp_Image_2023-11-24_at_12.05.41.jpeg" TargetMode="External"/><Relationship Id="rId1823" Type="http://schemas.openxmlformats.org/officeDocument/2006/relationships/hyperlink" Target="https://myiipea.com/media/etudiant/photo/WhatsApp_Image_2023-10-09_at_11.46.00_1.jpeg" TargetMode="External"/><Relationship Id="rId1824" Type="http://schemas.openxmlformats.org/officeDocument/2006/relationships/hyperlink" Target="https://myiipea.com/media/etudiant/photo/WhatsApp_Image_2023-10-31_at_08.59.31.jpeg" TargetMode="External"/><Relationship Id="rId1825" Type="http://schemas.openxmlformats.org/officeDocument/2006/relationships/hyperlink" Target="https://myiipea.com/media/etudiant/photo/WhatsApp_Image_2023-10-13_at_16.13.17_1.jpeg" TargetMode="External"/><Relationship Id="rId1826" Type="http://schemas.openxmlformats.org/officeDocument/2006/relationships/hyperlink" Target="https://myiipea.com/media/etudiant/photo/WhatsApp_Image_2023-11-03_at_1.22.28_PM.jpeg" TargetMode="External"/><Relationship Id="rId1827" Type="http://schemas.openxmlformats.org/officeDocument/2006/relationships/hyperlink" Target="https://myiipea.com/media/etudiant/photo/WhatsApp_Image_2023-10-06_at_3.57.37_PM.jpeg" TargetMode="External"/><Relationship Id="rId1828" Type="http://schemas.openxmlformats.org/officeDocument/2006/relationships/hyperlink" Target="https://myiipea.com/media/etudiant/photo/WhatsApp_Image_2023-11-13_at_09.26.42.jpeg" TargetMode="External"/><Relationship Id="rId1829" Type="http://schemas.openxmlformats.org/officeDocument/2006/relationships/hyperlink" Target="https://myiipea.com/media/etudiant/photo/WhatsApp_Image_2023-10-05_at_15.21.28.jpeg" TargetMode="External"/><Relationship Id="rId2302" Type="http://schemas.openxmlformats.org/officeDocument/2006/relationships/hyperlink" Target="https://myiipea.com/media/etudiant/photo/WhatsApp_Image_2023-10-02_at_08.37.435555.jpeg" TargetMode="External"/><Relationship Id="rId3634" Type="http://schemas.openxmlformats.org/officeDocument/2006/relationships/hyperlink" Target="https://myiipea.com/media/etudiant/photo/WhatsApp_Image_2023-10-05_at_11.14.31.jpeg" TargetMode="External"/><Relationship Id="rId2303" Type="http://schemas.openxmlformats.org/officeDocument/2006/relationships/hyperlink" Target="https://myiipea.com/media/etudiant/photo/WhatsApp_Image_2023-10-11_at_12.36.28.jpeg" TargetMode="External"/><Relationship Id="rId3633" Type="http://schemas.openxmlformats.org/officeDocument/2006/relationships/hyperlink" Target="https://myiipea.com/media/etudiant/photo/WhatsApp_Image_2023-10-05_at_10.58.09.jpeg" TargetMode="External"/><Relationship Id="rId2304" Type="http://schemas.openxmlformats.org/officeDocument/2006/relationships/hyperlink" Target="https://myiipea.com/media/etudiant/photo/WhatsApp_Image_2023-11-02_at_6.01.50_PM.jpeg" TargetMode="External"/><Relationship Id="rId3636" Type="http://schemas.openxmlformats.org/officeDocument/2006/relationships/hyperlink" Target="https://myiipea.com/media/etudiant/photo/WhatsApp_Image_2023-10-13_at_16.56.30.jpeg" TargetMode="External"/><Relationship Id="rId2305" Type="http://schemas.openxmlformats.org/officeDocument/2006/relationships/hyperlink" Target="https://myiipea.com/media/etudiant/photo/WhatsApp_Image_2023-11-06_at_4.54.13_PM.jpeg" TargetMode="External"/><Relationship Id="rId3635" Type="http://schemas.openxmlformats.org/officeDocument/2006/relationships/hyperlink" Target="https://myiipea.com/media/etudiant/photo/WhatsApp_Image_2023-09-26_at_11.24.22.jpeg" TargetMode="External"/><Relationship Id="rId2306" Type="http://schemas.openxmlformats.org/officeDocument/2006/relationships/hyperlink" Target="https://myiipea.com/media/etudiant/photo/WhatsApp_Image_2023-10-02_at_09.23.19.jpeg" TargetMode="External"/><Relationship Id="rId3638" Type="http://schemas.openxmlformats.org/officeDocument/2006/relationships/hyperlink" Target="https://myiipea.com/media/etudiant/photo/WhatsApp_Image_2023-09-25_at_15.09.16.jpeg" TargetMode="External"/><Relationship Id="rId2307" Type="http://schemas.openxmlformats.org/officeDocument/2006/relationships/hyperlink" Target="https://myiipea.com/media/etudiant/photo/WhatsApp_Image_2023-10-03_at_08.49.00.jpeg" TargetMode="External"/><Relationship Id="rId3637" Type="http://schemas.openxmlformats.org/officeDocument/2006/relationships/hyperlink" Target="https://myiipea.com/media/etudiant/photo/WhatsApp_Image_2023-10-03_at_16.42.08.jpeg" TargetMode="External"/><Relationship Id="rId2308" Type="http://schemas.openxmlformats.org/officeDocument/2006/relationships/hyperlink" Target="https://myiipea.com/media/etudiant/photo/WhatsApp_Image_2023-10-12_at_12.35.42.jpeg" TargetMode="External"/><Relationship Id="rId2309" Type="http://schemas.openxmlformats.org/officeDocument/2006/relationships/hyperlink" Target="https://myiipea.com/media/etudiant/photo/WhatsApp_Image_2023-11-28_at_12.07.35_PM.jpeg" TargetMode="External"/><Relationship Id="rId3639" Type="http://schemas.openxmlformats.org/officeDocument/2006/relationships/hyperlink" Target="https://myiipea.com/media/etudiant/photo/WhatsApp_Image_2023-11-20_at_3.38.16_PM.jpeg" TargetMode="External"/><Relationship Id="rId3630" Type="http://schemas.openxmlformats.org/officeDocument/2006/relationships/hyperlink" Target="https://myiipea.com/media/etudiant/photo/YE.jpg" TargetMode="External"/><Relationship Id="rId2300" Type="http://schemas.openxmlformats.org/officeDocument/2006/relationships/hyperlink" Target="https://myiipea.com/media/etudiant/photo/WhatsApp_Image_2023-10-23_at_13.00.39.jpeg" TargetMode="External"/><Relationship Id="rId3632" Type="http://schemas.openxmlformats.org/officeDocument/2006/relationships/hyperlink" Target="https://myiipea.com/media/etudiant/photo/WhatsApp_Image_2023-10-12_at_11.28.15.jpeg" TargetMode="External"/><Relationship Id="rId2301" Type="http://schemas.openxmlformats.org/officeDocument/2006/relationships/hyperlink" Target="https://myiipea.com/media/etudiant/photo/WhatsApp_Image_2023-10-02_at_18.07.39.jpeg" TargetMode="External"/><Relationship Id="rId3631" Type="http://schemas.openxmlformats.org/officeDocument/2006/relationships/hyperlink" Target="https://myiipea.com/media/etudiant/photo/WhatsApp_Image_2023-11-17_at_12.39.53_PM.jpeg" TargetMode="External"/><Relationship Id="rId3623" Type="http://schemas.openxmlformats.org/officeDocument/2006/relationships/hyperlink" Target="https://myiipea.com/media/etudiant/photo/WhatsApp_Image_2023-10-06_at_11.04.20.jpeg" TargetMode="External"/><Relationship Id="rId3622" Type="http://schemas.openxmlformats.org/officeDocument/2006/relationships/hyperlink" Target="https://myiipea.com/media/etudiant/photo/IIPEA_3rgRugg.jpg" TargetMode="External"/><Relationship Id="rId3625" Type="http://schemas.openxmlformats.org/officeDocument/2006/relationships/hyperlink" Target="https://myiipea.com/media/etudiant/photo/WhatsApp_Image_2023-10-04_at_14.56.04.jpeg" TargetMode="External"/><Relationship Id="rId3624" Type="http://schemas.openxmlformats.org/officeDocument/2006/relationships/hyperlink" Target="https://myiipea.com/media/etudiant/photo/WhatsApp_Image_2023-11-14_at_6.02.19_PM.jpeg" TargetMode="External"/><Relationship Id="rId3627" Type="http://schemas.openxmlformats.org/officeDocument/2006/relationships/hyperlink" Target="https://myiipea.com/media/etudiant/photo/WhatsApp_Image_2023-09-26_at_11.26.25.jpeg" TargetMode="External"/><Relationship Id="rId3626" Type="http://schemas.openxmlformats.org/officeDocument/2006/relationships/hyperlink" Target="https://myiipea.com/media/etudiant/photo/WhatsApp_Image_2023-10-16_at_09.28.53.jpeg" TargetMode="External"/><Relationship Id="rId3629" Type="http://schemas.openxmlformats.org/officeDocument/2006/relationships/hyperlink" Target="https://myiipea.com/media/etudiant/photo/WhatsApp_Image_2023-10-03_at_4.40.30_PM.jpeg" TargetMode="External"/><Relationship Id="rId3628" Type="http://schemas.openxmlformats.org/officeDocument/2006/relationships/hyperlink" Target="https://myiipea.com/media/etudiant/photo/WhatsApp_Image_2023-10-11_at_11_resized_WoZjEDF.png" TargetMode="External"/><Relationship Id="rId3621" Type="http://schemas.openxmlformats.org/officeDocument/2006/relationships/hyperlink" Target="https://myiipea.com/media/etudiant/photo/WhatsApp_Image_2023-09-28_at_17.10.24.jpeg" TargetMode="External"/><Relationship Id="rId3620" Type="http://schemas.openxmlformats.org/officeDocument/2006/relationships/hyperlink" Target="https://myiipea.com/media/etudiant/photo/WhatsApp_Image_2023-11-10_at_2.25.10_PM.jpeg" TargetMode="External"/><Relationship Id="rId2324" Type="http://schemas.openxmlformats.org/officeDocument/2006/relationships/hyperlink" Target="https://myiipea.com/media/etudiant/photo/WhatsApp_Image_2023-09-26_at_12.30.55.jpeg" TargetMode="External"/><Relationship Id="rId3656" Type="http://schemas.openxmlformats.org/officeDocument/2006/relationships/hyperlink" Target="https://myiipea.com/media/etudiant/photo/WhatsApp_Image_2023-10-25_at_10.31.05.jpeg" TargetMode="External"/><Relationship Id="rId2325" Type="http://schemas.openxmlformats.org/officeDocument/2006/relationships/hyperlink" Target="https://myiipea.com/media/etudiant/photo/WhatsApp_Image_2023-11-10_at_10.00.53.jpeg" TargetMode="External"/><Relationship Id="rId3655" Type="http://schemas.openxmlformats.org/officeDocument/2006/relationships/hyperlink" Target="https://myiipea.com/media/etudiant/photo/WhatsApp_Image_2023-10-03_at_12.56.56.jpeg" TargetMode="External"/><Relationship Id="rId2326" Type="http://schemas.openxmlformats.org/officeDocument/2006/relationships/hyperlink" Target="https://myiipea.com/media/etudiant/photo/WhatsApp_Image_2023-10-04_at_12.32.33.jpeg" TargetMode="External"/><Relationship Id="rId3658" Type="http://schemas.openxmlformats.org/officeDocument/2006/relationships/hyperlink" Target="https://myiipea.com/media/etudiant/photo/WhatsApp_Image_2023-11-20_at_11.33.09.jpeg" TargetMode="External"/><Relationship Id="rId2327" Type="http://schemas.openxmlformats.org/officeDocument/2006/relationships/hyperlink" Target="https://myiipea.com/media/etudiant/photo/WhatsApp_Image_2023-10-12_at_14.22.04.jpeg" TargetMode="External"/><Relationship Id="rId3657" Type="http://schemas.openxmlformats.org/officeDocument/2006/relationships/hyperlink" Target="https://myiipea.com/media/etudiant/photo/WhatsApp_Image_2023-11-21_at_11.18.35.jpeg" TargetMode="External"/><Relationship Id="rId2328" Type="http://schemas.openxmlformats.org/officeDocument/2006/relationships/hyperlink" Target="https://myiipea.com/media/etudiant/photo/WhatsApp_Image_2023-10-17_at_10.19.57.jpeg" TargetMode="External"/><Relationship Id="rId2329" Type="http://schemas.openxmlformats.org/officeDocument/2006/relationships/hyperlink" Target="https://myiipea.com/media/etudiant/photo/WhatsApp_Image_2023-11-14_at_10.39.20.jpeg" TargetMode="External"/><Relationship Id="rId3659" Type="http://schemas.openxmlformats.org/officeDocument/2006/relationships/hyperlink" Target="https://myiipea.com/media/etudiant/photo/34cffb21-ceec-4f32-bca3-ae3272122489-removebg-preview.png" TargetMode="External"/><Relationship Id="rId3650" Type="http://schemas.openxmlformats.org/officeDocument/2006/relationships/hyperlink" Target="https://myiipea.com/media/etudiant/photo/ee805a7a-bd0f-4cfc-a70e-cbab604ca96a_BoFnltt.jpeg" TargetMode="External"/><Relationship Id="rId2320" Type="http://schemas.openxmlformats.org/officeDocument/2006/relationships/hyperlink" Target="https://myiipea.com/media/etudiant/photo/WhatsApp_Image_2023-10-25_at_16.08.35.jpeg" TargetMode="External"/><Relationship Id="rId3652" Type="http://schemas.openxmlformats.org/officeDocument/2006/relationships/hyperlink" Target="https://myiipea.com/media/etudiant/photo/WhatsApp_Image_2023-11-29_at_1.22.13_PM.jpeg" TargetMode="External"/><Relationship Id="rId2321" Type="http://schemas.openxmlformats.org/officeDocument/2006/relationships/hyperlink" Target="https://myiipea.com/media/etudiant/photo/WhatsApp_Image_2023-10-06_at_4.36.35_PM.jpeg" TargetMode="External"/><Relationship Id="rId3651" Type="http://schemas.openxmlformats.org/officeDocument/2006/relationships/hyperlink" Target="https://myiipea.com/media/etudiant/photo/WhatsApp_Image_2023-10-02_at_15.23.31.jpeg" TargetMode="External"/><Relationship Id="rId2322" Type="http://schemas.openxmlformats.org/officeDocument/2006/relationships/hyperlink" Target="https://myiipea.com/media/etudiant/photo/WhatsApp_Image_2023-10-11_at_3.37.00_PM.jpeg" TargetMode="External"/><Relationship Id="rId3654" Type="http://schemas.openxmlformats.org/officeDocument/2006/relationships/hyperlink" Target="https://myiipea.com/media/etudiant/photo/WhatsApp_Image_2023-11-08_at_14.37.14.jpeg" TargetMode="External"/><Relationship Id="rId2323" Type="http://schemas.openxmlformats.org/officeDocument/2006/relationships/hyperlink" Target="https://myiipea.com/media/etudiant/photo/WhatsApp_Image_2023-10-05_at_12.05.34.jpeg" TargetMode="External"/><Relationship Id="rId3653" Type="http://schemas.openxmlformats.org/officeDocument/2006/relationships/hyperlink" Target="https://myiipea.com/media/etudiant/photo/WhatsApp_Image_2023-10-09_at_11.06.42.jpeg" TargetMode="External"/><Relationship Id="rId2313" Type="http://schemas.openxmlformats.org/officeDocument/2006/relationships/hyperlink" Target="https://myiipea.com/media/etudiant/photo/WhatsApp_Image_2023-10-31_at_10.34.26.jpeg" TargetMode="External"/><Relationship Id="rId3645" Type="http://schemas.openxmlformats.org/officeDocument/2006/relationships/hyperlink" Target="https://myiipea.com/media/etudiant/photo/WhatsApp_Image_2023-10-11_at_20.11.31.jpeg" TargetMode="External"/><Relationship Id="rId2314" Type="http://schemas.openxmlformats.org/officeDocument/2006/relationships/hyperlink" Target="https://myiipea.com/media/etudiant/photo/WhatsApp_Image_2023-10-23_at_1.40.34_PM.jpeg" TargetMode="External"/><Relationship Id="rId3644" Type="http://schemas.openxmlformats.org/officeDocument/2006/relationships/hyperlink" Target="https://myiipea.com/media/etudiant/photo/WhatsApp_Image_2023-11-06_at_12.56.37.jpeg" TargetMode="External"/><Relationship Id="rId2315" Type="http://schemas.openxmlformats.org/officeDocument/2006/relationships/hyperlink" Target="https://myiipea.com/media/etudiant/photo/WhatsApp_Image_2023-10-03_at_14.35.01.jpeg" TargetMode="External"/><Relationship Id="rId3647" Type="http://schemas.openxmlformats.org/officeDocument/2006/relationships/hyperlink" Target="https://myiipea.com/media/etudiant/photo/WhatsApp_Image_2023-11-28_at_11.07.09.jpeg" TargetMode="External"/><Relationship Id="rId2316" Type="http://schemas.openxmlformats.org/officeDocument/2006/relationships/hyperlink" Target="https://myiipea.com/media/etudiant/photo/WhatsApp_Image_2023-10-18_at_15.35.06.jpeg" TargetMode="External"/><Relationship Id="rId3646" Type="http://schemas.openxmlformats.org/officeDocument/2006/relationships/hyperlink" Target="https://myiipea.com/media/etudiant/photo/WhatsApp_Image_2023-10-09_at_15.22.06.jpeg" TargetMode="External"/><Relationship Id="rId2317" Type="http://schemas.openxmlformats.org/officeDocument/2006/relationships/hyperlink" Target="https://myiipea.com/media/etudiant/photo/WhatsApp_Image_2023-10-12_at_15.19.34.jpeg" TargetMode="External"/><Relationship Id="rId3649" Type="http://schemas.openxmlformats.org/officeDocument/2006/relationships/hyperlink" Target="https://myiipea.com/media/etudiant/photo/WhatsApp_Image_2023-09-28_at_17.55.59.jpeg" TargetMode="External"/><Relationship Id="rId2318" Type="http://schemas.openxmlformats.org/officeDocument/2006/relationships/hyperlink" Target="https://myiipea.com/media/etudiant/photo/WhatsApp_Image_2023-09-26_at_11_resized.png" TargetMode="External"/><Relationship Id="rId3648" Type="http://schemas.openxmlformats.org/officeDocument/2006/relationships/hyperlink" Target="https://myiipea.com/media/etudiant/photo/WhatsApp_Image_2023-10-13_at_1.55.33_PM.jpeg" TargetMode="External"/><Relationship Id="rId2319" Type="http://schemas.openxmlformats.org/officeDocument/2006/relationships/hyperlink" Target="https://myiipea.com/media/etudiant/photo/WhatsApp_Image_2023-11-03_at_11.01.54.jpeg" TargetMode="External"/><Relationship Id="rId3641" Type="http://schemas.openxmlformats.org/officeDocument/2006/relationships/hyperlink" Target="https://myiipea.com/media/etudiant/photo/WhatsApp_Image_2023-10-02_at_18.37.43.jpeg" TargetMode="External"/><Relationship Id="rId2310" Type="http://schemas.openxmlformats.org/officeDocument/2006/relationships/hyperlink" Target="https://myiipea.com/media/etudiant/photo/WhatsApp_Image_2023-10-11_at_13.23.21.jpeg" TargetMode="External"/><Relationship Id="rId3640" Type="http://schemas.openxmlformats.org/officeDocument/2006/relationships/hyperlink" Target="https://myiipea.com/media/etudiant/photo/WhatsApp_Image_2023-10-03_at_11.14.56_AM_S66KkQu.jpeg" TargetMode="External"/><Relationship Id="rId2311" Type="http://schemas.openxmlformats.org/officeDocument/2006/relationships/hyperlink" Target="https://myiipea.com/media/etudiant/photo/WhatsApp_Image_2023-10-17_at_12.06.18.jpeg" TargetMode="External"/><Relationship Id="rId3643" Type="http://schemas.openxmlformats.org/officeDocument/2006/relationships/hyperlink" Target="https://myiipea.com/media/etudiant/photo/WhatsApp_Image_2023-11-10_at_12.42.34_PM.jpeg" TargetMode="External"/><Relationship Id="rId2312" Type="http://schemas.openxmlformats.org/officeDocument/2006/relationships/hyperlink" Target="https://myiipea.com/media/etudiant/photo/WhatsApp_Image_2023-10-16_at_14_resized_ZO61rkl.png" TargetMode="External"/><Relationship Id="rId3642" Type="http://schemas.openxmlformats.org/officeDocument/2006/relationships/hyperlink" Target="https://myiipea.com/media/etudiant/photo/WhatsApp_Image_2023-11-22_at_14.58.52.jpeg" TargetMode="External"/><Relationship Id="rId1895" Type="http://schemas.openxmlformats.org/officeDocument/2006/relationships/hyperlink" Target="https://myiipea.com/media/etudiant/photo/WhatsApp_Image_2023-10-02_at_16.39.31.jpeg" TargetMode="External"/><Relationship Id="rId1896" Type="http://schemas.openxmlformats.org/officeDocument/2006/relationships/hyperlink" Target="https://myiipea.com/media/etudiant/photo/WhatsApp_Image_2023-11-22_at_3.27.57_PM.jpeg" TargetMode="External"/><Relationship Id="rId1897" Type="http://schemas.openxmlformats.org/officeDocument/2006/relationships/hyperlink" Target="https://myiipea.com/media/etudiant/photo/WhatsApp_Image_2023-10-05_at_16.12.49.jpeg" TargetMode="External"/><Relationship Id="rId1898" Type="http://schemas.openxmlformats.org/officeDocument/2006/relationships/hyperlink" Target="https://myiipea.com/media/etudiant/photo/WhatsApp_Image_2023-09-28_at_15.39.17.jpeg" TargetMode="External"/><Relationship Id="rId1899" Type="http://schemas.openxmlformats.org/officeDocument/2006/relationships/hyperlink" Target="https://myiipea.com/media/etudiant/photo/WhatsApp_Image_2023-10-30_at_14.40.41.jpeg" TargetMode="External"/><Relationship Id="rId1890" Type="http://schemas.openxmlformats.org/officeDocument/2006/relationships/hyperlink" Target="https://myiipea.com/media/etudiant/photo/WhatsApp_Image_2023-10-09_at_1.32.19_PM.jpeg" TargetMode="External"/><Relationship Id="rId1891" Type="http://schemas.openxmlformats.org/officeDocument/2006/relationships/hyperlink" Target="https://myiipea.com/media/etudiant/photo/WhatsApp_Image_2023-11-13_at_08.48.42.jpeg" TargetMode="External"/><Relationship Id="rId1892" Type="http://schemas.openxmlformats.org/officeDocument/2006/relationships/hyperlink" Target="https://myiipea.com/media/etudiant/photo/WhatsApp_Image_2023-10-10_at_13.29.24.jpeg" TargetMode="External"/><Relationship Id="rId1893" Type="http://schemas.openxmlformats.org/officeDocument/2006/relationships/hyperlink" Target="https://myiipea.com/media/etudiant/photo/WhatsApp_Image_2023-09-14_at_10.39.44.jpeg" TargetMode="External"/><Relationship Id="rId1894" Type="http://schemas.openxmlformats.org/officeDocument/2006/relationships/hyperlink" Target="https://myiipea.com/media/etudiant/photo/WhatsApp_Image_2023-11-23_at_10.58.31_AM.jpeg" TargetMode="External"/><Relationship Id="rId1884" Type="http://schemas.openxmlformats.org/officeDocument/2006/relationships/hyperlink" Target="https://myiipea.com/media/etudiant/photo/WhatsApp_Image_2023-10-16_at_11.42.08.jpeg" TargetMode="External"/><Relationship Id="rId1885" Type="http://schemas.openxmlformats.org/officeDocument/2006/relationships/hyperlink" Target="https://myiipea.com/media/etudiant/photo/WhatsApp_Image_2023-11-14_at_14.27.37.jpeg" TargetMode="External"/><Relationship Id="rId1886" Type="http://schemas.openxmlformats.org/officeDocument/2006/relationships/hyperlink" Target="https://myiipea.com/media/etudiant/photo/WhatsApp_Image_2023-10-17_at_2.33.41_PM.jpeg" TargetMode="External"/><Relationship Id="rId1887" Type="http://schemas.openxmlformats.org/officeDocument/2006/relationships/hyperlink" Target="https://myiipea.com/media/etudiant/photo/WhatsApp_Image_2023-10-31_at_11.44.28.jpeg" TargetMode="External"/><Relationship Id="rId1888" Type="http://schemas.openxmlformats.org/officeDocument/2006/relationships/hyperlink" Target="https://myiipea.com/media/etudiant/photo/WhatsApp_Image_2023-10-19_at_11.45.54.jpeg" TargetMode="External"/><Relationship Id="rId1889" Type="http://schemas.openxmlformats.org/officeDocument/2006/relationships/hyperlink" Target="https://myiipea.com/media/etudiant/photo/WhatsApp_Image_2023-10-13_at_12.44.47.jpeg" TargetMode="External"/><Relationship Id="rId1880" Type="http://schemas.openxmlformats.org/officeDocument/2006/relationships/hyperlink" Target="https://myiipea.com/media/etudiant/photo/WhatsApp_Image_2023-10-17_at_11.46.05.jpeg" TargetMode="External"/><Relationship Id="rId1881" Type="http://schemas.openxmlformats.org/officeDocument/2006/relationships/hyperlink" Target="https://myiipea.com/media/etudiant/photo/WhatsApp_Image_2023-10-05_at_15.07.42.jpeg" TargetMode="External"/><Relationship Id="rId1882" Type="http://schemas.openxmlformats.org/officeDocument/2006/relationships/hyperlink" Target="https://myiipea.com/media/etudiant/photo/WhatsApp_Image_2023-11-08_at_15.38.44.jpeg" TargetMode="External"/><Relationship Id="rId1883" Type="http://schemas.openxmlformats.org/officeDocument/2006/relationships/hyperlink" Target="https://myiipea.com/media/etudiant/photo/WhatsApp_Image_2023-11-14_at_10.59.36.jpeg" TargetMode="External"/><Relationship Id="rId3612" Type="http://schemas.openxmlformats.org/officeDocument/2006/relationships/hyperlink" Target="https://myiipea.com/media/etudiant/photo/WhatsApp_Image_2023-09-28_at_12.10.36.jpeg" TargetMode="External"/><Relationship Id="rId3611" Type="http://schemas.openxmlformats.org/officeDocument/2006/relationships/hyperlink" Target="https://myiipea.com/media/etudiant/photo/WhatsApp_Image_2023-11-06_at_5.50.56_PM.jpeg" TargetMode="External"/><Relationship Id="rId3614" Type="http://schemas.openxmlformats.org/officeDocument/2006/relationships/hyperlink" Target="https://myiipea.com/media/etudiant/photo/WhatsApp_Image_2023-10-13_at_12.21.48_RVZaibH.jpeg" TargetMode="External"/><Relationship Id="rId3613" Type="http://schemas.openxmlformats.org/officeDocument/2006/relationships/hyperlink" Target="https://myiipea.com/media/etudiant/photo/WhatsApp_Image_2023-10-03_at_13.22.05.jpeg" TargetMode="External"/><Relationship Id="rId3616" Type="http://schemas.openxmlformats.org/officeDocument/2006/relationships/hyperlink" Target="https://myiipea.com/media/etudiant/photo/WhatsApp_Image_2023-09-20_at_13.03.06.jpeg" TargetMode="External"/><Relationship Id="rId3615" Type="http://schemas.openxmlformats.org/officeDocument/2006/relationships/hyperlink" Target="https://myiipea.com/media/etudiant/photo/WhatsApp_Image_2023-10-17_at_13.24.07.jpeg" TargetMode="External"/><Relationship Id="rId3618" Type="http://schemas.openxmlformats.org/officeDocument/2006/relationships/hyperlink" Target="https://myiipea.com/media/etudiant/photo/WhatsApp_Image_2023-10-12_at_14.45.41.jpeg" TargetMode="External"/><Relationship Id="rId3617" Type="http://schemas.openxmlformats.org/officeDocument/2006/relationships/hyperlink" Target="https://myiipea.com/media/etudiant/photo/WhatsApp_Image_2023-09-29_at_08.55.26.jpeg" TargetMode="External"/><Relationship Id="rId3619" Type="http://schemas.openxmlformats.org/officeDocument/2006/relationships/hyperlink" Target="https://myiipea.com/media/etudiant/photo/WhatsApp_Image_2023-10-09_at_17.35.42.jpeg" TargetMode="External"/><Relationship Id="rId3610" Type="http://schemas.openxmlformats.org/officeDocument/2006/relationships/hyperlink" Target="https://myiipea.com/media/etudiant/photo/WhatsApp_Image_2023-11-13_at_11.11.23.jpeg" TargetMode="External"/><Relationship Id="rId3601" Type="http://schemas.openxmlformats.org/officeDocument/2006/relationships/hyperlink" Target="https://myiipea.com/media/etudiant/photo/WhatsApp_Image_2023-10-04_at_09.01.06.jpeg" TargetMode="External"/><Relationship Id="rId3600" Type="http://schemas.openxmlformats.org/officeDocument/2006/relationships/hyperlink" Target="https://myiipea.com/media/etudiant/photo/WhatsApp_Image_2023-10-10_at_18.08.16.jpeg" TargetMode="External"/><Relationship Id="rId3603" Type="http://schemas.openxmlformats.org/officeDocument/2006/relationships/hyperlink" Target="https://myiipea.com/media/etudiant/photo/WhatsApp_Image_2023-10-09_at_12.43.04.jpeg" TargetMode="External"/><Relationship Id="rId3602" Type="http://schemas.openxmlformats.org/officeDocument/2006/relationships/hyperlink" Target="https://myiipea.com/media/etudiant/photo/YTAPI.jpg" TargetMode="External"/><Relationship Id="rId3605" Type="http://schemas.openxmlformats.org/officeDocument/2006/relationships/hyperlink" Target="https://myiipea.com/media/etudiant/photo/GGG_resized.png" TargetMode="External"/><Relationship Id="rId3604" Type="http://schemas.openxmlformats.org/officeDocument/2006/relationships/hyperlink" Target="https://myiipea.com/media/etudiant/photo/WhatsApp_Image_2023-10-11_at_13.33.26.jpeg" TargetMode="External"/><Relationship Id="rId3607" Type="http://schemas.openxmlformats.org/officeDocument/2006/relationships/hyperlink" Target="https://myiipea.com/media/etudiant/photo/WhatsApp_Image_2023-10-13_at_3.56.00_PM.jpeg" TargetMode="External"/><Relationship Id="rId3606" Type="http://schemas.openxmlformats.org/officeDocument/2006/relationships/hyperlink" Target="https://myiipea.com/media/etudiant/photo/WhatsApp_Image_2023-10-13_at_09.05.01.jpeg" TargetMode="External"/><Relationship Id="rId3609" Type="http://schemas.openxmlformats.org/officeDocument/2006/relationships/hyperlink" Target="https://myiipea.com/media/etudiant/photo/WhatsApp_Image_2023-10-06_at_09.45.35.jpeg" TargetMode="External"/><Relationship Id="rId3608" Type="http://schemas.openxmlformats.org/officeDocument/2006/relationships/hyperlink" Target="https://myiipea.com/media/etudiant/photo/WhatsApp_Image_2023-10-02_at_11.21.54.jpeg" TargetMode="External"/><Relationship Id="rId1059" Type="http://schemas.openxmlformats.org/officeDocument/2006/relationships/hyperlink" Target="https://myiipea.com/media/etudiant/photo/WhatsApp_Image_2023-10-27_at_14.07.15.jpeg" TargetMode="External"/><Relationship Id="rId228" Type="http://schemas.openxmlformats.org/officeDocument/2006/relationships/hyperlink" Target="https://myiipea.com/media/etudiant/photo/WhatsApp_Image_2023-10-23_at_13.17.49.jpeg" TargetMode="External"/><Relationship Id="rId227" Type="http://schemas.openxmlformats.org/officeDocument/2006/relationships/hyperlink" Target="https://myiipea.com/media/etudiant/photo/WhatsApp_Image_2023-10-04_at_17.03.29.jpeg" TargetMode="External"/><Relationship Id="rId226" Type="http://schemas.openxmlformats.org/officeDocument/2006/relationships/hyperlink" Target="https://myiipea.com/media/etudiant/photo/WhatsApp_Image_2023-09-28_at_13.58.30.jpeg" TargetMode="External"/><Relationship Id="rId225" Type="http://schemas.openxmlformats.org/officeDocument/2006/relationships/hyperlink" Target="https://myiipea.com/media/etudiant/photo/WhatsApp_Image_2023-10-11_at_12.24.23.jpeg" TargetMode="External"/><Relationship Id="rId2380" Type="http://schemas.openxmlformats.org/officeDocument/2006/relationships/hyperlink" Target="https://myiipea.com/media/etudiant/photo/WhatsApp_Image_2023-10-03_at_11.22.43.jpeg" TargetMode="External"/><Relationship Id="rId229" Type="http://schemas.openxmlformats.org/officeDocument/2006/relationships/hyperlink" Target="https://myiipea.com/media/etudiant/photo/690aba04-eb91-420b-b5e3-d8770d81a3de_resized_pxDn0yU.png" TargetMode="External"/><Relationship Id="rId1050" Type="http://schemas.openxmlformats.org/officeDocument/2006/relationships/hyperlink" Target="https://myiipea.com/media/etudiant/photo/WhatsApp_Image_2023-10-11_at_10.12.32.jpeg" TargetMode="External"/><Relationship Id="rId2381" Type="http://schemas.openxmlformats.org/officeDocument/2006/relationships/hyperlink" Target="https://myiipea.com/media/etudiant/photo/WhatsApp_Image_2023-10-10_at_12.39.58.jpeg" TargetMode="External"/><Relationship Id="rId220" Type="http://schemas.openxmlformats.org/officeDocument/2006/relationships/hyperlink" Target="https://myiipea.com/media/etudiant/photo/WhatsApp_Image_2023-11-17_at_10.07.01.jpeg" TargetMode="External"/><Relationship Id="rId1051" Type="http://schemas.openxmlformats.org/officeDocument/2006/relationships/hyperlink" Target="https://myiipea.com/media/etudiant/photo/WhatsApp_Image_2023-11-22_at_14.59.06.jpeg" TargetMode="External"/><Relationship Id="rId2382" Type="http://schemas.openxmlformats.org/officeDocument/2006/relationships/hyperlink" Target="https://myiipea.com/media/etudiant/photo/WhatsApp_Image_2023-10-31_at_10.35.15.jpeg" TargetMode="External"/><Relationship Id="rId1052" Type="http://schemas.openxmlformats.org/officeDocument/2006/relationships/hyperlink" Target="https://myiipea.com/media/etudiant/photo/WhatsApp_Image_2023-11-17_at_11.23.44_AM.jpeg" TargetMode="External"/><Relationship Id="rId2383" Type="http://schemas.openxmlformats.org/officeDocument/2006/relationships/hyperlink" Target="https://myiipea.com/media/etudiant/photo/WhatsApp_Image_2023-09-28_at_12.21.25.jpeg" TargetMode="External"/><Relationship Id="rId1053" Type="http://schemas.openxmlformats.org/officeDocument/2006/relationships/hyperlink" Target="https://myiipea.com/media/etudiant/photo/WhatsApp_Image_2023-10-09_at_14.57.01.jpeg" TargetMode="External"/><Relationship Id="rId2384" Type="http://schemas.openxmlformats.org/officeDocument/2006/relationships/hyperlink" Target="https://myiipea.com/media/etudiant/photo/WhatsApp_Image_2023-10-02_at_6.07.14_PM.jpeg" TargetMode="External"/><Relationship Id="rId1054" Type="http://schemas.openxmlformats.org/officeDocument/2006/relationships/hyperlink" Target="https://myiipea.com/media/etudiant/photo/WhatsApp_Image_2023-10-17_at_12.01.22.jpeg" TargetMode="External"/><Relationship Id="rId2385" Type="http://schemas.openxmlformats.org/officeDocument/2006/relationships/hyperlink" Target="https://myiipea.com/media/etudiant/photo/WhatsApp_Image_2023-10-17_at_15.25.32.jpeg" TargetMode="External"/><Relationship Id="rId224" Type="http://schemas.openxmlformats.org/officeDocument/2006/relationships/hyperlink" Target="https://myiipea.com/media/etudiant/photo/WhatsApp_Image_2023-09-28_at_13.58.55.jpeg" TargetMode="External"/><Relationship Id="rId1055" Type="http://schemas.openxmlformats.org/officeDocument/2006/relationships/hyperlink" Target="https://myiipea.com/media/etudiant/photo/WhatsApp_Image_2023-10-10_at_08.57.40.jpeg" TargetMode="External"/><Relationship Id="rId2386" Type="http://schemas.openxmlformats.org/officeDocument/2006/relationships/hyperlink" Target="https://myiipea.com/media/etudiant/photo/WhatsApp_Image_2023-10-31_at_11.15.46.jpeg" TargetMode="External"/><Relationship Id="rId223" Type="http://schemas.openxmlformats.org/officeDocument/2006/relationships/hyperlink" Target="https://myiipea.com/media/etudiant/photo/WhatsApp_Image_2023-11-02_at_4.18.20_PM.jpeg" TargetMode="External"/><Relationship Id="rId1056" Type="http://schemas.openxmlformats.org/officeDocument/2006/relationships/hyperlink" Target="https://myiipea.com/media/etudiant/photo/WhatsApp_Image_2023-10-20_at_13.03.36.jpeg" TargetMode="External"/><Relationship Id="rId2387" Type="http://schemas.openxmlformats.org/officeDocument/2006/relationships/hyperlink" Target="https://myiipea.com/media/etudiant/photo/t%C3%A9l%C3%A9chargement_Fw6T0tB.png" TargetMode="External"/><Relationship Id="rId222" Type="http://schemas.openxmlformats.org/officeDocument/2006/relationships/hyperlink" Target="https://myiipea.com/media/etudiant/photo/WhatsApp_Image_2023-09-29_at_18.34.29.jpeg" TargetMode="External"/><Relationship Id="rId1057" Type="http://schemas.openxmlformats.org/officeDocument/2006/relationships/hyperlink" Target="https://myiipea.com/media/etudiant/photo/WhatsApp_Image_2023-11-14_at_15.26.45.jpeg" TargetMode="External"/><Relationship Id="rId2388" Type="http://schemas.openxmlformats.org/officeDocument/2006/relationships/hyperlink" Target="https://myiipea.com/media/etudiant/photo/WhatsApp_Image_2023-11-16_at_14.27.50.jpeg" TargetMode="External"/><Relationship Id="rId221" Type="http://schemas.openxmlformats.org/officeDocument/2006/relationships/hyperlink" Target="https://myiipea.com/media/etudiant/photo/WhatsApp_Image_2023-10-30_at_16.54.52.jpeg" TargetMode="External"/><Relationship Id="rId1058" Type="http://schemas.openxmlformats.org/officeDocument/2006/relationships/hyperlink" Target="https://myiipea.com/media/etudiant/photo/WhatsApp_Image_2023-11-09_at_10.50.16.jpeg" TargetMode="External"/><Relationship Id="rId2389" Type="http://schemas.openxmlformats.org/officeDocument/2006/relationships/hyperlink" Target="https://myiipea.com/media/etudiant/photo/WhatsApp_Image_2023-10-05_at_12.58.22.jpeg" TargetMode="External"/><Relationship Id="rId1048" Type="http://schemas.openxmlformats.org/officeDocument/2006/relationships/hyperlink" Target="https://myiipea.com/media/etudiant/photo/WhatsApp_Image_2023-10-17_at_16.35.01.jpeg" TargetMode="External"/><Relationship Id="rId2379" Type="http://schemas.openxmlformats.org/officeDocument/2006/relationships/hyperlink" Target="https://myiipea.com/media/etudiant/photo/WhatsApp_Image_2023-10-25_at_09.14.32.jpeg" TargetMode="External"/><Relationship Id="rId1049" Type="http://schemas.openxmlformats.org/officeDocument/2006/relationships/hyperlink" Target="https://myiipea.com/media/etudiant/photo/WhatsApp_Image_2023-10-04_at_09.16.02.jpeg" TargetMode="External"/><Relationship Id="rId217" Type="http://schemas.openxmlformats.org/officeDocument/2006/relationships/hyperlink" Target="https://myiipea.com/media/etudiant/photo/WhatsApp_Image_2023-10-12_at_12.46.58.jpeg" TargetMode="External"/><Relationship Id="rId216" Type="http://schemas.openxmlformats.org/officeDocument/2006/relationships/hyperlink" Target="https://myiipea.com/media/etudiant/photo/IIPEA_prjjwyA.jpg" TargetMode="External"/><Relationship Id="rId215" Type="http://schemas.openxmlformats.org/officeDocument/2006/relationships/hyperlink" Target="https://myiipea.com/media/etudiant/photo/WhatsApp_Image_2023-10-03_at_14.23.12.jpeg" TargetMode="External"/><Relationship Id="rId214" Type="http://schemas.openxmlformats.org/officeDocument/2006/relationships/hyperlink" Target="https://myiipea.com/media/etudiant/photo/IIPEA_TdgvYui.jpg" TargetMode="External"/><Relationship Id="rId219" Type="http://schemas.openxmlformats.org/officeDocument/2006/relationships/hyperlink" Target="https://myiipea.com/media/etudiant/photo/WhatsApp_Image_2023-09-29_at_17.49.36.jpeg" TargetMode="External"/><Relationship Id="rId218" Type="http://schemas.openxmlformats.org/officeDocument/2006/relationships/hyperlink" Target="https://myiipea.com/media/etudiant/photo/WhatsApp_Image_2023-10-30_at_09.19.06.jpeg" TargetMode="External"/><Relationship Id="rId2370" Type="http://schemas.openxmlformats.org/officeDocument/2006/relationships/hyperlink" Target="https://myiipea.com/media/etudiant/photo/WhatsApp_Image_2023-10-17_at_12.55.11_PM.jpeg" TargetMode="External"/><Relationship Id="rId1040" Type="http://schemas.openxmlformats.org/officeDocument/2006/relationships/hyperlink" Target="https://myiipea.com/media/etudiant/photo/WhatsApp_Image_2023-10-17_at_4.38.20_PM.jpeg" TargetMode="External"/><Relationship Id="rId2371" Type="http://schemas.openxmlformats.org/officeDocument/2006/relationships/hyperlink" Target="https://myiipea.com/media/etudiant/photo/WhatsApp_Image_2023-10-12_at_13.10.30.jpeg" TargetMode="External"/><Relationship Id="rId1041" Type="http://schemas.openxmlformats.org/officeDocument/2006/relationships/hyperlink" Target="https://myiipea.com/media/etudiant/photo/WhatsApp_Image_2023-10-19_at_15.28.27.jpeg" TargetMode="External"/><Relationship Id="rId2372" Type="http://schemas.openxmlformats.org/officeDocument/2006/relationships/hyperlink" Target="https://myiipea.com/media/etudiant/photo/WhatsApp_Image_2023-10-16_at_09.27.31_1.jpeg" TargetMode="External"/><Relationship Id="rId1042" Type="http://schemas.openxmlformats.org/officeDocument/2006/relationships/hyperlink" Target="https://myiipea.com/media/etudiant/photo/WhatsApp_Image_2023-09-25_%C3%A0_12.18.25.jpg" TargetMode="External"/><Relationship Id="rId2373" Type="http://schemas.openxmlformats.org/officeDocument/2006/relationships/hyperlink" Target="https://myiipea.com/media/etudiant/photo/WhatsApp_Image_2023-10-23_at_10.10.12.jpeg" TargetMode="External"/><Relationship Id="rId1043" Type="http://schemas.openxmlformats.org/officeDocument/2006/relationships/hyperlink" Target="https://myiipea.com/media/etudiant/photo/WhatsApp_Image_2023-10-03_at_17.15.06.jpeg" TargetMode="External"/><Relationship Id="rId2374" Type="http://schemas.openxmlformats.org/officeDocument/2006/relationships/hyperlink" Target="https://myiipea.com/media/etudiant/photo/WhatsApp_Image_2023-11-27_at_4.58.52_PM.jpeg" TargetMode="External"/><Relationship Id="rId213" Type="http://schemas.openxmlformats.org/officeDocument/2006/relationships/hyperlink" Target="https://myiipea.com/media/etudiant/photo/WhatsApp_Image_2023-11-22_at_3.59.33_PM.jpeg" TargetMode="External"/><Relationship Id="rId1044" Type="http://schemas.openxmlformats.org/officeDocument/2006/relationships/hyperlink" Target="https://myiipea.com/media/etudiant/photo/WhatsApp_Image_2023-10-13_at_08_resized.png" TargetMode="External"/><Relationship Id="rId2375" Type="http://schemas.openxmlformats.org/officeDocument/2006/relationships/hyperlink" Target="https://myiipea.com/media/etudiant/photo/WhatsApp_Image_2023-10-04_at_16.46.47.jpeg" TargetMode="External"/><Relationship Id="rId212" Type="http://schemas.openxmlformats.org/officeDocument/2006/relationships/hyperlink" Target="https://myiipea.com/media/etudiant/photo/WhatsApp_Image_2023-11-08_at_11.18.52_AM_1.jpeg" TargetMode="External"/><Relationship Id="rId1045" Type="http://schemas.openxmlformats.org/officeDocument/2006/relationships/hyperlink" Target="https://myiipea.com/media/etudiant/photo/WhatsApp_Image_2023-09-28_at_13.00.39.jpeg" TargetMode="External"/><Relationship Id="rId2376" Type="http://schemas.openxmlformats.org/officeDocument/2006/relationships/hyperlink" Target="https://myiipea.com/media/etudiant/photo/WhatsApp_Image_2023-10-19_at_14.39.01.jpeg" TargetMode="External"/><Relationship Id="rId211" Type="http://schemas.openxmlformats.org/officeDocument/2006/relationships/hyperlink" Target="https://myiipea.com/media/etudiant/photo/OIP.jfif" TargetMode="External"/><Relationship Id="rId1046" Type="http://schemas.openxmlformats.org/officeDocument/2006/relationships/hyperlink" Target="https://myiipea.com/media/etudiant/photo/IIPEA_g8bDPA8.jpg" TargetMode="External"/><Relationship Id="rId2377" Type="http://schemas.openxmlformats.org/officeDocument/2006/relationships/hyperlink" Target="https://myiipea.com/media/etudiant/photo/WhatsApp_Image_2023-10-27_at_09.45.32.jpeg" TargetMode="External"/><Relationship Id="rId210" Type="http://schemas.openxmlformats.org/officeDocument/2006/relationships/hyperlink" Target="https://myiipea.com/media/etudiant/photo/WhatsApp_Image_2023-10-16_at_09.41.44.jpeg" TargetMode="External"/><Relationship Id="rId1047" Type="http://schemas.openxmlformats.org/officeDocument/2006/relationships/hyperlink" Target="https://myiipea.com/media/etudiant/photo/WhatsApp_Image_2023-10-16_at_13.49.17.jpeg" TargetMode="External"/><Relationship Id="rId2378" Type="http://schemas.openxmlformats.org/officeDocument/2006/relationships/hyperlink" Target="https://myiipea.com/media/etudiant/photo/WhatsApp_Image_2023-10-30_at_11.36.54.jpeg" TargetMode="External"/><Relationship Id="rId249" Type="http://schemas.openxmlformats.org/officeDocument/2006/relationships/hyperlink" Target="https://myiipea.com/media/etudiant/photo/WhatsApp_Image_2023-10-23_at_13.51.35.jpeg" TargetMode="External"/><Relationship Id="rId248" Type="http://schemas.openxmlformats.org/officeDocument/2006/relationships/hyperlink" Target="https://myiipea.com/media/etudiant/photo/WhatsApp_Image_2023-10-30_at_17.11.57.jpeg" TargetMode="External"/><Relationship Id="rId247" Type="http://schemas.openxmlformats.org/officeDocument/2006/relationships/hyperlink" Target="https://myiipea.com/media/etudiant/photo/WhatsApp_Image_2023-10-13_at_5.27.01_PM.jpeg" TargetMode="External"/><Relationship Id="rId1070" Type="http://schemas.openxmlformats.org/officeDocument/2006/relationships/hyperlink" Target="https://myiipea.com/media/etudiant/photo/WhatsApp_Image_2023-10-17_at_2.54.06_PM.jpeg" TargetMode="External"/><Relationship Id="rId1071" Type="http://schemas.openxmlformats.org/officeDocument/2006/relationships/hyperlink" Target="https://myiipea.com/media/etudiant/photo/762d1e53-4bc2-4ecb-997b-b8ffbf150f79-removebg-preview.png" TargetMode="External"/><Relationship Id="rId1072" Type="http://schemas.openxmlformats.org/officeDocument/2006/relationships/hyperlink" Target="https://myiipea.com/media/etudiant/photo/WhatsApp_Image_2023-10-12_at_14.46.15.jpeg" TargetMode="External"/><Relationship Id="rId242" Type="http://schemas.openxmlformats.org/officeDocument/2006/relationships/hyperlink" Target="https://myiipea.com/media/etudiant/photo/WhatsApp_Image_2023-11-02_at_5.24.12_PM.jpeg" TargetMode="External"/><Relationship Id="rId1073" Type="http://schemas.openxmlformats.org/officeDocument/2006/relationships/hyperlink" Target="https://myiipea.com/media/etudiant/photo/WhatsApp_Image_2023-10-03_at_12.24.02.jpeg" TargetMode="External"/><Relationship Id="rId241" Type="http://schemas.openxmlformats.org/officeDocument/2006/relationships/hyperlink" Target="https://myiipea.com/media/etudiant/photo/WhatsApp_Image_2023-11-28_at_10.49.38_AM.jpeg" TargetMode="External"/><Relationship Id="rId1074" Type="http://schemas.openxmlformats.org/officeDocument/2006/relationships/hyperlink" Target="https://myiipea.com/media/etudiant/photo/WhatsApp_Image_2023-10-02_at_13.26.27.jpeg" TargetMode="External"/><Relationship Id="rId240" Type="http://schemas.openxmlformats.org/officeDocument/2006/relationships/hyperlink" Target="https://myiipea.com/media/etudiant/photo/WhatsApp_Image_2023-10-10_at_10.30.12.jpeg" TargetMode="External"/><Relationship Id="rId1075" Type="http://schemas.openxmlformats.org/officeDocument/2006/relationships/hyperlink" Target="https://myiipea.com/media/etudiant/photo/WhatsApp_Image_2023-10-23_at_12.52.10.jpeg" TargetMode="External"/><Relationship Id="rId1076" Type="http://schemas.openxmlformats.org/officeDocument/2006/relationships/hyperlink" Target="https://myiipea.com/media/etudiant/photo/WhatsApp_Image_2023-10-05_at_14.25.16.jpeg" TargetMode="External"/><Relationship Id="rId246" Type="http://schemas.openxmlformats.org/officeDocument/2006/relationships/hyperlink" Target="https://myiipea.com/media/etudiant/photo/WhatsApp_Image_2023-10-16_at_17.00.52.jpeg" TargetMode="External"/><Relationship Id="rId1077" Type="http://schemas.openxmlformats.org/officeDocument/2006/relationships/hyperlink" Target="https://myiipea.com/media/etudiant/photo/DEVI_resized.png" TargetMode="External"/><Relationship Id="rId245" Type="http://schemas.openxmlformats.org/officeDocument/2006/relationships/hyperlink" Target="https://myiipea.com/media/etudiant/photo/IIPEA_KGgKGa3.jpg" TargetMode="External"/><Relationship Id="rId1078" Type="http://schemas.openxmlformats.org/officeDocument/2006/relationships/hyperlink" Target="https://myiipea.com/media/etudiant/photo/WhatsApp_Image_2023-10-17_at_2.54.25_PM.jpeg" TargetMode="External"/><Relationship Id="rId244" Type="http://schemas.openxmlformats.org/officeDocument/2006/relationships/hyperlink" Target="https://myiipea.com/media/etudiant/photo/WhatsApp_Image_2023-10-17_at_13.34.00.jpeg" TargetMode="External"/><Relationship Id="rId1079" Type="http://schemas.openxmlformats.org/officeDocument/2006/relationships/hyperlink" Target="https://myiipea.com/media/etudiant/photo/t%C3%A9l%C3%A9charg%C3%A9_lEWzQC6_resized.png" TargetMode="External"/><Relationship Id="rId243" Type="http://schemas.openxmlformats.org/officeDocument/2006/relationships/hyperlink" Target="https://myiipea.com/media/etudiant/photo/WhatsApp_Image_2023-09-18_at_12.25.13.jpeg" TargetMode="External"/><Relationship Id="rId239" Type="http://schemas.openxmlformats.org/officeDocument/2006/relationships/hyperlink" Target="https://myiipea.com/media/etudiant/photo/WhatsApp_Image_2023-11-14_at_14.19.13.jpeg" TargetMode="External"/><Relationship Id="rId238" Type="http://schemas.openxmlformats.org/officeDocument/2006/relationships/hyperlink" Target="https://myiipea.com/media/etudiant/photo/WhatsApp_Image_2023-10-10_at_14.22.57.jpeg" TargetMode="External"/><Relationship Id="rId237" Type="http://schemas.openxmlformats.org/officeDocument/2006/relationships/hyperlink" Target="https://myiipea.com/media/etudiant/photo/WhatsApp_Image_2023-09-18_at_09.44.08.jpeg" TargetMode="External"/><Relationship Id="rId236" Type="http://schemas.openxmlformats.org/officeDocument/2006/relationships/hyperlink" Target="https://myiipea.com/media/etudiant/photo/WhatsApp_Image_2023-09-15_at_10.36.22.jpeg" TargetMode="External"/><Relationship Id="rId2390" Type="http://schemas.openxmlformats.org/officeDocument/2006/relationships/hyperlink" Target="https://myiipea.com/media/etudiant/photo/unnamed-2_d9LVOAL.png" TargetMode="External"/><Relationship Id="rId1060" Type="http://schemas.openxmlformats.org/officeDocument/2006/relationships/hyperlink" Target="https://myiipea.com/media/etudiant/photo/WhatsApp_Image_2023-10-02_at_11.11.25.jpeg" TargetMode="External"/><Relationship Id="rId2391" Type="http://schemas.openxmlformats.org/officeDocument/2006/relationships/hyperlink" Target="https://myiipea.com/media/etudiant/photo/WhatsApp_Image_2023-10-03_at_16.26.51.jpeg" TargetMode="External"/><Relationship Id="rId1061" Type="http://schemas.openxmlformats.org/officeDocument/2006/relationships/hyperlink" Target="https://myiipea.com/media/etudiant/photo/WhatsApp_Image_2023-10-04_at_12.24.15.jpeg" TargetMode="External"/><Relationship Id="rId2392" Type="http://schemas.openxmlformats.org/officeDocument/2006/relationships/hyperlink" Target="https://myiipea.com/media/etudiant/photo/WhatsApp_Image_2023-10-03_at_12.18.00.jpeg" TargetMode="External"/><Relationship Id="rId231" Type="http://schemas.openxmlformats.org/officeDocument/2006/relationships/hyperlink" Target="https://myiipea.com/media/etudiant/photo/IIPEA_qa3ciBg.png" TargetMode="External"/><Relationship Id="rId1062" Type="http://schemas.openxmlformats.org/officeDocument/2006/relationships/hyperlink" Target="https://myiipea.com/media/etudiant/photo/WhatsApp_Image_2023-10-11_at_17.41.04.jpeg" TargetMode="External"/><Relationship Id="rId2393" Type="http://schemas.openxmlformats.org/officeDocument/2006/relationships/hyperlink" Target="https://myiipea.com/media/etudiant/photo/WhatsApp_Image_2023-10-17_at_13.01.06.jpeg" TargetMode="External"/><Relationship Id="rId230" Type="http://schemas.openxmlformats.org/officeDocument/2006/relationships/hyperlink" Target="https://myiipea.com/media/etudiant/photo/WhatsApp_Image_2023-11-07_at_2.12.14_PM.jpeg" TargetMode="External"/><Relationship Id="rId1063" Type="http://schemas.openxmlformats.org/officeDocument/2006/relationships/hyperlink" Target="https://myiipea.com/media/etudiant/photo/WhatsApp_Image_2023-10-03_at_14.41.39.jpeg" TargetMode="External"/><Relationship Id="rId2394" Type="http://schemas.openxmlformats.org/officeDocument/2006/relationships/hyperlink" Target="https://myiipea.com/media/etudiant/photo/WhatsApp_Image_2023-10-27_at_11.33.13_1.jpeg" TargetMode="External"/><Relationship Id="rId1064" Type="http://schemas.openxmlformats.org/officeDocument/2006/relationships/hyperlink" Target="https://myiipea.com/media/etudiant/photo/WhatsApp_Image_2023-10-09_at_10.31.45.jpeg" TargetMode="External"/><Relationship Id="rId2395" Type="http://schemas.openxmlformats.org/officeDocument/2006/relationships/hyperlink" Target="https://myiipea.com/media/etudiant/photo/WhatsApp_Image_2023-11-09_at_11.14.17.jpeg" TargetMode="External"/><Relationship Id="rId1065" Type="http://schemas.openxmlformats.org/officeDocument/2006/relationships/hyperlink" Target="https://myiipea.com/media/etudiant/photo/WhatsApp_Image_2023-10-12_at_16.03.45.jpeg" TargetMode="External"/><Relationship Id="rId2396" Type="http://schemas.openxmlformats.org/officeDocument/2006/relationships/hyperlink" Target="https://myiipea.com/media/etudiant/photo/WhatsApp_Image_2023-10-10_at_12.23.36_qbu4LWh.jpeg" TargetMode="External"/><Relationship Id="rId235" Type="http://schemas.openxmlformats.org/officeDocument/2006/relationships/hyperlink" Target="https://myiipea.com/media/etudiant/photo/WhatsApp_Image_2023-09-29_at_14.05.53.jpeg" TargetMode="External"/><Relationship Id="rId1066" Type="http://schemas.openxmlformats.org/officeDocument/2006/relationships/hyperlink" Target="https://myiipea.com/media/etudiant/photo/WhatsApp_Image_2023-10-27_at_11.33.49.jpeg" TargetMode="External"/><Relationship Id="rId2397" Type="http://schemas.openxmlformats.org/officeDocument/2006/relationships/hyperlink" Target="https://myiipea.com/media/etudiant/photo/WhatsApp_Image_2023-11-20_at_1.14.24_PM.jpeg" TargetMode="External"/><Relationship Id="rId234" Type="http://schemas.openxmlformats.org/officeDocument/2006/relationships/hyperlink" Target="https://myiipea.com/media/etudiant/photo/IIPEA_JOhyKML.jpg" TargetMode="External"/><Relationship Id="rId1067" Type="http://schemas.openxmlformats.org/officeDocument/2006/relationships/hyperlink" Target="https://myiipea.com/media/etudiant/photo/WhatsApp_Image_2023-09-28_at_14.55.56.jpeg" TargetMode="External"/><Relationship Id="rId2398" Type="http://schemas.openxmlformats.org/officeDocument/2006/relationships/hyperlink" Target="https://myiipea.com/media/etudiant/photo/WhatsApp_Image_2023-11-10_at_10.01.10.jpeg" TargetMode="External"/><Relationship Id="rId233" Type="http://schemas.openxmlformats.org/officeDocument/2006/relationships/hyperlink" Target="https://myiipea.com/media/etudiant/photo/WhatsApp_Image_2023-10-13_at_17.09.26.jpeg" TargetMode="External"/><Relationship Id="rId1068" Type="http://schemas.openxmlformats.org/officeDocument/2006/relationships/hyperlink" Target="https://myiipea.com/media/etudiant/photo/WhatsApp_Image_2023-10-23_at_13.18.04.jpeg" TargetMode="External"/><Relationship Id="rId2399" Type="http://schemas.openxmlformats.org/officeDocument/2006/relationships/hyperlink" Target="https://myiipea.com/media/etudiant/photo/239422487_405915444207421_8131329350063382999_n_HbRWaWy.jpg" TargetMode="External"/><Relationship Id="rId232" Type="http://schemas.openxmlformats.org/officeDocument/2006/relationships/hyperlink" Target="https://myiipea.com/media/etudiant/photo/ALLAH.jpg" TargetMode="External"/><Relationship Id="rId1069" Type="http://schemas.openxmlformats.org/officeDocument/2006/relationships/hyperlink" Target="https://myiipea.com/media/etudiant/photo/WhatsApp_Image_2023-10-13_at_2.37.10_PM.jpeg" TargetMode="External"/><Relationship Id="rId1015" Type="http://schemas.openxmlformats.org/officeDocument/2006/relationships/hyperlink" Target="https://myiipea.com/media/etudiant/photo/WhatsApp_Image_2023-10-09_at_13.05.21.jpeg" TargetMode="External"/><Relationship Id="rId2346" Type="http://schemas.openxmlformats.org/officeDocument/2006/relationships/hyperlink" Target="https://myiipea.com/media/etudiant/photo/WhatsApp_Image_2023-10-09_at_2.33.19_PM.jpeg" TargetMode="External"/><Relationship Id="rId3678" Type="http://schemas.openxmlformats.org/officeDocument/2006/relationships/hyperlink" Target="https://myiipea.com/media/etudiant/photo/WhatsApp_Image_2023-11-29_at_4.07.46_PM.jpeg" TargetMode="External"/><Relationship Id="rId1016" Type="http://schemas.openxmlformats.org/officeDocument/2006/relationships/hyperlink" Target="https://myiipea.com/media/etudiant/photo/WhatsApp_Image_2023-10-03_at_2.44.41_PM.jpeg" TargetMode="External"/><Relationship Id="rId2347" Type="http://schemas.openxmlformats.org/officeDocument/2006/relationships/hyperlink" Target="https://myiipea.com/media/etudiant/photo/WhatsApp_Image_2023-10-02_at_13.00.49.jpeg" TargetMode="External"/><Relationship Id="rId3677" Type="http://schemas.openxmlformats.org/officeDocument/2006/relationships/hyperlink" Target="https://myiipea.com/media/etudiant/photo/WhatsApp_Image_2023-09-29_at_16.50.57.jpeg" TargetMode="External"/><Relationship Id="rId1017" Type="http://schemas.openxmlformats.org/officeDocument/2006/relationships/hyperlink" Target="https://myiipea.com/media/etudiant/photo/WhatsApp_Image_2023-11-28_at_11.17.28_AM.jpeg" TargetMode="External"/><Relationship Id="rId2348" Type="http://schemas.openxmlformats.org/officeDocument/2006/relationships/hyperlink" Target="https://myiipea.com/media/etudiant/photo/WhatsApp_Image_2023-10-30_at_12.50.39.jpeg" TargetMode="External"/><Relationship Id="rId1018" Type="http://schemas.openxmlformats.org/officeDocument/2006/relationships/hyperlink" Target="https://myiipea.com/media/etudiant/photo/WhatsApp_Image_2023-11-21_at_15.15.46.jpeg" TargetMode="External"/><Relationship Id="rId2349" Type="http://schemas.openxmlformats.org/officeDocument/2006/relationships/hyperlink" Target="https://myiipea.com/media/etudiant/photo/WhatsApp_Image_2023-11-30_at_3.52.49_PM.jpeg" TargetMode="External"/><Relationship Id="rId3679" Type="http://schemas.openxmlformats.org/officeDocument/2006/relationships/hyperlink" Target="https://myiipea.com/media/etudiant/photo/WhatsApp_Image_2023-11-22_at_10.08.09.jpeg" TargetMode="External"/><Relationship Id="rId1019" Type="http://schemas.openxmlformats.org/officeDocument/2006/relationships/hyperlink" Target="https://myiipea.com/media/etudiant/photo/WhatsApp_Image_2023-10-04_at_12.23.02.jpeg" TargetMode="External"/><Relationship Id="rId3670" Type="http://schemas.openxmlformats.org/officeDocument/2006/relationships/hyperlink" Target="https://myiipea.com/media/etudiant/photo/WhatsApp_Image_2023-09-20_%C3%A0_09.45.04.jpg" TargetMode="External"/><Relationship Id="rId2340" Type="http://schemas.openxmlformats.org/officeDocument/2006/relationships/hyperlink" Target="https://myiipea.com/media/etudiant/photo/WhatsApp_Image_2023-10-12_at_14.45.16.jpeg" TargetMode="External"/><Relationship Id="rId3672" Type="http://schemas.openxmlformats.org/officeDocument/2006/relationships/hyperlink" Target="https://myiipea.com/media/etudiant/photo/WhatsApp_Image_2023-10-05_at_14.51.48.jpeg" TargetMode="External"/><Relationship Id="rId1010" Type="http://schemas.openxmlformats.org/officeDocument/2006/relationships/hyperlink" Target="https://myiipea.com/media/etudiant/photo/WhatsApp_Image_2023-10-09_at_13.37.00.jpeg" TargetMode="External"/><Relationship Id="rId2341" Type="http://schemas.openxmlformats.org/officeDocument/2006/relationships/hyperlink" Target="https://myiipea.com/media/etudiant/photo/WhatsApp_Image_2023-10-03_at_14.45.12.jpeg" TargetMode="External"/><Relationship Id="rId3671" Type="http://schemas.openxmlformats.org/officeDocument/2006/relationships/hyperlink" Target="https://myiipea.com/media/etudiant/photo/WhatsApp_Image_2023-10-03_at_08.45.36.jpeg" TargetMode="External"/><Relationship Id="rId1011" Type="http://schemas.openxmlformats.org/officeDocument/2006/relationships/hyperlink" Target="https://myiipea.com/media/etudiant/photo/WhatsApp_Image_2023-10-05_at_12.19.35.jpeg" TargetMode="External"/><Relationship Id="rId2342" Type="http://schemas.openxmlformats.org/officeDocument/2006/relationships/hyperlink" Target="https://myiipea.com/media/etudiant/photo/WhatsApp_Image_2023-10-02_at_18.40.15.jpeg" TargetMode="External"/><Relationship Id="rId3674" Type="http://schemas.openxmlformats.org/officeDocument/2006/relationships/hyperlink" Target="https://myiipea.com/media/etudiant/photo/WhatsApp_Image_2023-10-06_at_09.46.35.jpeg" TargetMode="External"/><Relationship Id="rId1012" Type="http://schemas.openxmlformats.org/officeDocument/2006/relationships/hyperlink" Target="https://myiipea.com/media/etudiant/photo/WhatsApp_Image_2023-12-01_at_3_resized_jLTPbwz.png" TargetMode="External"/><Relationship Id="rId2343" Type="http://schemas.openxmlformats.org/officeDocument/2006/relationships/hyperlink" Target="https://myiipea.com/media/etudiant/photo/WhatsApp_Image_2023-11-27_at_10.59.41_AM.jpeg" TargetMode="External"/><Relationship Id="rId3673" Type="http://schemas.openxmlformats.org/officeDocument/2006/relationships/hyperlink" Target="https://myiipea.com/media/etudiant/photo/WhatsApp_Image_2023-09-19_at_14.08.51.jpeg" TargetMode="External"/><Relationship Id="rId1013" Type="http://schemas.openxmlformats.org/officeDocument/2006/relationships/hyperlink" Target="https://myiipea.com/media/etudiant/photo/WhatsApp_Image_2023-10-12_at_10.27.06.jpeg" TargetMode="External"/><Relationship Id="rId2344" Type="http://schemas.openxmlformats.org/officeDocument/2006/relationships/hyperlink" Target="https://myiipea.com/media/etudiant/photo/WhatsApp_Image_2023-10-04_at_15.05.41.jpeg" TargetMode="External"/><Relationship Id="rId3676" Type="http://schemas.openxmlformats.org/officeDocument/2006/relationships/hyperlink" Target="https://myiipea.com/media/etudiant/photo/WhatsApp_Image_2023-10-16_at_15.46.47_TvPL2q0.jpeg" TargetMode="External"/><Relationship Id="rId1014" Type="http://schemas.openxmlformats.org/officeDocument/2006/relationships/hyperlink" Target="https://myiipea.com/media/etudiant/photo/WhatsApp_Image_2023-10-17_at_14.12.56.jpeg" TargetMode="External"/><Relationship Id="rId2345" Type="http://schemas.openxmlformats.org/officeDocument/2006/relationships/hyperlink" Target="https://myiipea.com/media/etudiant/photo/WhatsApp_Image_2023-10-02_at_11.22.11.jpeg" TargetMode="External"/><Relationship Id="rId3675" Type="http://schemas.openxmlformats.org/officeDocument/2006/relationships/hyperlink" Target="https://myiipea.com/media/etudiant/photo/Photo_didentit%C3%A9__2023_resized.png" TargetMode="External"/><Relationship Id="rId1004" Type="http://schemas.openxmlformats.org/officeDocument/2006/relationships/hyperlink" Target="https://myiipea.com/media/etudiant/photo/WhatsApp_Image_2023-11-23_at_09.33.05.jpeg" TargetMode="External"/><Relationship Id="rId2335" Type="http://schemas.openxmlformats.org/officeDocument/2006/relationships/hyperlink" Target="https://myiipea.com/media/etudiant/photo/WhatsApp_Image_2023-11-13_at_12.12.52_PM.jpeg" TargetMode="External"/><Relationship Id="rId3667" Type="http://schemas.openxmlformats.org/officeDocument/2006/relationships/hyperlink" Target="https://myiipea.com/media/etudiant/photo/WhatsApp_Image_2023-10-16_at_16.04.05.jpeg" TargetMode="External"/><Relationship Id="rId1005" Type="http://schemas.openxmlformats.org/officeDocument/2006/relationships/hyperlink" Target="https://myiipea.com/media/etudiant/photo/e2bfadb3-795f-4a15-beb2-b16524fdde2a-removebg-preview.png" TargetMode="External"/><Relationship Id="rId2336" Type="http://schemas.openxmlformats.org/officeDocument/2006/relationships/hyperlink" Target="https://myiipea.com/media/etudiant/photo/WhatsApp_Image_2023-10-05_at_11.04.10.jpeg" TargetMode="External"/><Relationship Id="rId3666" Type="http://schemas.openxmlformats.org/officeDocument/2006/relationships/hyperlink" Target="https://myiipea.com/media/etudiant/photo/WhatsApp_Image_2023-10-13_at_16.38.29.jpeg" TargetMode="External"/><Relationship Id="rId1006" Type="http://schemas.openxmlformats.org/officeDocument/2006/relationships/hyperlink" Target="https://myiipea.com/media/etudiant/photo/239422487_405915444207421_8131329350063382999_n_PWAzZbo_resized.png" TargetMode="External"/><Relationship Id="rId2337" Type="http://schemas.openxmlformats.org/officeDocument/2006/relationships/hyperlink" Target="https://myiipea.com/media/etudiant/photo/WhatsApp_Image_2023-11-17_at_10.58.57.jpeg" TargetMode="External"/><Relationship Id="rId3669" Type="http://schemas.openxmlformats.org/officeDocument/2006/relationships/hyperlink" Target="https://myiipea.com/media/etudiant/photo/WhatsApp_Image_2023-10-04_at_10.28.32.jpeg" TargetMode="External"/><Relationship Id="rId1007" Type="http://schemas.openxmlformats.org/officeDocument/2006/relationships/hyperlink" Target="https://myiipea.com/media/etudiant/photo/WhatsApp_Image_2023-10-10_at_15.07.13.jpeg" TargetMode="External"/><Relationship Id="rId2338" Type="http://schemas.openxmlformats.org/officeDocument/2006/relationships/hyperlink" Target="https://myiipea.com/media/etudiant/photo/WhatsApp_Image_2023-11-20_at_12.54.21_PM.jpeg" TargetMode="External"/><Relationship Id="rId3668" Type="http://schemas.openxmlformats.org/officeDocument/2006/relationships/hyperlink" Target="https://myiipea.com/media/etudiant/photo/WhatsApp_Image_2023-10-10_at_11.22.43.jpeg" TargetMode="External"/><Relationship Id="rId1008" Type="http://schemas.openxmlformats.org/officeDocument/2006/relationships/hyperlink" Target="https://myiipea.com/media/etudiant/photo/WhatsApp_Image_2023-10-04_at_14.36.44.jpeg" TargetMode="External"/><Relationship Id="rId2339" Type="http://schemas.openxmlformats.org/officeDocument/2006/relationships/hyperlink" Target="https://myiipea.com/media/etudiant/photo/WhatsApp_Image_2023-10-06_at_12.57.32.jpeg" TargetMode="External"/><Relationship Id="rId1009" Type="http://schemas.openxmlformats.org/officeDocument/2006/relationships/hyperlink" Target="https://myiipea.com/media/etudiant/photo/WhatsApp_Image_2023-10-26_at_14.13.34.jpeg" TargetMode="External"/><Relationship Id="rId3661" Type="http://schemas.openxmlformats.org/officeDocument/2006/relationships/hyperlink" Target="https://myiipea.com/media/etudiant/photo/WhatsApp_Image_2023-09-29_at_11.29.56.jpeg" TargetMode="External"/><Relationship Id="rId2330" Type="http://schemas.openxmlformats.org/officeDocument/2006/relationships/hyperlink" Target="https://myiipea.com/media/etudiant/photo/WhatsApp_Image_2023-10-03_at_11.15.15.jpeg" TargetMode="External"/><Relationship Id="rId3660" Type="http://schemas.openxmlformats.org/officeDocument/2006/relationships/hyperlink" Target="https://myiipea.com/media/etudiant/photo/WhatsApp_Image_2023-10-10_at_19.19.27.jpeg" TargetMode="External"/><Relationship Id="rId1000" Type="http://schemas.openxmlformats.org/officeDocument/2006/relationships/hyperlink" Target="https://myiipea.com/media/etudiant/photo/WhatsApp_Image_2023-10-11_at_12.26.44_PM.jpeg" TargetMode="External"/><Relationship Id="rId2331" Type="http://schemas.openxmlformats.org/officeDocument/2006/relationships/hyperlink" Target="https://myiipea.com/media/etudiant/photo/WhatsApp_Image_2023-10-09_at_3.03.52_PM.jpeg" TargetMode="External"/><Relationship Id="rId3663" Type="http://schemas.openxmlformats.org/officeDocument/2006/relationships/hyperlink" Target="https://myiipea.com/media/etudiant/photo/WhatsApp_Image_2023-10-02_at_16.40.42.jpeg" TargetMode="External"/><Relationship Id="rId1001" Type="http://schemas.openxmlformats.org/officeDocument/2006/relationships/hyperlink" Target="https://myiipea.com/media/etudiant/photo/WhatsApp_Image_2023-10-05_at_09.46.13.jpeg" TargetMode="External"/><Relationship Id="rId2332" Type="http://schemas.openxmlformats.org/officeDocument/2006/relationships/hyperlink" Target="https://myiipea.com/media/etudiant/photo/WhatsApp_Image_2023-10-11_at_15.56.02.jpeg" TargetMode="External"/><Relationship Id="rId3662" Type="http://schemas.openxmlformats.org/officeDocument/2006/relationships/hyperlink" Target="https://myiipea.com/media/etudiant/photo/WhatsApp_Image_2023-10-19_at_09.48.27.jpeg" TargetMode="External"/><Relationship Id="rId1002" Type="http://schemas.openxmlformats.org/officeDocument/2006/relationships/hyperlink" Target="https://myiipea.com/media/etudiant/photo/WhatsApp_Image_2023-09-22_at_12.00.36.jpeg" TargetMode="External"/><Relationship Id="rId2333" Type="http://schemas.openxmlformats.org/officeDocument/2006/relationships/hyperlink" Target="https://myiipea.com/media/etudiant/photo/WhatsApp_Image_2023-10-17_at_15.37.57.jpeg" TargetMode="External"/><Relationship Id="rId3665" Type="http://schemas.openxmlformats.org/officeDocument/2006/relationships/hyperlink" Target="https://myiipea.com/media/etudiant/photo/WhatsApp_Image_2023-10-16_at_14.42.41.jpeg" TargetMode="External"/><Relationship Id="rId1003" Type="http://schemas.openxmlformats.org/officeDocument/2006/relationships/hyperlink" Target="https://myiipea.com/media/etudiant/photo/WhatsApp_Image_2023-10-25_at_16.09.10.jpeg" TargetMode="External"/><Relationship Id="rId2334" Type="http://schemas.openxmlformats.org/officeDocument/2006/relationships/hyperlink" Target="https://myiipea.com/media/etudiant/photo/53b2d189-8406-4905-9552-e52c05ab726b-removebg-preview.png" TargetMode="External"/><Relationship Id="rId3664" Type="http://schemas.openxmlformats.org/officeDocument/2006/relationships/hyperlink" Target="https://myiipea.com/media/etudiant/photo/WhatsApp_Image_2023-10-18_at_12.49.19_PM.jpeg" TargetMode="External"/><Relationship Id="rId1037" Type="http://schemas.openxmlformats.org/officeDocument/2006/relationships/hyperlink" Target="https://myiipea.com/media/etudiant/photo/WhatsApp_Image_2023-10-14_at_10.16.37_1.jpeg" TargetMode="External"/><Relationship Id="rId2368" Type="http://schemas.openxmlformats.org/officeDocument/2006/relationships/hyperlink" Target="https://myiipea.com/media/etudiant/photo/WhatsApp_Image_2023-10-13_at_09.44.10.jpeg" TargetMode="External"/><Relationship Id="rId1038" Type="http://schemas.openxmlformats.org/officeDocument/2006/relationships/hyperlink" Target="https://myiipea.com/media/etudiant/photo/WhatsApp_Image_2023-10-12_at_09.48.39.jpeg" TargetMode="External"/><Relationship Id="rId2369" Type="http://schemas.openxmlformats.org/officeDocument/2006/relationships/hyperlink" Target="https://myiipea.com/media/etudiant/photo/WhatsApp_Image_2023-10-09_at_12.03.30_PM.jpeg" TargetMode="External"/><Relationship Id="rId3699" Type="http://schemas.openxmlformats.org/officeDocument/2006/relationships/hyperlink" Target="https://myiipea.com/media/etudiant/photo/WhatsApp_Image_2023-11-07_at_1.17.00_PM.jpeg" TargetMode="External"/><Relationship Id="rId1039" Type="http://schemas.openxmlformats.org/officeDocument/2006/relationships/hyperlink" Target="https://myiipea.com/media/etudiant/photo/WhatsApp_Image_2023-11-08_at_4.23.17_PM.jpeg" TargetMode="External"/><Relationship Id="rId206" Type="http://schemas.openxmlformats.org/officeDocument/2006/relationships/hyperlink" Target="https://myiipea.com/media/etudiant/photo/239422487_405915444207421_8131329350063382999_n_qXyXxmA.jpg" TargetMode="External"/><Relationship Id="rId205" Type="http://schemas.openxmlformats.org/officeDocument/2006/relationships/hyperlink" Target="https://myiipea.com/media/etudiant/photo/WhatsApp_Image_2023-09-20_at_11.05.47.jpeg" TargetMode="External"/><Relationship Id="rId204" Type="http://schemas.openxmlformats.org/officeDocument/2006/relationships/hyperlink" Target="https://myiipea.com/media/etudiant/photo/WhatsApp_Image_2023-10-11_at_10.12.50.jpeg" TargetMode="External"/><Relationship Id="rId203" Type="http://schemas.openxmlformats.org/officeDocument/2006/relationships/hyperlink" Target="https://myiipea.com/media/etudiant/photo/WhatsApp_Image_2023-10-04_at_12.58.39.jpeg" TargetMode="External"/><Relationship Id="rId209" Type="http://schemas.openxmlformats.org/officeDocument/2006/relationships/hyperlink" Target="https://myiipea.com/media/etudiant/photo/WhatsApp_Image_2023-10-30_at_10.58.24.jpeg" TargetMode="External"/><Relationship Id="rId208" Type="http://schemas.openxmlformats.org/officeDocument/2006/relationships/hyperlink" Target="https://myiipea.com/media/etudiant/photo/WhatsApp_Image_2023-10-23_at_15.22.59_1.jpeg" TargetMode="External"/><Relationship Id="rId3690" Type="http://schemas.openxmlformats.org/officeDocument/2006/relationships/hyperlink" Target="https://myiipea.com/media/etudiant/photo/IIPEA_reXaPdY.png" TargetMode="External"/><Relationship Id="rId207" Type="http://schemas.openxmlformats.org/officeDocument/2006/relationships/hyperlink" Target="https://myiipea.com/media/etudiant/photo/WhatsApp_Image_2023-10-11_at_2.22.45_PM.jpeg" TargetMode="External"/><Relationship Id="rId2360" Type="http://schemas.openxmlformats.org/officeDocument/2006/relationships/hyperlink" Target="https://myiipea.com/media/etudiant/photo/WhatsApp_Image_2023-10-11_at_09.34.30.jpeg" TargetMode="External"/><Relationship Id="rId3692" Type="http://schemas.openxmlformats.org/officeDocument/2006/relationships/hyperlink" Target="https://myiipea.com/media/etudiant/photo/WhatsApp_Image_2023-11-02_at_08.59.17.jpeg" TargetMode="External"/><Relationship Id="rId1030" Type="http://schemas.openxmlformats.org/officeDocument/2006/relationships/hyperlink" Target="https://myiipea.com/media/etudiant/photo/WhatsApp_Image_2023-10-16_at_12.57.35.jpeg" TargetMode="External"/><Relationship Id="rId2361" Type="http://schemas.openxmlformats.org/officeDocument/2006/relationships/hyperlink" Target="https://myiipea.com/media/etudiant/photo/WhatsApp_Image_2023-10-11_at_7.01.14_PM.jpeg" TargetMode="External"/><Relationship Id="rId3691" Type="http://schemas.openxmlformats.org/officeDocument/2006/relationships/hyperlink" Target="https://myiipea.com/media/etudiant/photo/WhatsApp_Image_2023-11-07_at_11.08.37_3Xo7sR9.jpeg" TargetMode="External"/><Relationship Id="rId1031" Type="http://schemas.openxmlformats.org/officeDocument/2006/relationships/hyperlink" Target="https://myiipea.com/media/etudiant/photo/WhatsApp_Image_2023-09-29_at_11.07.09.jpeg" TargetMode="External"/><Relationship Id="rId2362" Type="http://schemas.openxmlformats.org/officeDocument/2006/relationships/hyperlink" Target="https://myiipea.com/media/etudiant/photo/WhatsApp_Image_2023-10-09_at_16.27.44.jpeg" TargetMode="External"/><Relationship Id="rId3694" Type="http://schemas.openxmlformats.org/officeDocument/2006/relationships/hyperlink" Target="https://myiipea.com/media/etudiant/photo/RISSINATA.jpg" TargetMode="External"/><Relationship Id="rId1032" Type="http://schemas.openxmlformats.org/officeDocument/2006/relationships/hyperlink" Target="https://myiipea.com/media/etudiant/photo/WhatsApp_Image_2023-10-05_at_13.54.49.jpeg" TargetMode="External"/><Relationship Id="rId2363" Type="http://schemas.openxmlformats.org/officeDocument/2006/relationships/hyperlink" Target="https://myiipea.com/media/etudiant/photo/WhatsApp_Image_2023-11-10_at_5.13.34_PM.jpeg" TargetMode="External"/><Relationship Id="rId3693" Type="http://schemas.openxmlformats.org/officeDocument/2006/relationships/hyperlink" Target="https://myiipea.com/media/etudiant/photo/WhatsApp_Image_2023-10-05_at_12.17.33.jpeg" TargetMode="External"/><Relationship Id="rId202" Type="http://schemas.openxmlformats.org/officeDocument/2006/relationships/hyperlink" Target="https://myiipea.com/media/etudiant/photo/WhatsApp_Image_2023-10-13_at_10.04.36.jpeg" TargetMode="External"/><Relationship Id="rId1033" Type="http://schemas.openxmlformats.org/officeDocument/2006/relationships/hyperlink" Target="https://myiipea.com/media/etudiant/photo/WhatsApp_Image_2023-10-21_at_11.39.00.jpeg" TargetMode="External"/><Relationship Id="rId2364" Type="http://schemas.openxmlformats.org/officeDocument/2006/relationships/hyperlink" Target="https://myiipea.com/media/etudiant/photo/WhatsApp_Image_2023-10-03_at_16.49.34.jpeg" TargetMode="External"/><Relationship Id="rId3696" Type="http://schemas.openxmlformats.org/officeDocument/2006/relationships/hyperlink" Target="https://myiipea.com/media/etudiant/photo/WhatsApp_Image_2023-10-20_at_13.29.14.jpeg" TargetMode="External"/><Relationship Id="rId201" Type="http://schemas.openxmlformats.org/officeDocument/2006/relationships/hyperlink" Target="https://myiipea.com/media/etudiant/photo/WhatsApp_Image_2023-10-04_at_16.52.57.jpeg" TargetMode="External"/><Relationship Id="rId1034" Type="http://schemas.openxmlformats.org/officeDocument/2006/relationships/hyperlink" Target="https://myiipea.com/media/etudiant/photo/WhatsApp_Image_2023-11-14_at_14.37.46.jpeg" TargetMode="External"/><Relationship Id="rId2365" Type="http://schemas.openxmlformats.org/officeDocument/2006/relationships/hyperlink" Target="https://myiipea.com/media/etudiant/photo/unnamed-2_g6ozayo.png" TargetMode="External"/><Relationship Id="rId3695" Type="http://schemas.openxmlformats.org/officeDocument/2006/relationships/hyperlink" Target="https://myiipea.com/media/etudiant/photo/WhatsApp_Image_2023-10-11_at_13.53.09.jpeg" TargetMode="External"/><Relationship Id="rId200" Type="http://schemas.openxmlformats.org/officeDocument/2006/relationships/hyperlink" Target="https://myiipea.com/media/etudiant/photo/WhatsApp_Image_2023-10-12_at_10.12.06.jpeg" TargetMode="External"/><Relationship Id="rId1035" Type="http://schemas.openxmlformats.org/officeDocument/2006/relationships/hyperlink" Target="https://myiipea.com/media/etudiant/photo/WhatsApp_Image_2023-10-30_at_10.41.41.jpeg" TargetMode="External"/><Relationship Id="rId2366" Type="http://schemas.openxmlformats.org/officeDocument/2006/relationships/hyperlink" Target="https://myiipea.com/media/etudiant/photo/WhatsApp_Image_2023-10-12_at_15.30.00.jpeg" TargetMode="External"/><Relationship Id="rId3698" Type="http://schemas.openxmlformats.org/officeDocument/2006/relationships/hyperlink" Target="https://myiipea.com/media/etudiant/photo/WhatsApp_Image_2023-10-26_at_16.24.24.jpeg" TargetMode="External"/><Relationship Id="rId1036" Type="http://schemas.openxmlformats.org/officeDocument/2006/relationships/hyperlink" Target="https://myiipea.com/media/etudiant/photo/WhatsApp_Image_2023-11-07_at_12.07.06.jpeg" TargetMode="External"/><Relationship Id="rId2367" Type="http://schemas.openxmlformats.org/officeDocument/2006/relationships/hyperlink" Target="https://myiipea.com/media/etudiant/photo/WhatsApp_Image_2023-09-29_at_13.45.11.jpeg" TargetMode="External"/><Relationship Id="rId3697" Type="http://schemas.openxmlformats.org/officeDocument/2006/relationships/hyperlink" Target="https://myiipea.com/media/etudiant/photo/WhatsApp_Image_2023-10-23_at_15.43.43.jpeg" TargetMode="External"/><Relationship Id="rId1026" Type="http://schemas.openxmlformats.org/officeDocument/2006/relationships/hyperlink" Target="https://myiipea.com/media/etudiant/photo/WhatsApp_Image_2023-10-04_at_15.16.52.jpeg" TargetMode="External"/><Relationship Id="rId2357" Type="http://schemas.openxmlformats.org/officeDocument/2006/relationships/hyperlink" Target="https://myiipea.com/media/etudiant/photo/WhatsApp_Image_2023-10-11_at_12.42.09_PM.jpeg" TargetMode="External"/><Relationship Id="rId3689" Type="http://schemas.openxmlformats.org/officeDocument/2006/relationships/hyperlink" Target="https://myiipea.com/media/etudiant/photo/WhatsApp_Image_2023-11-09_at_12.33.04.jpeg" TargetMode="External"/><Relationship Id="rId1027" Type="http://schemas.openxmlformats.org/officeDocument/2006/relationships/hyperlink" Target="https://myiipea.com/media/etudiant/photo/WhatsApp_Image_2023-10-03_at_12.40.29.jpeg" TargetMode="External"/><Relationship Id="rId2358" Type="http://schemas.openxmlformats.org/officeDocument/2006/relationships/hyperlink" Target="https://myiipea.com/media/etudiant/photo/WhatsApp_Image_2023-10-12_at_17.30.26.jpeg" TargetMode="External"/><Relationship Id="rId3688" Type="http://schemas.openxmlformats.org/officeDocument/2006/relationships/hyperlink" Target="https://myiipea.com/media/etudiant/photo/WhatsApp_Image_2023-10-02_at_12.07.45.jpeg" TargetMode="External"/><Relationship Id="rId1028" Type="http://schemas.openxmlformats.org/officeDocument/2006/relationships/hyperlink" Target="https://myiipea.com/media/etudiant/photo/WhatsApp_Image_2023-09-26_at_12.33.09.jpeg" TargetMode="External"/><Relationship Id="rId2359" Type="http://schemas.openxmlformats.org/officeDocument/2006/relationships/hyperlink" Target="https://myiipea.com/media/etudiant/photo/WhatsApp_Image_2023-10-19_at_13.32.32.jpeg" TargetMode="External"/><Relationship Id="rId1029" Type="http://schemas.openxmlformats.org/officeDocument/2006/relationships/hyperlink" Target="https://myiipea.com/media/etudiant/photo/t%C3%A9l%C3%A9chargement_P01J1Q7.png" TargetMode="External"/><Relationship Id="rId3681" Type="http://schemas.openxmlformats.org/officeDocument/2006/relationships/hyperlink" Target="https://myiipea.com/media/etudiant/photo/WhatsApp_Image_2023-11-17_at_17.10.55.jpeg" TargetMode="External"/><Relationship Id="rId2350" Type="http://schemas.openxmlformats.org/officeDocument/2006/relationships/hyperlink" Target="https://myiipea.com/media/etudiant/photo/WhatsApp_Image_2023-10-02_at_18.09.25.jpeg" TargetMode="External"/><Relationship Id="rId3680" Type="http://schemas.openxmlformats.org/officeDocument/2006/relationships/hyperlink" Target="https://myiipea.com/media/etudiant/photo/WhatsApp_Image_2023-10-23_at_09.56.07.jpeg" TargetMode="External"/><Relationship Id="rId1020" Type="http://schemas.openxmlformats.org/officeDocument/2006/relationships/hyperlink" Target="https://myiipea.com/media/etudiant/photo/WhatsApp_Image_2023-10-19_at_13.19.30.jpeg" TargetMode="External"/><Relationship Id="rId2351" Type="http://schemas.openxmlformats.org/officeDocument/2006/relationships/hyperlink" Target="https://myiipea.com/media/etudiant/photo/WhatsApp_Image_2023-10-05_at_15.07.43.jpeg" TargetMode="External"/><Relationship Id="rId3683" Type="http://schemas.openxmlformats.org/officeDocument/2006/relationships/hyperlink" Target="https://myiipea.com/media/etudiant/photo/WhatsApp_Image_2023-10-06_at_3.36.25_PM.jpeg" TargetMode="External"/><Relationship Id="rId1021" Type="http://schemas.openxmlformats.org/officeDocument/2006/relationships/hyperlink" Target="https://myiipea.com/media/etudiant/photo/WhatsApp_Image_2023-10-18_at_17.24.21.jpeg" TargetMode="External"/><Relationship Id="rId2352" Type="http://schemas.openxmlformats.org/officeDocument/2006/relationships/hyperlink" Target="https://myiipea.com/media/etudiant/photo/WhatsApp_Image_2023-11-13_at_4.40.24_PM.jpeg" TargetMode="External"/><Relationship Id="rId3682" Type="http://schemas.openxmlformats.org/officeDocument/2006/relationships/hyperlink" Target="https://myiipea.com/media/etudiant/photo/WhatsApp_Image_2023-11-21_at_11.56.40_AM.jpeg" TargetMode="External"/><Relationship Id="rId1022" Type="http://schemas.openxmlformats.org/officeDocument/2006/relationships/hyperlink" Target="https://myiipea.com/media/etudiant/photo/WhatsApp_Image_2023-10-20_at_11.39.08.jpeg" TargetMode="External"/><Relationship Id="rId2353" Type="http://schemas.openxmlformats.org/officeDocument/2006/relationships/hyperlink" Target="https://myiipea.com/media/etudiant/photo/WhatsApp_Image_2023-10-11_at_13.01.04.jpeg" TargetMode="External"/><Relationship Id="rId3685" Type="http://schemas.openxmlformats.org/officeDocument/2006/relationships/hyperlink" Target="https://myiipea.com/media/etudiant/photo/WhatsApp_Image_2023-10-17_at_12.26.28.jpeg" TargetMode="External"/><Relationship Id="rId1023" Type="http://schemas.openxmlformats.org/officeDocument/2006/relationships/hyperlink" Target="https://myiipea.com/media/etudiant/photo/Logo_EMATECH-removebg-preview_saZU5fa.png" TargetMode="External"/><Relationship Id="rId2354" Type="http://schemas.openxmlformats.org/officeDocument/2006/relationships/hyperlink" Target="https://myiipea.com/media/etudiant/photo/WhatsApp_Image_2023-10-02_at_18.10.53.jpeg" TargetMode="External"/><Relationship Id="rId3684" Type="http://schemas.openxmlformats.org/officeDocument/2006/relationships/hyperlink" Target="https://myiipea.com/media/etudiant/photo/WhatsApp_Image_2023-10-13_at_18.35.15.jpeg" TargetMode="External"/><Relationship Id="rId1024" Type="http://schemas.openxmlformats.org/officeDocument/2006/relationships/hyperlink" Target="https://myiipea.com/media/etudiant/photo/WhatsApp_Image_2023-10-14_at_11.30.12.jpeg" TargetMode="External"/><Relationship Id="rId2355" Type="http://schemas.openxmlformats.org/officeDocument/2006/relationships/hyperlink" Target="https://myiipea.com/media/etudiant/photo/WhatsApp_Image_2023-10-13_at_16.31.14.jpeg" TargetMode="External"/><Relationship Id="rId3687" Type="http://schemas.openxmlformats.org/officeDocument/2006/relationships/hyperlink" Target="https://myiipea.com/media/etudiant/photo/WhatsApp_Image_2023-10-27_at_11.34.15.jpeg" TargetMode="External"/><Relationship Id="rId1025" Type="http://schemas.openxmlformats.org/officeDocument/2006/relationships/hyperlink" Target="https://myiipea.com/media/etudiant/photo/WhatsApp_Image_2023-10-04_at_16.22.41.jpeg" TargetMode="External"/><Relationship Id="rId2356" Type="http://schemas.openxmlformats.org/officeDocument/2006/relationships/hyperlink" Target="https://myiipea.com/media/etudiant/photo/WhatsApp_Image_2023-11-23_at_11.21.47_1.jpeg" TargetMode="External"/><Relationship Id="rId3686" Type="http://schemas.openxmlformats.org/officeDocument/2006/relationships/hyperlink" Target="https://myiipea.com/media/etudiant/photo/WhatsApp_Image_2023-10-13_at_12.48.28_PM.jpeg" TargetMode="External"/><Relationship Id="rId1910" Type="http://schemas.openxmlformats.org/officeDocument/2006/relationships/hyperlink" Target="https://myiipea.com/media/etudiant/photo/WhatsApp_Image_2023-10-11_at_16.54.59.jpeg" TargetMode="External"/><Relationship Id="rId1911" Type="http://schemas.openxmlformats.org/officeDocument/2006/relationships/hyperlink" Target="https://myiipea.com/media/etudiant/photo/WhatsApp_Image_2023-10-27_at_15.56.21.jpeg" TargetMode="External"/><Relationship Id="rId1912" Type="http://schemas.openxmlformats.org/officeDocument/2006/relationships/hyperlink" Target="https://myiipea.com/media/etudiant/photo/WhatsApp_Image_2023-10-18_at_13.29.29.jpeg" TargetMode="External"/><Relationship Id="rId1913" Type="http://schemas.openxmlformats.org/officeDocument/2006/relationships/hyperlink" Target="https://myiipea.com/media/etudiant/photo/WhatsApp_Image_2023-11-07_at_12.22.26_PM.jpeg" TargetMode="External"/><Relationship Id="rId1914" Type="http://schemas.openxmlformats.org/officeDocument/2006/relationships/hyperlink" Target="https://myiipea.com/media/etudiant/photo/WhatsApp_Image_2023-09-28_at_11.16.37.jpeg" TargetMode="External"/><Relationship Id="rId1915" Type="http://schemas.openxmlformats.org/officeDocument/2006/relationships/hyperlink" Target="https://myiipea.com/media/etudiant/photo/WhatsApp_Image_2023-10-10_at_13.11.38.jpeg" TargetMode="External"/><Relationship Id="rId1916" Type="http://schemas.openxmlformats.org/officeDocument/2006/relationships/hyperlink" Target="https://myiipea.com/media/etudiant/photo/WhatsApp_Image_2023-10-03_at_13_resized_UqpWunM.png" TargetMode="External"/><Relationship Id="rId1917" Type="http://schemas.openxmlformats.org/officeDocument/2006/relationships/hyperlink" Target="https://myiipea.com/media/etudiant/photo/WhatsApp_Image_2023-09-29_at_08.28.10.jpeg" TargetMode="External"/><Relationship Id="rId1918" Type="http://schemas.openxmlformats.org/officeDocument/2006/relationships/hyperlink" Target="https://myiipea.com/media/etudiant/photo/WhatsApp_Image_2023-10-09_at_14_resized.png" TargetMode="External"/><Relationship Id="rId1919" Type="http://schemas.openxmlformats.org/officeDocument/2006/relationships/hyperlink" Target="https://myiipea.com/media/etudiant/photo/WhatsApp_Image_2023-11-02_at_9.48.16_AM.jpeg" TargetMode="External"/><Relationship Id="rId1900" Type="http://schemas.openxmlformats.org/officeDocument/2006/relationships/hyperlink" Target="https://myiipea.com/media/etudiant/photo/WhatsApp_Image_2023-10-09_at_15.33.54.jpeg" TargetMode="External"/><Relationship Id="rId1901" Type="http://schemas.openxmlformats.org/officeDocument/2006/relationships/hyperlink" Target="https://myiipea.com/media/etudiant/photo/WhatsApp_Image_2023-11-23_at_10.51.33.jpeg" TargetMode="External"/><Relationship Id="rId1902" Type="http://schemas.openxmlformats.org/officeDocument/2006/relationships/hyperlink" Target="https://myiipea.com/media/etudiant/photo/photo_Ezp8UL0.jpg" TargetMode="External"/><Relationship Id="rId1903" Type="http://schemas.openxmlformats.org/officeDocument/2006/relationships/hyperlink" Target="https://myiipea.com/media/etudiant/photo/WhatsApp_Image_2023-11-22_at_09.27.18.jpeg" TargetMode="External"/><Relationship Id="rId1904" Type="http://schemas.openxmlformats.org/officeDocument/2006/relationships/hyperlink" Target="https://myiipea.com/media/etudiant/photo/WhatsApp_Image_2023-10-17_at_11.33.28.jpeg" TargetMode="External"/><Relationship Id="rId1905" Type="http://schemas.openxmlformats.org/officeDocument/2006/relationships/hyperlink" Target="https://myiipea.com/media/etudiant/photo/WhatsApp_Image_2023-11-21_at_13.07.43.jpeg" TargetMode="External"/><Relationship Id="rId1906" Type="http://schemas.openxmlformats.org/officeDocument/2006/relationships/hyperlink" Target="https://myiipea.com/media/etudiant/photo/WhatsApp_Image_2023-10-06_at_17.35.34.jpeg" TargetMode="External"/><Relationship Id="rId1907" Type="http://schemas.openxmlformats.org/officeDocument/2006/relationships/hyperlink" Target="https://myiipea.com/media/etudiant/photo/WhatsApp_Image_2023-10-16_at_11.03.08.jpeg" TargetMode="External"/><Relationship Id="rId1908" Type="http://schemas.openxmlformats.org/officeDocument/2006/relationships/hyperlink" Target="https://myiipea.com/media/etudiant/photo/WhatsApp_Image_2023-10-17_at_11_resized_z4GJKmw.png" TargetMode="External"/><Relationship Id="rId1909" Type="http://schemas.openxmlformats.org/officeDocument/2006/relationships/hyperlink" Target="https://myiipea.com/media/etudiant/photo/WhatsApp_Image_2023-09-26_%C3%A0_15.59.58.jpg" TargetMode="External"/><Relationship Id="rId1090" Type="http://schemas.openxmlformats.org/officeDocument/2006/relationships/hyperlink" Target="https://myiipea.com/media/etudiant/photo/WhatsApp_Image_2023-10-04_at_16.59.35.jpeg" TargetMode="External"/><Relationship Id="rId1091" Type="http://schemas.openxmlformats.org/officeDocument/2006/relationships/hyperlink" Target="https://myiipea.com/media/etudiant/photo/WhatsApp_Image_2023-11-06_at_15.12.18.jpeg" TargetMode="External"/><Relationship Id="rId1092" Type="http://schemas.openxmlformats.org/officeDocument/2006/relationships/hyperlink" Target="https://myiipea.com/media/etudiant/photo/WhatsApp_Image_2023-11-30_at_13.35.55.jpeg" TargetMode="External"/><Relationship Id="rId1093" Type="http://schemas.openxmlformats.org/officeDocument/2006/relationships/hyperlink" Target="https://myiipea.com/media/etudiant/photo/WhatsApp_Image_2023-10-02_at_18.14.15.jpeg" TargetMode="External"/><Relationship Id="rId1094" Type="http://schemas.openxmlformats.org/officeDocument/2006/relationships/hyperlink" Target="https://myiipea.com/media/etudiant/photo/DODO.jpg" TargetMode="External"/><Relationship Id="rId1095" Type="http://schemas.openxmlformats.org/officeDocument/2006/relationships/hyperlink" Target="https://myiipea.com/media/etudiant/photo/WhatsApp_Image_2023-10-25_at_1.58.04_PM.jpeg" TargetMode="External"/><Relationship Id="rId1096" Type="http://schemas.openxmlformats.org/officeDocument/2006/relationships/hyperlink" Target="https://myiipea.com/media/etudiant/photo/WhatsApp_Image_2023-11-27_at_12.43.08.jpeg" TargetMode="External"/><Relationship Id="rId1097" Type="http://schemas.openxmlformats.org/officeDocument/2006/relationships/hyperlink" Target="https://myiipea.com/media/etudiant/photo/WhatsApp_Image_2023-10-02_at_12.07.22.jpeg" TargetMode="External"/><Relationship Id="rId1098" Type="http://schemas.openxmlformats.org/officeDocument/2006/relationships/hyperlink" Target="https://myiipea.com/media/etudiant/photo/WhatsApp_Image_2023-10-03_at_12.36.05.jpeg" TargetMode="External"/><Relationship Id="rId1099" Type="http://schemas.openxmlformats.org/officeDocument/2006/relationships/hyperlink" Target="https://myiipea.com/media/etudiant/photo/WhatsApp_Image_2023-09-28_at_13.41.16.jpeg" TargetMode="External"/><Relationship Id="rId1080" Type="http://schemas.openxmlformats.org/officeDocument/2006/relationships/hyperlink" Target="https://myiipea.com/media/etudiant/photo/WhatsApp_Image_2023-11-24_at_15.38.27.jpeg" TargetMode="External"/><Relationship Id="rId1081" Type="http://schemas.openxmlformats.org/officeDocument/2006/relationships/hyperlink" Target="https://myiipea.com/media/etudiant/photo/WhatsApp_Image_2023-10-11_at_18.02.55.jpeg" TargetMode="External"/><Relationship Id="rId1082" Type="http://schemas.openxmlformats.org/officeDocument/2006/relationships/hyperlink" Target="https://myiipea.com/media/etudiant/photo/WhatsApp_Image_2023-10-04_at_10.34.56.jpeg" TargetMode="External"/><Relationship Id="rId1083" Type="http://schemas.openxmlformats.org/officeDocument/2006/relationships/hyperlink" Target="https://myiipea.com/media/etudiant/photo/WhatsApp_Image_2023-10-04_at_15.25.54.jpeg" TargetMode="External"/><Relationship Id="rId1084" Type="http://schemas.openxmlformats.org/officeDocument/2006/relationships/hyperlink" Target="https://myiipea.com/media/etudiant/photo/WhatsApp_Image_2023-09-28_at_11.41.51.jpeg" TargetMode="External"/><Relationship Id="rId1085" Type="http://schemas.openxmlformats.org/officeDocument/2006/relationships/hyperlink" Target="https://myiipea.com/media/etudiant/photo/WhatsApp_Image_2023-09-25_%C3%A0_14.45.36.jpg" TargetMode="External"/><Relationship Id="rId1086" Type="http://schemas.openxmlformats.org/officeDocument/2006/relationships/hyperlink" Target="https://myiipea.com/media/etudiant/photo/WhatsApp_Image_2023-10-02_at_15.09.59.jpeg" TargetMode="External"/><Relationship Id="rId1087" Type="http://schemas.openxmlformats.org/officeDocument/2006/relationships/hyperlink" Target="https://myiipea.com/media/etudiant/photo/WhatsApp_Image_2023-10-09_at_13.46.04.jpeg" TargetMode="External"/><Relationship Id="rId1088" Type="http://schemas.openxmlformats.org/officeDocument/2006/relationships/hyperlink" Target="https://myiipea.com/media/etudiant/photo/WhatsApp_Image_2023-10-12_at_5.02.45_PM.jpeg" TargetMode="External"/><Relationship Id="rId1089" Type="http://schemas.openxmlformats.org/officeDocument/2006/relationships/hyperlink" Target="https://myiipea.com/media/etudiant/photo/WhatsApp_Image_2023-10-26_at_11.28.57.jpeg" TargetMode="External"/><Relationship Id="rId1972" Type="http://schemas.openxmlformats.org/officeDocument/2006/relationships/hyperlink" Target="https://myiipea.com/media/etudiant/photo/IIPEA_aTb9Jw8.jpg" TargetMode="External"/><Relationship Id="rId1973" Type="http://schemas.openxmlformats.org/officeDocument/2006/relationships/hyperlink" Target="https://myiipea.com/media/etudiant/photo/WhatsApp_Image_2023-10-04_at_16.52.21.jpeg" TargetMode="External"/><Relationship Id="rId1974" Type="http://schemas.openxmlformats.org/officeDocument/2006/relationships/hyperlink" Target="https://myiipea.com/media/etudiant/photo/WhatsApp_Image_2023-10-12_at_13.52.13.jpeg" TargetMode="External"/><Relationship Id="rId1975" Type="http://schemas.openxmlformats.org/officeDocument/2006/relationships/hyperlink" Target="https://myiipea.com/media/etudiant/photo/WhatsApp_Image_2023-10-27_at_5.45.03_PM.jpeg" TargetMode="External"/><Relationship Id="rId1976" Type="http://schemas.openxmlformats.org/officeDocument/2006/relationships/hyperlink" Target="https://myiipea.com/media/etudiant/photo/WhatsApp_Image_2023-10-17_at_17.24.01.jpeg" TargetMode="External"/><Relationship Id="rId1977" Type="http://schemas.openxmlformats.org/officeDocument/2006/relationships/hyperlink" Target="https://myiipea.com/media/etudiant/photo/WhatsApp_Image_2023-09-29_at_12.58.06.jpeg" TargetMode="External"/><Relationship Id="rId1978" Type="http://schemas.openxmlformats.org/officeDocument/2006/relationships/hyperlink" Target="https://myiipea.com/media/etudiant/photo/WhatsApp_Image_2023-11-14_at_1.34.31_PM.jpeg" TargetMode="External"/><Relationship Id="rId1979" Type="http://schemas.openxmlformats.org/officeDocument/2006/relationships/hyperlink" Target="https://myiipea.com/media/etudiant/photo/unnamed-2.png" TargetMode="External"/><Relationship Id="rId1970" Type="http://schemas.openxmlformats.org/officeDocument/2006/relationships/hyperlink" Target="https://myiipea.com/media/etudiant/photo/WhatsApp_Image_2023-10-31_at_12.42.40_PM.jpeg" TargetMode="External"/><Relationship Id="rId1971" Type="http://schemas.openxmlformats.org/officeDocument/2006/relationships/hyperlink" Target="https://myiipea.com/media/etudiant/photo/WhatsApp_Image_2023-09-29_at_14.24.31.jpeg" TargetMode="External"/><Relationship Id="rId1961" Type="http://schemas.openxmlformats.org/officeDocument/2006/relationships/hyperlink" Target="https://myiipea.com/media/etudiant/photo/WhatsApp_Image_2023-10-11_at_15.23.01.jpeg" TargetMode="External"/><Relationship Id="rId1962" Type="http://schemas.openxmlformats.org/officeDocument/2006/relationships/hyperlink" Target="https://myiipea.com/media/etudiant/photo/WhatsApp_Image_2023-10-11_at_3.11.01_PM.jpeg" TargetMode="External"/><Relationship Id="rId1963" Type="http://schemas.openxmlformats.org/officeDocument/2006/relationships/hyperlink" Target="https://myiipea.com/media/etudiant/photo/WhatsApp_Image_2023-10-12_at_17.53.58.jpeg" TargetMode="External"/><Relationship Id="rId1964" Type="http://schemas.openxmlformats.org/officeDocument/2006/relationships/hyperlink" Target="https://myiipea.com/media/etudiant/photo/WhatsApp_Image_2023-10-07_at_13.44.33.jpeg" TargetMode="External"/><Relationship Id="rId1965" Type="http://schemas.openxmlformats.org/officeDocument/2006/relationships/hyperlink" Target="https://myiipea.com/media/etudiant/photo/WhatsApp_Image_2023-11-27_at_15.16.44.jpeg" TargetMode="External"/><Relationship Id="rId1966" Type="http://schemas.openxmlformats.org/officeDocument/2006/relationships/hyperlink" Target="https://myiipea.com/media/etudiant/photo/WhatsApp_Image_2023-10-03_at_13.53.15.jpeg" TargetMode="External"/><Relationship Id="rId1967" Type="http://schemas.openxmlformats.org/officeDocument/2006/relationships/hyperlink" Target="https://myiipea.com/media/etudiant/photo/WhatsApp_Image_2023-10-04_at_2.38.56_PM.jpeg" TargetMode="External"/><Relationship Id="rId1968" Type="http://schemas.openxmlformats.org/officeDocument/2006/relationships/hyperlink" Target="https://myiipea.com/media/etudiant/photo/t%C3%A9l%C3%A9charg%C3%A9_0m5zWZK.jpeg" TargetMode="External"/><Relationship Id="rId1969" Type="http://schemas.openxmlformats.org/officeDocument/2006/relationships/hyperlink" Target="https://myiipea.com/media/etudiant/photo/WhatsApp_Image_2023-11-20_at_10.31.17.jpeg" TargetMode="External"/><Relationship Id="rId1960" Type="http://schemas.openxmlformats.org/officeDocument/2006/relationships/hyperlink" Target="https://myiipea.com/media/etudiant/photo/WhatsApp_Image_2023-11-21_at_09.46.44.jpeg" TargetMode="External"/><Relationship Id="rId1994" Type="http://schemas.openxmlformats.org/officeDocument/2006/relationships/hyperlink" Target="https://myiipea.com/media/etudiant/photo/WhatsApp_Image_2023-10-26_at_13.04.54.jpeg" TargetMode="External"/><Relationship Id="rId1995" Type="http://schemas.openxmlformats.org/officeDocument/2006/relationships/hyperlink" Target="https://myiipea.com/media/etudiant/photo/WhatsApp_Image_2023-11-23_at_11.21.47.jpeg" TargetMode="External"/><Relationship Id="rId1996" Type="http://schemas.openxmlformats.org/officeDocument/2006/relationships/hyperlink" Target="https://myiipea.com/media/etudiant/photo/ee805a7a-bd0f-4cfc-a70e-cbab604ca96a_ujiA8h2.jpeg" TargetMode="External"/><Relationship Id="rId1997" Type="http://schemas.openxmlformats.org/officeDocument/2006/relationships/hyperlink" Target="https://myiipea.com/media/etudiant/photo/WhatsApp_Image_2023-10-05_at_15.52.40.jpeg" TargetMode="External"/><Relationship Id="rId1998" Type="http://schemas.openxmlformats.org/officeDocument/2006/relationships/hyperlink" Target="https://myiipea.com/media/etudiant/photo/WhatsApp_Image_2023-10-13_at_12.02.20_PM_1.jpeg" TargetMode="External"/><Relationship Id="rId1999" Type="http://schemas.openxmlformats.org/officeDocument/2006/relationships/hyperlink" Target="https://myiipea.com/media/etudiant/photo/WhatsApp_Image_2023-10-23_at_14.09.00.jpeg" TargetMode="External"/><Relationship Id="rId1990" Type="http://schemas.openxmlformats.org/officeDocument/2006/relationships/hyperlink" Target="https://myiipea.com/media/etudiant/photo/WhatsApp_Image_2023-11-22_at_5.02.15_PM.jpeg" TargetMode="External"/><Relationship Id="rId1991" Type="http://schemas.openxmlformats.org/officeDocument/2006/relationships/hyperlink" Target="https://myiipea.com/media/etudiant/photo/WhatsApp_Image_2023-10-31_at_5.35.28_PM.jpeg" TargetMode="External"/><Relationship Id="rId1992" Type="http://schemas.openxmlformats.org/officeDocument/2006/relationships/hyperlink" Target="https://myiipea.com/media/etudiant/photo/WhatsApp_Image_2023-10-11_at_15.39.04.jpeg" TargetMode="External"/><Relationship Id="rId1993" Type="http://schemas.openxmlformats.org/officeDocument/2006/relationships/hyperlink" Target="https://myiipea.com/media/etudiant/photo/WhatsApp_Image_2023-09-25_at_13.31.28.jpeg" TargetMode="External"/><Relationship Id="rId1983" Type="http://schemas.openxmlformats.org/officeDocument/2006/relationships/hyperlink" Target="https://myiipea.com/media/etudiant/photo/WhatsApp_Image_2023-10-13_at_15.55.54.jpeg" TargetMode="External"/><Relationship Id="rId1984" Type="http://schemas.openxmlformats.org/officeDocument/2006/relationships/hyperlink" Target="https://myiipea.com/media/etudiant/photo/WhatsApp_Image_2023-10-16_at_1.05.48_PM.jpeg" TargetMode="External"/><Relationship Id="rId1985" Type="http://schemas.openxmlformats.org/officeDocument/2006/relationships/hyperlink" Target="https://myiipea.com/media/etudiant/photo/WhatsApp_Image_2023-10-02_at_2.27.16_PM.jpeg" TargetMode="External"/><Relationship Id="rId1986" Type="http://schemas.openxmlformats.org/officeDocument/2006/relationships/hyperlink" Target="https://myiipea.com/media/etudiant/photo/WhatsApp_Image_2023-10-13_at_17.37.10.jpeg" TargetMode="External"/><Relationship Id="rId1987" Type="http://schemas.openxmlformats.org/officeDocument/2006/relationships/hyperlink" Target="https://myiipea.com/media/etudiant/photo/WhatsApp_Image_2023-10-02_at_11.22.44_1.jpeg" TargetMode="External"/><Relationship Id="rId1988" Type="http://schemas.openxmlformats.org/officeDocument/2006/relationships/hyperlink" Target="https://myiipea.com/media/etudiant/photo/NAWA.jpg" TargetMode="External"/><Relationship Id="rId1989" Type="http://schemas.openxmlformats.org/officeDocument/2006/relationships/hyperlink" Target="https://myiipea.com/media/etudiant/photo/WhatsApp_Image_2023-10-04_at_11.08.13_AM.jpeg" TargetMode="External"/><Relationship Id="rId1980" Type="http://schemas.openxmlformats.org/officeDocument/2006/relationships/hyperlink" Target="https://myiipea.com/media/etudiant/photo/WhatsApp_Image_2023-11-13_at_11.38.48_AM.jpeg" TargetMode="External"/><Relationship Id="rId1981" Type="http://schemas.openxmlformats.org/officeDocument/2006/relationships/hyperlink" Target="https://myiipea.com/media/etudiant/photo/WhatsApp_Image_2023-10-11_at_14.27.58.jpeg" TargetMode="External"/><Relationship Id="rId1982" Type="http://schemas.openxmlformats.org/officeDocument/2006/relationships/hyperlink" Target="https://myiipea.com/media/etudiant/photo/WhatsApp_Image_2023-10-26_at_09.17.40.jpeg" TargetMode="External"/><Relationship Id="rId1930" Type="http://schemas.openxmlformats.org/officeDocument/2006/relationships/hyperlink" Target="https://myiipea.com/media/etudiant/photo/WhatsApp_Image_2023-11-07_at_5.55.53_PM.jpeg" TargetMode="External"/><Relationship Id="rId1931" Type="http://schemas.openxmlformats.org/officeDocument/2006/relationships/hyperlink" Target="https://myiipea.com/media/etudiant/photo/WhatsApp_Image_2023-10-05_at_08.31.59.jpeg" TargetMode="External"/><Relationship Id="rId1932" Type="http://schemas.openxmlformats.org/officeDocument/2006/relationships/hyperlink" Target="https://myiipea.com/media/etudiant/photo/WhatsApp_Image_2023-10-03_at_16.46.58.jpeg" TargetMode="External"/><Relationship Id="rId1933" Type="http://schemas.openxmlformats.org/officeDocument/2006/relationships/hyperlink" Target="https://myiipea.com/media/etudiant/photo/WhatsApp_Image_2023-10-31_at_4.48.47_PM.jpeg" TargetMode="External"/><Relationship Id="rId1934" Type="http://schemas.openxmlformats.org/officeDocument/2006/relationships/hyperlink" Target="https://myiipea.com/media/etudiant/photo/WhatsApp_Image_2023-11-02_at_09.23.38.jpeg" TargetMode="External"/><Relationship Id="rId1935" Type="http://schemas.openxmlformats.org/officeDocument/2006/relationships/hyperlink" Target="https://myiipea.com/media/etudiant/photo/WhatsApp_Image_2023-11-20_at_12.15.57.jpeg" TargetMode="External"/><Relationship Id="rId1936" Type="http://schemas.openxmlformats.org/officeDocument/2006/relationships/hyperlink" Target="https://myiipea.com/media/etudiant/photo/WhatsApp_Image_2023-10-09_at_12.53.43.jpeg" TargetMode="External"/><Relationship Id="rId1937" Type="http://schemas.openxmlformats.org/officeDocument/2006/relationships/hyperlink" Target="https://myiipea.com/media/etudiant/photo/WhatsApp_Image_2023-11-22_at_11.36.38_AM.jpeg" TargetMode="External"/><Relationship Id="rId1938" Type="http://schemas.openxmlformats.org/officeDocument/2006/relationships/hyperlink" Target="https://myiipea.com/media/etudiant/photo/WhatsApp_Image_2023-11-28_at_10.48.06.jpeg" TargetMode="External"/><Relationship Id="rId1939" Type="http://schemas.openxmlformats.org/officeDocument/2006/relationships/hyperlink" Target="https://myiipea.com/media/etudiant/photo/WhatsApp_Image_2023-10-04_at_5.09.23_PM.jpeg" TargetMode="External"/><Relationship Id="rId1920" Type="http://schemas.openxmlformats.org/officeDocument/2006/relationships/hyperlink" Target="https://myiipea.com/media/etudiant/photo/WhatsApp_Image_2023-09-25_at_14.45.58.jpeg" TargetMode="External"/><Relationship Id="rId1921" Type="http://schemas.openxmlformats.org/officeDocument/2006/relationships/hyperlink" Target="https://myiipea.com/media/etudiant/photo/WhatsApp_Image_2023-10-19_at_12.19.07_PM.jpeg" TargetMode="External"/><Relationship Id="rId1922" Type="http://schemas.openxmlformats.org/officeDocument/2006/relationships/hyperlink" Target="https://myiipea.com/media/etudiant/photo/WhatsApp_Image_2023-10-04_at_13.28.11.jpeg" TargetMode="External"/><Relationship Id="rId1923" Type="http://schemas.openxmlformats.org/officeDocument/2006/relationships/hyperlink" Target="https://myiipea.com/media/etudiant/photo/LANSANI.jpg" TargetMode="External"/><Relationship Id="rId1924" Type="http://schemas.openxmlformats.org/officeDocument/2006/relationships/hyperlink" Target="https://myiipea.com/media/etudiant/photo/WhatsApp_Image_2023-10-06_at_10.02.54.jpeg" TargetMode="External"/><Relationship Id="rId1925" Type="http://schemas.openxmlformats.org/officeDocument/2006/relationships/hyperlink" Target="https://myiipea.com/media/etudiant/photo/WhatsApp_Image_2023-10-11_at_12.35.47.jpeg" TargetMode="External"/><Relationship Id="rId1926" Type="http://schemas.openxmlformats.org/officeDocument/2006/relationships/hyperlink" Target="https://myiipea.com/media/etudiant/photo/WhatsApp_Image_2023-10-16_at_14.38.28.jpeg" TargetMode="External"/><Relationship Id="rId1927" Type="http://schemas.openxmlformats.org/officeDocument/2006/relationships/hyperlink" Target="https://myiipea.com/media/etudiant/photo/WhatsApp_Image_2023-10-16_at_10.22.24_pTXIwxd.jpeg" TargetMode="External"/><Relationship Id="rId1928" Type="http://schemas.openxmlformats.org/officeDocument/2006/relationships/hyperlink" Target="https://myiipea.com/media/etudiant/photo/WhatsApp_Image_2023-10-03_at_14.35.02.jpeg" TargetMode="External"/><Relationship Id="rId1929" Type="http://schemas.openxmlformats.org/officeDocument/2006/relationships/hyperlink" Target="https://myiipea.com/media/etudiant/photo/WhatsApp_Image_2023-10-21_at_14.09.29.jpeg" TargetMode="External"/><Relationship Id="rId1950" Type="http://schemas.openxmlformats.org/officeDocument/2006/relationships/hyperlink" Target="https://myiipea.com/media/etudiant/photo/WhatsApp_Image_2023-11-09_at_15.02.43.jpeg" TargetMode="External"/><Relationship Id="rId1951" Type="http://schemas.openxmlformats.org/officeDocument/2006/relationships/hyperlink" Target="https://myiipea.com/media/etudiant/photo/WhatsApp_Image_2023-11-10_at_10.57.24.jpeg" TargetMode="External"/><Relationship Id="rId1952" Type="http://schemas.openxmlformats.org/officeDocument/2006/relationships/hyperlink" Target="https://myiipea.com/media/etudiant/photo/WhatsApp_Image_2023-11-06_at_14.07.02.jpeg" TargetMode="External"/><Relationship Id="rId1953" Type="http://schemas.openxmlformats.org/officeDocument/2006/relationships/hyperlink" Target="https://myiipea.com/media/etudiant/photo/WhatsApp_Image_2023-10-03_at_16.13.22.jpeg" TargetMode="External"/><Relationship Id="rId1954" Type="http://schemas.openxmlformats.org/officeDocument/2006/relationships/hyperlink" Target="https://myiipea.com/media/etudiant/photo/WhatsApp_Image_2023-10-09_at_15.05.23.jpeg" TargetMode="External"/><Relationship Id="rId1955" Type="http://schemas.openxmlformats.org/officeDocument/2006/relationships/hyperlink" Target="https://myiipea.com/media/etudiant/photo/WhatsApp_Image_2023-10-05_at_16.06.42.jpeg" TargetMode="External"/><Relationship Id="rId1956" Type="http://schemas.openxmlformats.org/officeDocument/2006/relationships/hyperlink" Target="https://myiipea.com/media/etudiant/photo/WhatsApp_Image_2023-10-16_at_14.58.34_1.jpeg" TargetMode="External"/><Relationship Id="rId1957" Type="http://schemas.openxmlformats.org/officeDocument/2006/relationships/hyperlink" Target="https://myiipea.com/media/etudiant/photo/WhatsApp_Image_2023-10-09_at_12.04.41_PM.jpeg" TargetMode="External"/><Relationship Id="rId1958" Type="http://schemas.openxmlformats.org/officeDocument/2006/relationships/hyperlink" Target="https://myiipea.com/media/etudiant/photo/WhatsApp_Image_2023-10-02_at_1.42.05_PM.jpeg" TargetMode="External"/><Relationship Id="rId1959" Type="http://schemas.openxmlformats.org/officeDocument/2006/relationships/hyperlink" Target="https://myiipea.com/media/etudiant/photo/WhatsApp_Image_2023-10-31_at_10.34.52.jpeg" TargetMode="External"/><Relationship Id="rId1940" Type="http://schemas.openxmlformats.org/officeDocument/2006/relationships/hyperlink" Target="https://myiipea.com/media/etudiant/photo/WhatsApp_Image_2023-10-05_at_17.14.50.jpeg" TargetMode="External"/><Relationship Id="rId1941" Type="http://schemas.openxmlformats.org/officeDocument/2006/relationships/hyperlink" Target="https://myiipea.com/media/etudiant/photo/WhatsApp_Image_2023-11-02_at_11.53.20_AM.jpeg" TargetMode="External"/><Relationship Id="rId1942" Type="http://schemas.openxmlformats.org/officeDocument/2006/relationships/hyperlink" Target="https://myiipea.com/media/etudiant/photo/WhatsApp_Image_2023-10-02_at_08.37.19.jpeg" TargetMode="External"/><Relationship Id="rId1943" Type="http://schemas.openxmlformats.org/officeDocument/2006/relationships/hyperlink" Target="https://myiipea.com/media/etudiant/photo/WhatsApp_Image_2023-10-03_at_12.13.13.jpeg" TargetMode="External"/><Relationship Id="rId1944" Type="http://schemas.openxmlformats.org/officeDocument/2006/relationships/hyperlink" Target="https://myiipea.com/media/etudiant/photo/WhatsApp_Image_2023-09-29_at_11.42.26.jpeg" TargetMode="External"/><Relationship Id="rId1945" Type="http://schemas.openxmlformats.org/officeDocument/2006/relationships/hyperlink" Target="https://myiipea.com/media/etudiant/photo/KONE.jpg" TargetMode="External"/><Relationship Id="rId1946" Type="http://schemas.openxmlformats.org/officeDocument/2006/relationships/hyperlink" Target="https://myiipea.com/media/etudiant/photo/WhatsApp_Image_2023-11-06_at_13.42.34.jpeg" TargetMode="External"/><Relationship Id="rId1947" Type="http://schemas.openxmlformats.org/officeDocument/2006/relationships/hyperlink" Target="https://myiipea.com/media/etudiant/photo/WhatsApp_Image_2023-09-20_%C3%A0_10_resized.png" TargetMode="External"/><Relationship Id="rId1948" Type="http://schemas.openxmlformats.org/officeDocument/2006/relationships/hyperlink" Target="https://myiipea.com/media/etudiant/photo/WhatsApp_Image_2023-10-03_at_3_resized.png" TargetMode="External"/><Relationship Id="rId1949" Type="http://schemas.openxmlformats.org/officeDocument/2006/relationships/hyperlink" Target="https://myiipea.com/media/etudiant/photo/WhatsApp_Image_2023-10-13_at_4.44.31_PM.jpeg" TargetMode="External"/><Relationship Id="rId2423" Type="http://schemas.openxmlformats.org/officeDocument/2006/relationships/hyperlink" Target="https://myiipea.com/media/etudiant/photo/WhatsApp_Image_2023-10-03_at_13.38.08.jpeg" TargetMode="External"/><Relationship Id="rId2424" Type="http://schemas.openxmlformats.org/officeDocument/2006/relationships/hyperlink" Target="https://myiipea.com/media/etudiant/photo/WhatsApp_Image_2023-10-23_at_3.29.09_PM.jpeg" TargetMode="External"/><Relationship Id="rId3754" Type="http://schemas.openxmlformats.org/officeDocument/2006/relationships/drawing" Target="../drawings/drawing1.xml"/><Relationship Id="rId2425" Type="http://schemas.openxmlformats.org/officeDocument/2006/relationships/hyperlink" Target="https://myiipea.com/media/etudiant/photo/WhatsApp_Image_2023-10-17_at_14.55.08.jpeg" TargetMode="External"/><Relationship Id="rId2426" Type="http://schemas.openxmlformats.org/officeDocument/2006/relationships/hyperlink" Target="https://myiipea.com/media/etudiant/photo/WhatsApp_Image_2023-10-03_at_08.47.04.jpeg" TargetMode="External"/><Relationship Id="rId2427" Type="http://schemas.openxmlformats.org/officeDocument/2006/relationships/hyperlink" Target="https://myiipea.com/media/etudiant/photo/WhatsApp_Image_2023-11-30_at_4.26.32_PM.jpeg" TargetMode="External"/><Relationship Id="rId2428" Type="http://schemas.openxmlformats.org/officeDocument/2006/relationships/hyperlink" Target="https://myiipea.com/media/etudiant/photo/WhatsApp_Image_2023-09-28_at_10.49.35.jpeg" TargetMode="External"/><Relationship Id="rId2429" Type="http://schemas.openxmlformats.org/officeDocument/2006/relationships/hyperlink" Target="https://myiipea.com/media/etudiant/photo/WhatsApp_Image_2023-10-14_at_13.13.47.jpeg" TargetMode="External"/><Relationship Id="rId509" Type="http://schemas.openxmlformats.org/officeDocument/2006/relationships/hyperlink" Target="https://myiipea.com/media/etudiant/photo/WhatsApp_Image_2023-10-26_at_10.39.01.jpeg" TargetMode="External"/><Relationship Id="rId508" Type="http://schemas.openxmlformats.org/officeDocument/2006/relationships/hyperlink" Target="https://myiipea.com/media/etudiant/photo/WhatsApp_Image_2023-10-14_at_11_resized.png" TargetMode="External"/><Relationship Id="rId503" Type="http://schemas.openxmlformats.org/officeDocument/2006/relationships/hyperlink" Target="https://myiipea.com/media/etudiant/photo/WhatsApp_Image_2023-09-18_at_10.19.40.jpeg" TargetMode="External"/><Relationship Id="rId502" Type="http://schemas.openxmlformats.org/officeDocument/2006/relationships/hyperlink" Target="https://myiipea.com/media/etudiant/photo/WhatsApp_Image_2023-10-05_at_3.16.34_PM.jpeg" TargetMode="External"/><Relationship Id="rId501" Type="http://schemas.openxmlformats.org/officeDocument/2006/relationships/hyperlink" Target="https://myiipea.com/media/etudiant/photo/WhatsApp_Image_2023-11-06_at_11.25.38.jpeg" TargetMode="External"/><Relationship Id="rId500" Type="http://schemas.openxmlformats.org/officeDocument/2006/relationships/hyperlink" Target="https://myiipea.com/media/etudiant/photo/WhatsApp_Image_2023-10-05_at_1_resized_2Hvr5hG.png" TargetMode="External"/><Relationship Id="rId507" Type="http://schemas.openxmlformats.org/officeDocument/2006/relationships/hyperlink" Target="https://myiipea.com/media/etudiant/photo/WhatsApp_Image_2023-11-09_at_12.32.46.jpeg" TargetMode="External"/><Relationship Id="rId506" Type="http://schemas.openxmlformats.org/officeDocument/2006/relationships/hyperlink" Target="https://myiipea.com/media/etudiant/photo/WhatsApp_Image_2023-11-07_at_12.05.06_1.jpeg" TargetMode="External"/><Relationship Id="rId505" Type="http://schemas.openxmlformats.org/officeDocument/2006/relationships/hyperlink" Target="https://myiipea.com/media/etudiant/photo/ee805a7a-bd0f-4cfc-a70e-cbab604ca96a_bOOoEtR.jpeg" TargetMode="External"/><Relationship Id="rId504" Type="http://schemas.openxmlformats.org/officeDocument/2006/relationships/hyperlink" Target="https://myiipea.com/media/etudiant/photo/WhatsApp_Image_2023-10-10_at_14.52.51.jpeg" TargetMode="External"/><Relationship Id="rId3751" Type="http://schemas.openxmlformats.org/officeDocument/2006/relationships/hyperlink" Target="https://myiipea.com/media/etudiant/photo/BONAVENTURE.jpg" TargetMode="External"/><Relationship Id="rId2420" Type="http://schemas.openxmlformats.org/officeDocument/2006/relationships/hyperlink" Target="https://myiipea.com/media/etudiant/photo/WhatsApp_Image_2023-10-04_at_08.59.29.jpeg" TargetMode="External"/><Relationship Id="rId3750" Type="http://schemas.openxmlformats.org/officeDocument/2006/relationships/hyperlink" Target="https://myiipea.com/media/etudiant/photo/WhatsApp_Image_2023-10-23_at_14.44.56.jpeg" TargetMode="External"/><Relationship Id="rId2421" Type="http://schemas.openxmlformats.org/officeDocument/2006/relationships/hyperlink" Target="https://myiipea.com/media/etudiant/photo/4CA5FA18-B71B-4633-A1F4-26C75A13CA30_resized.png" TargetMode="External"/><Relationship Id="rId3753" Type="http://schemas.openxmlformats.org/officeDocument/2006/relationships/hyperlink" Target="https://myiipea.com/media/etudiant/photo/WhatsApp_Image_2023-10-27_at_15.56.36.jpeg" TargetMode="External"/><Relationship Id="rId2422" Type="http://schemas.openxmlformats.org/officeDocument/2006/relationships/hyperlink" Target="https://myiipea.com/media/etudiant/photo/WhatsApp_Image_2023-10-12_at_10.59.30.jpeg" TargetMode="External"/><Relationship Id="rId3752" Type="http://schemas.openxmlformats.org/officeDocument/2006/relationships/hyperlink" Target="https://myiipea.com/media/etudiant/photo/WhatsApp_Image_2023-10-04_at_14.51.17.jpeg" TargetMode="External"/><Relationship Id="rId2412" Type="http://schemas.openxmlformats.org/officeDocument/2006/relationships/hyperlink" Target="https://myiipea.com/media/etudiant/photo/WhatsApp_Image_2023-10-11_at_09.26.15.jpeg" TargetMode="External"/><Relationship Id="rId3744" Type="http://schemas.openxmlformats.org/officeDocument/2006/relationships/hyperlink" Target="https://myiipea.com/media/etudiant/photo/WhatsApp_Image_2023-10-20_at_11.12.51.jpeg" TargetMode="External"/><Relationship Id="rId2413" Type="http://schemas.openxmlformats.org/officeDocument/2006/relationships/hyperlink" Target="https://myiipea.com/media/etudiant/photo/WhatsApp_Image_2023-10-26_at_10.39.44.jpeg" TargetMode="External"/><Relationship Id="rId3743" Type="http://schemas.openxmlformats.org/officeDocument/2006/relationships/hyperlink" Target="https://myiipea.com/media/etudiant/photo/WhatsApp_Image_2023-11-20_at_09.31.39.jpeg" TargetMode="External"/><Relationship Id="rId2414" Type="http://schemas.openxmlformats.org/officeDocument/2006/relationships/hyperlink" Target="https://myiipea.com/media/etudiant/photo/WhatsApp_Image_2023-10-26_at_11.54.05_AM.jpeg" TargetMode="External"/><Relationship Id="rId3746" Type="http://schemas.openxmlformats.org/officeDocument/2006/relationships/hyperlink" Target="https://myiipea.com/media/etudiant/photo/WhatsApp_Image_2023-10-05_at_14.12.44.jpeg" TargetMode="External"/><Relationship Id="rId2415" Type="http://schemas.openxmlformats.org/officeDocument/2006/relationships/hyperlink" Target="https://myiipea.com/media/etudiant/photo/WhatsApp_Image_2023-09-29_at_09.55.38.jpeg" TargetMode="External"/><Relationship Id="rId3745" Type="http://schemas.openxmlformats.org/officeDocument/2006/relationships/hyperlink" Target="https://myiipea.com/media/etudiant/photo/WhatsApp_Image_2023-11-07_at_11.44.30_AM.jpeg" TargetMode="External"/><Relationship Id="rId2416" Type="http://schemas.openxmlformats.org/officeDocument/2006/relationships/hyperlink" Target="https://myiipea.com/media/etudiant/photo/HENOC_.jpg" TargetMode="External"/><Relationship Id="rId3748" Type="http://schemas.openxmlformats.org/officeDocument/2006/relationships/hyperlink" Target="https://myiipea.com/media/etudiant/photo/WhatsApp_Image_2023-10-05_at_14.05.27.jpeg" TargetMode="External"/><Relationship Id="rId2417" Type="http://schemas.openxmlformats.org/officeDocument/2006/relationships/hyperlink" Target="https://myiipea.com/media/etudiant/photo/45D06522-2102-4EFB-B724-800DC921F263_resized.png" TargetMode="External"/><Relationship Id="rId3747" Type="http://schemas.openxmlformats.org/officeDocument/2006/relationships/hyperlink" Target="https://myiipea.com/media/etudiant/photo/WhatsApp_Image_2023-10-03_at_19.42.15.jpeg" TargetMode="External"/><Relationship Id="rId2418" Type="http://schemas.openxmlformats.org/officeDocument/2006/relationships/hyperlink" Target="https://myiipea.com/media/etudiant/photo/WhatsApp_Image_2023-10-10_at_5.43.09_PM.jpeg" TargetMode="External"/><Relationship Id="rId2419" Type="http://schemas.openxmlformats.org/officeDocument/2006/relationships/hyperlink" Target="https://myiipea.com/media/etudiant/photo/WhatsApp_Image_2023-10-10_at_15.58.27.jpeg" TargetMode="External"/><Relationship Id="rId3749" Type="http://schemas.openxmlformats.org/officeDocument/2006/relationships/hyperlink" Target="https://myiipea.com/media/etudiant/photo/WhatsApp_Image_2023-10-24_at_09.37.48.jpeg" TargetMode="External"/><Relationship Id="rId3740" Type="http://schemas.openxmlformats.org/officeDocument/2006/relationships/hyperlink" Target="https://myiipea.com/media/etudiant/photo/WhatsApp_Image_2023-12-04_at_10_resized_0OFEefe.png" TargetMode="External"/><Relationship Id="rId2410" Type="http://schemas.openxmlformats.org/officeDocument/2006/relationships/hyperlink" Target="https://myiipea.com/media/etudiant/photo/WhatsApp_Image_2023-10-05_at_10.03.52.jpeg" TargetMode="External"/><Relationship Id="rId3742" Type="http://schemas.openxmlformats.org/officeDocument/2006/relationships/hyperlink" Target="https://myiipea.com/media/etudiant/photo/WhatsApp_Image_2023-10-18_at_09.28.41.jpeg" TargetMode="External"/><Relationship Id="rId2411" Type="http://schemas.openxmlformats.org/officeDocument/2006/relationships/hyperlink" Target="https://myiipea.com/media/etudiant/photo/WhatsApp_Image_2023-10-10_at_12_resized_DpGwi0b.png" TargetMode="External"/><Relationship Id="rId3741" Type="http://schemas.openxmlformats.org/officeDocument/2006/relationships/hyperlink" Target="https://myiipea.com/media/etudiant/photo/ZOKOU.jpg" TargetMode="External"/><Relationship Id="rId1114" Type="http://schemas.openxmlformats.org/officeDocument/2006/relationships/hyperlink" Target="https://myiipea.com/media/etudiant/photo/WhatsApp_Image_2023-10-26_at_09.48.45.jpeg" TargetMode="External"/><Relationship Id="rId2445" Type="http://schemas.openxmlformats.org/officeDocument/2006/relationships/hyperlink" Target="https://myiipea.com/media/etudiant/photo/WhatsApp_Image_2023-10-16_at_3.53.17_PM.jpeg" TargetMode="External"/><Relationship Id="rId1115" Type="http://schemas.openxmlformats.org/officeDocument/2006/relationships/hyperlink" Target="https://myiipea.com/media/etudiant/photo/DOSSO.jpg" TargetMode="External"/><Relationship Id="rId2446" Type="http://schemas.openxmlformats.org/officeDocument/2006/relationships/hyperlink" Target="https://myiipea.com/media/etudiant/photo/WhatsApp_Image_2023-10-02_at_15.25.25.jpeg" TargetMode="External"/><Relationship Id="rId1116" Type="http://schemas.openxmlformats.org/officeDocument/2006/relationships/hyperlink" Target="https://myiipea.com/media/etudiant/photo/WhatsApp_Image_2023-10-13_at_18.46.57.jpeg" TargetMode="External"/><Relationship Id="rId2447" Type="http://schemas.openxmlformats.org/officeDocument/2006/relationships/hyperlink" Target="https://myiipea.com/media/etudiant/photo/WhatsApp_Image_2023-10-25_at_12.39.33.jpeg" TargetMode="External"/><Relationship Id="rId1117" Type="http://schemas.openxmlformats.org/officeDocument/2006/relationships/hyperlink" Target="https://myiipea.com/media/etudiant/photo/WhatsApp_Image_2023-11-20_at_15.29.43.jpeg" TargetMode="External"/><Relationship Id="rId2448" Type="http://schemas.openxmlformats.org/officeDocument/2006/relationships/hyperlink" Target="https://myiipea.com/media/etudiant/photo/WhatsApp_Image_2023-09-26_%C3%A0_14.05.17.jpg" TargetMode="External"/><Relationship Id="rId1118" Type="http://schemas.openxmlformats.org/officeDocument/2006/relationships/hyperlink" Target="https://myiipea.com/media/etudiant/photo/WhatsApp_Image_2023-11-23_at_12.49.04.jpeg" TargetMode="External"/><Relationship Id="rId2449" Type="http://schemas.openxmlformats.org/officeDocument/2006/relationships/hyperlink" Target="https://myiipea.com/media/etudiant/photo/WhatsApp_Image_2023-10-23_at_15.22.59_3.jpeg" TargetMode="External"/><Relationship Id="rId1119" Type="http://schemas.openxmlformats.org/officeDocument/2006/relationships/hyperlink" Target="https://myiipea.com/media/etudiant/photo/WhatsApp_Image_2023-10-16_at_5.37.09_PM.jpeg" TargetMode="External"/><Relationship Id="rId525" Type="http://schemas.openxmlformats.org/officeDocument/2006/relationships/hyperlink" Target="https://myiipea.com/media/etudiant/photo/WhatsApp_Image_2023-10-04_at_11.18.47.jpeg" TargetMode="External"/><Relationship Id="rId524" Type="http://schemas.openxmlformats.org/officeDocument/2006/relationships/hyperlink" Target="https://myiipea.com/media/etudiant/photo/WhatsApp_Image_2023-10-03_at_17.57.47.jpeg" TargetMode="External"/><Relationship Id="rId523" Type="http://schemas.openxmlformats.org/officeDocument/2006/relationships/hyperlink" Target="https://myiipea.com/media/etudiant/photo/IIPEA_p18QZP0_resized.png" TargetMode="External"/><Relationship Id="rId522" Type="http://schemas.openxmlformats.org/officeDocument/2006/relationships/hyperlink" Target="https://myiipea.com/media/etudiant/photo/WhatsApp_Image_2023-10-17_at_11.59.33.jpeg" TargetMode="External"/><Relationship Id="rId529" Type="http://schemas.openxmlformats.org/officeDocument/2006/relationships/hyperlink" Target="https://myiipea.com/media/etudiant/photo/WhatsApp_Image_2023-10-09_at_14.22.20.jpeg" TargetMode="External"/><Relationship Id="rId528" Type="http://schemas.openxmlformats.org/officeDocument/2006/relationships/hyperlink" Target="https://myiipea.com/media/etudiant/photo/WhatsApp_Image_2023-11-30_at_12.30.09_PM.jpeg" TargetMode="External"/><Relationship Id="rId527" Type="http://schemas.openxmlformats.org/officeDocument/2006/relationships/hyperlink" Target="https://myiipea.com/media/etudiant/photo/WhatsApp_Image_2023-10-04_at_11.54.13.jpeg" TargetMode="External"/><Relationship Id="rId526" Type="http://schemas.openxmlformats.org/officeDocument/2006/relationships/hyperlink" Target="https://myiipea.com/media/etudiant/photo/WhatsApp_Image_2023-10-14_at_09.03.37.jpeg" TargetMode="External"/><Relationship Id="rId2440" Type="http://schemas.openxmlformats.org/officeDocument/2006/relationships/hyperlink" Target="https://myiipea.com/media/etudiant/photo/WhatsApp_Image_2023-10-03_at_11.14.56_AM_Ff92OWS.jpeg" TargetMode="External"/><Relationship Id="rId521" Type="http://schemas.openxmlformats.org/officeDocument/2006/relationships/hyperlink" Target="https://myiipea.com/media/etudiant/photo/WhatsApp_Image_2023-10-16_at_10.40.31_AM.jpeg" TargetMode="External"/><Relationship Id="rId1110" Type="http://schemas.openxmlformats.org/officeDocument/2006/relationships/hyperlink" Target="https://myiipea.com/media/etudiant/photo/WhatsApp_Image_2023-11-03_at_12.40.10.jpeg" TargetMode="External"/><Relationship Id="rId2441" Type="http://schemas.openxmlformats.org/officeDocument/2006/relationships/hyperlink" Target="https://myiipea.com/media/etudiant/photo/LANGUI.jpg" TargetMode="External"/><Relationship Id="rId520" Type="http://schemas.openxmlformats.org/officeDocument/2006/relationships/hyperlink" Target="https://myiipea.com/media/etudiant/photo/WhatsApp_Image_2023-10-09_at_16.18.33.jpeg" TargetMode="External"/><Relationship Id="rId1111" Type="http://schemas.openxmlformats.org/officeDocument/2006/relationships/hyperlink" Target="https://myiipea.com/media/etudiant/photo/WhatsApp_Image_2023-10-13_at_08.39.57.jpeg" TargetMode="External"/><Relationship Id="rId2442" Type="http://schemas.openxmlformats.org/officeDocument/2006/relationships/hyperlink" Target="https://myiipea.com/media/etudiant/photo/WhatsApp_Image_2023-10-30_at_5.54.09_PM.jpeg" TargetMode="External"/><Relationship Id="rId1112" Type="http://schemas.openxmlformats.org/officeDocument/2006/relationships/hyperlink" Target="https://myiipea.com/media/etudiant/photo/WhatsApp_Image_2023-10-25_at_11.20.02.jpeg" TargetMode="External"/><Relationship Id="rId2443" Type="http://schemas.openxmlformats.org/officeDocument/2006/relationships/hyperlink" Target="https://myiipea.com/media/etudiant/photo/WhatsApp_Image_2023-10-03_at_16.59.32_WPmuhff.jpeg" TargetMode="External"/><Relationship Id="rId1113" Type="http://schemas.openxmlformats.org/officeDocument/2006/relationships/hyperlink" Target="https://myiipea.com/media/etudiant/photo/WhatsApp_Image_2023-10-03_at_6.47.11_PM.jpeg" TargetMode="External"/><Relationship Id="rId2444" Type="http://schemas.openxmlformats.org/officeDocument/2006/relationships/hyperlink" Target="https://myiipea.com/media/etudiant/photo/t%C3%A9l%C3%A9chargement_WvUBhlA.png" TargetMode="External"/><Relationship Id="rId1103" Type="http://schemas.openxmlformats.org/officeDocument/2006/relationships/hyperlink" Target="https://myiipea.com/media/etudiant/photo/WhatsApp_Image_2023-09-29_at_18.06.44.jpeg" TargetMode="External"/><Relationship Id="rId2434" Type="http://schemas.openxmlformats.org/officeDocument/2006/relationships/hyperlink" Target="https://myiipea.com/media/etudiant/photo/WhatsApp_Image_2023-10-30_at_17.23.37.jpeg" TargetMode="External"/><Relationship Id="rId1104" Type="http://schemas.openxmlformats.org/officeDocument/2006/relationships/hyperlink" Target="https://myiipea.com/media/etudiant/photo/WhatsApp_Image_2023-09-28_at_15.16.14.jpeg" TargetMode="External"/><Relationship Id="rId2435" Type="http://schemas.openxmlformats.org/officeDocument/2006/relationships/hyperlink" Target="https://myiipea.com/media/etudiant/photo/WhatsApp_Image_2023-10-02_at_1.05.14_PM.jpeg" TargetMode="External"/><Relationship Id="rId1105" Type="http://schemas.openxmlformats.org/officeDocument/2006/relationships/hyperlink" Target="https://myiipea.com/media/etudiant/photo/WhatsApp_Image_2023-10-11_at_13.02.35.jpeg" TargetMode="External"/><Relationship Id="rId2436" Type="http://schemas.openxmlformats.org/officeDocument/2006/relationships/hyperlink" Target="https://myiipea.com/media/etudiant/photo/WhatsApp_Image_2023-10-06_at_10.33.07.jpeg" TargetMode="External"/><Relationship Id="rId1106" Type="http://schemas.openxmlformats.org/officeDocument/2006/relationships/hyperlink" Target="https://myiipea.com/media/etudiant/photo/WhatsApp_Image_2023-11-09_at_15.05.26.jpeg" TargetMode="External"/><Relationship Id="rId2437" Type="http://schemas.openxmlformats.org/officeDocument/2006/relationships/hyperlink" Target="https://myiipea.com/media/etudiant/photo/WhatsApp_Image_2023-10-10_at_14.55.55.jpeg" TargetMode="External"/><Relationship Id="rId1107" Type="http://schemas.openxmlformats.org/officeDocument/2006/relationships/hyperlink" Target="https://myiipea.com/media/etudiant/photo/WhatsApp_Image_2023-10-31_at_16.22.03.jpeg" TargetMode="External"/><Relationship Id="rId2438" Type="http://schemas.openxmlformats.org/officeDocument/2006/relationships/hyperlink" Target="https://myiipea.com/media/etudiant/photo/photo_resized.png" TargetMode="External"/><Relationship Id="rId1108" Type="http://schemas.openxmlformats.org/officeDocument/2006/relationships/hyperlink" Target="https://myiipea.com/media/etudiant/photo/WhatsApp_Image_2023-10-04_at_10_resized.png" TargetMode="External"/><Relationship Id="rId2439" Type="http://schemas.openxmlformats.org/officeDocument/2006/relationships/hyperlink" Target="https://myiipea.com/media/etudiant/photo/WhatsApp_Image_2023-10-02_at_3.12.21_PM.jpeg" TargetMode="External"/><Relationship Id="rId1109" Type="http://schemas.openxmlformats.org/officeDocument/2006/relationships/hyperlink" Target="https://myiipea.com/media/etudiant/photo/WhatsApp_Image_2023-10-12_at_11.28.44.jpeg" TargetMode="External"/><Relationship Id="rId519" Type="http://schemas.openxmlformats.org/officeDocument/2006/relationships/hyperlink" Target="https://myiipea.com/media/etudiant/photo/AYOUBA.jpg" TargetMode="External"/><Relationship Id="rId514" Type="http://schemas.openxmlformats.org/officeDocument/2006/relationships/hyperlink" Target="https://myiipea.com/media/etudiant/photo/WhatsApp_Image_2023-11-10_at_10.01.52.jpeg" TargetMode="External"/><Relationship Id="rId513" Type="http://schemas.openxmlformats.org/officeDocument/2006/relationships/hyperlink" Target="https://myiipea.com/media/etudiant/photo/WhatsApp_Image_2023-10-10_at_13.00.37.jpeg" TargetMode="External"/><Relationship Id="rId512" Type="http://schemas.openxmlformats.org/officeDocument/2006/relationships/hyperlink" Target="https://myiipea.com/media/etudiant/photo/WhatsApp_Image_2023-09-29_at_14.33.46.jpeg" TargetMode="External"/><Relationship Id="rId511" Type="http://schemas.openxmlformats.org/officeDocument/2006/relationships/hyperlink" Target="https://myiipea.com/media/etudiant/photo/WhatsApp_Image_2023-10-05_at_4.30.02_PM.jpeg" TargetMode="External"/><Relationship Id="rId518" Type="http://schemas.openxmlformats.org/officeDocument/2006/relationships/hyperlink" Target="https://myiipea.com/media/etudiant/photo/WhatsApp_Image_2023-10-04_at_14.57.41.jpeg" TargetMode="External"/><Relationship Id="rId517" Type="http://schemas.openxmlformats.org/officeDocument/2006/relationships/hyperlink" Target="https://myiipea.com/media/etudiant/photo/WhatsApp_Image_2023-11-21_at_13.22.10.jpeg" TargetMode="External"/><Relationship Id="rId516" Type="http://schemas.openxmlformats.org/officeDocument/2006/relationships/hyperlink" Target="https://myiipea.com/media/etudiant/photo/WhatsApp_Image_2023-10-05_at_15.48.18.jpeg" TargetMode="External"/><Relationship Id="rId515" Type="http://schemas.openxmlformats.org/officeDocument/2006/relationships/hyperlink" Target="https://myiipea.com/media/etudiant/photo/WhatsApp_Image_2023-09-29_at_17.12.36.jpeg" TargetMode="External"/><Relationship Id="rId510" Type="http://schemas.openxmlformats.org/officeDocument/2006/relationships/hyperlink" Target="https://myiipea.com/media/etudiant/photo/WhatsApp_Image_2023-10-11_at_11.41.38.jpeg" TargetMode="External"/><Relationship Id="rId2430" Type="http://schemas.openxmlformats.org/officeDocument/2006/relationships/hyperlink" Target="https://myiipea.com/media/etudiant/photo/WhatsApp_Image_2023-10-16_at_16.15.21.jpeg" TargetMode="External"/><Relationship Id="rId1100" Type="http://schemas.openxmlformats.org/officeDocument/2006/relationships/hyperlink" Target="https://myiipea.com/media/etudiant/photo/WhatsApp_Image_2023-11-03_at_16.56.59.jpeg" TargetMode="External"/><Relationship Id="rId2431" Type="http://schemas.openxmlformats.org/officeDocument/2006/relationships/hyperlink" Target="https://myiipea.com/media/etudiant/photo/WhatsApp_Image_2023-09-19_at_11.43.07.jpeg" TargetMode="External"/><Relationship Id="rId1101" Type="http://schemas.openxmlformats.org/officeDocument/2006/relationships/hyperlink" Target="https://myiipea.com/media/etudiant/photo/ee805a7a-bd0f-4cfc-a70e-cbab604ca96a_Wsmjvmx.jpeg" TargetMode="External"/><Relationship Id="rId2432" Type="http://schemas.openxmlformats.org/officeDocument/2006/relationships/hyperlink" Target="https://myiipea.com/media/etudiant/photo/WhatsApp_Image_2023-11-14_at_3.50.40_PM.jpeg" TargetMode="External"/><Relationship Id="rId1102" Type="http://schemas.openxmlformats.org/officeDocument/2006/relationships/hyperlink" Target="https://myiipea.com/media/etudiant/photo/IIPEA_aP0BHYw.jpg" TargetMode="External"/><Relationship Id="rId2433" Type="http://schemas.openxmlformats.org/officeDocument/2006/relationships/hyperlink" Target="https://myiipea.com/media/etudiant/photo/WhatsApp_Image_2023-11-27_at_10.38.08.jpeg" TargetMode="External"/><Relationship Id="rId3711" Type="http://schemas.openxmlformats.org/officeDocument/2006/relationships/hyperlink" Target="https://myiipea.com/media/etudiant/photo/WhatsApp_Image_2023-10-13_at_14.57.05.jpeg" TargetMode="External"/><Relationship Id="rId3710" Type="http://schemas.openxmlformats.org/officeDocument/2006/relationships/hyperlink" Target="https://myiipea.com/media/etudiant/photo/WhatsApp_Image_2023-10-03_at_11.14.56_AM.jpeg" TargetMode="External"/><Relationship Id="rId3713" Type="http://schemas.openxmlformats.org/officeDocument/2006/relationships/hyperlink" Target="https://myiipea.com/media/etudiant/photo/WhatsApp_Image_2023-09-29_at_10_resized_Tuvzc7u.png" TargetMode="External"/><Relationship Id="rId3712" Type="http://schemas.openxmlformats.org/officeDocument/2006/relationships/hyperlink" Target="https://myiipea.com/media/etudiant/photo/WhatsApp_Image_2023-10-04_at_14.52.40.jpeg" TargetMode="External"/><Relationship Id="rId3715" Type="http://schemas.openxmlformats.org/officeDocument/2006/relationships/hyperlink" Target="https://myiipea.com/media/etudiant/photo/WhatsApp_Image_2023-11-10_at_10.56.46_UMmNoYJ.jpeg" TargetMode="External"/><Relationship Id="rId3714" Type="http://schemas.openxmlformats.org/officeDocument/2006/relationships/hyperlink" Target="https://myiipea.com/media/etudiant/photo/WhatsApp_Image_2023-10-25_at_15_resized.png" TargetMode="External"/><Relationship Id="rId3717" Type="http://schemas.openxmlformats.org/officeDocument/2006/relationships/hyperlink" Target="https://myiipea.com/media/etudiant/photo/WhatsApp_Image_2023-10-09_at_16.43.00.jpeg" TargetMode="External"/><Relationship Id="rId3716" Type="http://schemas.openxmlformats.org/officeDocument/2006/relationships/hyperlink" Target="https://myiipea.com/media/etudiant/photo/WhatsApp_Image_2023-10-13_at_19.24.12.jpeg" TargetMode="External"/><Relationship Id="rId3719" Type="http://schemas.openxmlformats.org/officeDocument/2006/relationships/hyperlink" Target="https://myiipea.com/media/etudiant/photo/WhatsApp_Image_2023-10-16_at_14_resized.png" TargetMode="External"/><Relationship Id="rId3718" Type="http://schemas.openxmlformats.org/officeDocument/2006/relationships/hyperlink" Target="https://myiipea.com/media/etudiant/photo/t%C3%A9l%C3%A9chargement_zs8Tkjz_resized.png" TargetMode="External"/><Relationship Id="rId3700" Type="http://schemas.openxmlformats.org/officeDocument/2006/relationships/hyperlink" Target="https://myiipea.com/media/etudiant/photo/WhatsApp_Image_2023-09-18_at_12.09.42.jpeg" TargetMode="External"/><Relationship Id="rId3702" Type="http://schemas.openxmlformats.org/officeDocument/2006/relationships/hyperlink" Target="https://myiipea.com/media/etudiant/photo/WhatsApp_Image_2023-10-05_at_10.14.30.jpeg" TargetMode="External"/><Relationship Id="rId3701" Type="http://schemas.openxmlformats.org/officeDocument/2006/relationships/hyperlink" Target="https://myiipea.com/media/etudiant/photo/IIPEA2_1gC7X8F.jpeg" TargetMode="External"/><Relationship Id="rId3704" Type="http://schemas.openxmlformats.org/officeDocument/2006/relationships/hyperlink" Target="https://myiipea.com/media/etudiant/photo/WhatsApp_Image_2023-11-06_at_15.34.20.jpeg" TargetMode="External"/><Relationship Id="rId3703" Type="http://schemas.openxmlformats.org/officeDocument/2006/relationships/hyperlink" Target="https://myiipea.com/media/etudiant/photo/WhatsApp_Image_2023-10-04_at_08.51.18.jpeg" TargetMode="External"/><Relationship Id="rId3706" Type="http://schemas.openxmlformats.org/officeDocument/2006/relationships/hyperlink" Target="https://myiipea.com/media/etudiant/photo/WhatsApp_Image_2023-09-20_at_15.20.20.jpeg" TargetMode="External"/><Relationship Id="rId3705" Type="http://schemas.openxmlformats.org/officeDocument/2006/relationships/hyperlink" Target="https://myiipea.com/media/etudiant/photo/WhatsApp_Image_2023-10-10_at_14.55.54.jpeg" TargetMode="External"/><Relationship Id="rId3708" Type="http://schemas.openxmlformats.org/officeDocument/2006/relationships/hyperlink" Target="https://myiipea.com/media/etudiant/photo/WhatsApp_Image_2023-10-25_at_09.27.02.jpeg" TargetMode="External"/><Relationship Id="rId3707" Type="http://schemas.openxmlformats.org/officeDocument/2006/relationships/hyperlink" Target="https://myiipea.com/media/etudiant/photo/WhatsApp_Image_2023-10-05_at_08.26.55.jpeg" TargetMode="External"/><Relationship Id="rId3709" Type="http://schemas.openxmlformats.org/officeDocument/2006/relationships/hyperlink" Target="https://myiipea.com/media/etudiant/photo/WhatsApp_Image_2023-10-06_at_12.15.52.jpeg" TargetMode="External"/><Relationship Id="rId2401" Type="http://schemas.openxmlformats.org/officeDocument/2006/relationships/hyperlink" Target="https://myiipea.com/media/etudiant/photo/WhatsApp_Image_2023-10-18_at_12.26.22.jpeg" TargetMode="External"/><Relationship Id="rId3733" Type="http://schemas.openxmlformats.org/officeDocument/2006/relationships/hyperlink" Target="https://myiipea.com/media/etudiant/photo/WhatsApp_Image_2023-10-23_at_09.56.32.jpeg" TargetMode="External"/><Relationship Id="rId2402" Type="http://schemas.openxmlformats.org/officeDocument/2006/relationships/hyperlink" Target="https://myiipea.com/media/etudiant/photo/WhatsApp_Image_2023-10-03_at_11.14.56_AM_CWqWHqv.jpeg" TargetMode="External"/><Relationship Id="rId3732" Type="http://schemas.openxmlformats.org/officeDocument/2006/relationships/hyperlink" Target="https://myiipea.com/media/etudiant/photo/WhatsApp_Image_2023-11-20_at_2.15.08_PM.jpeg" TargetMode="External"/><Relationship Id="rId2403" Type="http://schemas.openxmlformats.org/officeDocument/2006/relationships/hyperlink" Target="https://myiipea.com/media/etudiant/photo/239422487_405915444207421_8131329350063382999_n_WEUCZnD.jpg" TargetMode="External"/><Relationship Id="rId3735" Type="http://schemas.openxmlformats.org/officeDocument/2006/relationships/hyperlink" Target="https://myiipea.com/media/etudiant/photo/WhatsApp_Image_2023-10-05_at_09.25.56.jpeg" TargetMode="External"/><Relationship Id="rId2404" Type="http://schemas.openxmlformats.org/officeDocument/2006/relationships/hyperlink" Target="https://myiipea.com/media/etudiant/photo/WhatsApp_Image_2023-10-13_at_08.40.42.jpeg" TargetMode="External"/><Relationship Id="rId3734" Type="http://schemas.openxmlformats.org/officeDocument/2006/relationships/hyperlink" Target="https://myiipea.com/media/etudiant/photo/WhatsApp_Image_2023-10-03_at_3.16.22_PM.jpeg" TargetMode="External"/><Relationship Id="rId2405" Type="http://schemas.openxmlformats.org/officeDocument/2006/relationships/hyperlink" Target="https://myiipea.com/media/etudiant/photo/WhatsApp_Image_2023-11-06_at_5.32.29_PM.jpeg" TargetMode="External"/><Relationship Id="rId3737" Type="http://schemas.openxmlformats.org/officeDocument/2006/relationships/hyperlink" Target="https://myiipea.com/media/etudiant/photo/WhatsApp_Image_2023-10-25_at_5.03.28_PM.jpeg" TargetMode="External"/><Relationship Id="rId2406" Type="http://schemas.openxmlformats.org/officeDocument/2006/relationships/hyperlink" Target="https://myiipea.com/media/etudiant/photo/WhatsApp_Image_2023-10-31_at_14.29.41.jpeg" TargetMode="External"/><Relationship Id="rId3736" Type="http://schemas.openxmlformats.org/officeDocument/2006/relationships/hyperlink" Target="https://myiipea.com/media/etudiant/photo/WhatsApp_Image_2023-10-17_at_2.57.19_PM.jpeg" TargetMode="External"/><Relationship Id="rId2407" Type="http://schemas.openxmlformats.org/officeDocument/2006/relationships/hyperlink" Target="https://myiipea.com/media/etudiant/photo/WhatsApp_Image_2023-10-10_at_09.53.33.jpeg" TargetMode="External"/><Relationship Id="rId3739" Type="http://schemas.openxmlformats.org/officeDocument/2006/relationships/hyperlink" Target="https://myiipea.com/media/etudiant/photo/WhatsApp_Image_2023-10-12_at_18.37.55.jpeg" TargetMode="External"/><Relationship Id="rId2408" Type="http://schemas.openxmlformats.org/officeDocument/2006/relationships/hyperlink" Target="https://myiipea.com/media/etudiant/photo/WhatsApp_Image_2023-09-28_at_11_resized_resized.png" TargetMode="External"/><Relationship Id="rId3738" Type="http://schemas.openxmlformats.org/officeDocument/2006/relationships/hyperlink" Target="https://myiipea.com/media/etudiant/photo/WhatsApp_Image_2023-11-20_at_11.54.23.jpeg" TargetMode="External"/><Relationship Id="rId2409" Type="http://schemas.openxmlformats.org/officeDocument/2006/relationships/hyperlink" Target="https://myiipea.com/media/etudiant/photo/WhatsApp_Image_2023-11-13_at_11.54.26.jpeg" TargetMode="External"/><Relationship Id="rId3731" Type="http://schemas.openxmlformats.org/officeDocument/2006/relationships/hyperlink" Target="https://myiipea.com/media/etudiant/photo/WhatsApp_Image_2023-11-20_at_13_resized.png" TargetMode="External"/><Relationship Id="rId2400" Type="http://schemas.openxmlformats.org/officeDocument/2006/relationships/hyperlink" Target="https://myiipea.com/media/etudiant/photo/WhatsApp_Image_2023-10-13_at_4.43.32_PM.jpeg" TargetMode="External"/><Relationship Id="rId3730" Type="http://schemas.openxmlformats.org/officeDocument/2006/relationships/hyperlink" Target="https://myiipea.com/media/etudiant/photo/WhatsApp_Image_2023-10-02_at_15.18.27.jpeg" TargetMode="External"/><Relationship Id="rId3722" Type="http://schemas.openxmlformats.org/officeDocument/2006/relationships/hyperlink" Target="https://myiipea.com/media/etudiant/photo/WhatsApp_Image_2023-10-06_at_11.08.24.jpeg" TargetMode="External"/><Relationship Id="rId3721" Type="http://schemas.openxmlformats.org/officeDocument/2006/relationships/hyperlink" Target="https://myiipea.com/media/etudiant/photo/WhatsApp_Image_2023-11-02_at_16.04.47.jpeg" TargetMode="External"/><Relationship Id="rId3724" Type="http://schemas.openxmlformats.org/officeDocument/2006/relationships/hyperlink" Target="https://myiipea.com/media/etudiant/photo/WhatsApp_Image_2023-10-10_at_2.11.16_PM.jpeg" TargetMode="External"/><Relationship Id="rId3723" Type="http://schemas.openxmlformats.org/officeDocument/2006/relationships/hyperlink" Target="https://myiipea.com/media/etudiant/photo/WhatsApp_Image_2023-10-04_at_12.32.13.jpeg" TargetMode="External"/><Relationship Id="rId3726" Type="http://schemas.openxmlformats.org/officeDocument/2006/relationships/hyperlink" Target="https://myiipea.com/media/etudiant/photo/WhatsApp_Image_2023-10-12_at_3.55.04_PM.jpeg" TargetMode="External"/><Relationship Id="rId3725" Type="http://schemas.openxmlformats.org/officeDocument/2006/relationships/hyperlink" Target="https://myiipea.com/media/etudiant/photo/WhatsApp_Image_2023-10-17_at_09.33.24.jpeg" TargetMode="External"/><Relationship Id="rId3728" Type="http://schemas.openxmlformats.org/officeDocument/2006/relationships/hyperlink" Target="https://myiipea.com/media/etudiant/photo/WhatsApp_Image_2023-10-12_at_17.43.54.jpeg" TargetMode="External"/><Relationship Id="rId3727" Type="http://schemas.openxmlformats.org/officeDocument/2006/relationships/hyperlink" Target="https://myiipea.com/media/etudiant/photo/WhatsApp_Image_2023-11-07_at_10.16.42.jpeg" TargetMode="External"/><Relationship Id="rId3729" Type="http://schemas.openxmlformats.org/officeDocument/2006/relationships/hyperlink" Target="https://myiipea.com/media/etudiant/photo/WhatsApp_Image_2023-10-12_at_15.50.54.jpeg" TargetMode="External"/><Relationship Id="rId3720" Type="http://schemas.openxmlformats.org/officeDocument/2006/relationships/hyperlink" Target="https://myiipea.com/media/etudiant/photo/WhatsApp_Image_2023-10-10_at_13.10.41.jpeg" TargetMode="External"/><Relationship Id="rId590" Type="http://schemas.openxmlformats.org/officeDocument/2006/relationships/hyperlink" Target="https://myiipea.com/media/etudiant/photo/WhatsApp_Image_2023-11-03_at_1.57.44_PM_1.jpeg" TargetMode="External"/><Relationship Id="rId589" Type="http://schemas.openxmlformats.org/officeDocument/2006/relationships/hyperlink" Target="https://myiipea.com/media/etudiant/photo/WhatsApp_Image_2023-10-03_at_14_resized_MivdCty.png" TargetMode="External"/><Relationship Id="rId588" Type="http://schemas.openxmlformats.org/officeDocument/2006/relationships/hyperlink" Target="https://myiipea.com/media/etudiant/photo/WhatsApp_Image_2023-10-02_at_12.45.08.jpeg" TargetMode="External"/><Relationship Id="rId1170" Type="http://schemas.openxmlformats.org/officeDocument/2006/relationships/hyperlink" Target="https://myiipea.com/media/etudiant/photo/CHIMDIDU.jpg" TargetMode="External"/><Relationship Id="rId1171" Type="http://schemas.openxmlformats.org/officeDocument/2006/relationships/hyperlink" Target="https://myiipea.com/media/etudiant/photo/WhatsApp_Image_2023-10-23_at_09.39.31.jpeg" TargetMode="External"/><Relationship Id="rId583" Type="http://schemas.openxmlformats.org/officeDocument/2006/relationships/hyperlink" Target="https://myiipea.com/media/etudiant/photo/239422487_405915444207421_8131329350063382999_n_cb4hIKg.jpg" TargetMode="External"/><Relationship Id="rId1172" Type="http://schemas.openxmlformats.org/officeDocument/2006/relationships/hyperlink" Target="https://myiipea.com/media/etudiant/photo/WhatsApp_Image_2023-10-14_at_10.21.00.jpeg" TargetMode="External"/><Relationship Id="rId582" Type="http://schemas.openxmlformats.org/officeDocument/2006/relationships/hyperlink" Target="https://myiipea.com/media/etudiant/photo/WhatsApp_Image_2023-10-09_at_11.52.39.jpeg" TargetMode="External"/><Relationship Id="rId1173" Type="http://schemas.openxmlformats.org/officeDocument/2006/relationships/hyperlink" Target="https://myiipea.com/media/etudiant/photo/WhatsApp_Image_2023-10-11_at_11.55.58.jpeg" TargetMode="External"/><Relationship Id="rId581" Type="http://schemas.openxmlformats.org/officeDocument/2006/relationships/hyperlink" Target="https://myiipea.com/media/etudiant/photo/WhatsApp_Image_2023-10-03_at_3.15.58_PM.jpeg" TargetMode="External"/><Relationship Id="rId1174" Type="http://schemas.openxmlformats.org/officeDocument/2006/relationships/hyperlink" Target="https://myiipea.com/media/etudiant/photo/WhatsApp_Image_2023-11-14_at_11.33.49.jpeg" TargetMode="External"/><Relationship Id="rId580" Type="http://schemas.openxmlformats.org/officeDocument/2006/relationships/hyperlink" Target="https://myiipea.com/media/etudiant/photo/WhatsApp_Image_2023-10-11_at_09.42.30.jpeg" TargetMode="External"/><Relationship Id="rId1175" Type="http://schemas.openxmlformats.org/officeDocument/2006/relationships/hyperlink" Target="https://myiipea.com/media/etudiant/photo/WhatsApp_Image_2023-10-13_at_3.31.30_PM.jpeg" TargetMode="External"/><Relationship Id="rId587" Type="http://schemas.openxmlformats.org/officeDocument/2006/relationships/hyperlink" Target="https://myiipea.com/media/etudiant/photo/WhatsApp_Image_2023-11-02_at_1.14.43_PM.jpeg" TargetMode="External"/><Relationship Id="rId1176" Type="http://schemas.openxmlformats.org/officeDocument/2006/relationships/hyperlink" Target="https://myiipea.com/media/etudiant/photo/WhatsApp_Image_2023-10-30_at_14.05.01_KXrMoHp.jpeg" TargetMode="External"/><Relationship Id="rId586" Type="http://schemas.openxmlformats.org/officeDocument/2006/relationships/hyperlink" Target="https://myiipea.com/media/etudiant/photo/WhatsApp_Image_2023-11-02_at_11.35.02_AM.jpeg" TargetMode="External"/><Relationship Id="rId1177" Type="http://schemas.openxmlformats.org/officeDocument/2006/relationships/hyperlink" Target="https://myiipea.com/media/etudiant/photo/WhatsApp_Image_2023-10-20_at_13.14.54.jpeg" TargetMode="External"/><Relationship Id="rId585" Type="http://schemas.openxmlformats.org/officeDocument/2006/relationships/hyperlink" Target="https://myiipea.com/media/etudiant/photo/WhatsApp_Image_2023-10-31_at_16.49.12.jpeg" TargetMode="External"/><Relationship Id="rId1178" Type="http://schemas.openxmlformats.org/officeDocument/2006/relationships/hyperlink" Target="https://myiipea.com/media/etudiant/photo/WhatsApp_Image_2023-10-05_at_09.43.02.jpeg" TargetMode="External"/><Relationship Id="rId584" Type="http://schemas.openxmlformats.org/officeDocument/2006/relationships/hyperlink" Target="https://myiipea.com/media/etudiant/photo/WhatsApp_Image_2023-12-01_at_10.23.03_AM.jpeg" TargetMode="External"/><Relationship Id="rId1179" Type="http://schemas.openxmlformats.org/officeDocument/2006/relationships/hyperlink" Target="https://myiipea.com/media/etudiant/photo/WhatsApp_Image_2023-10-24_at_13.15.21.jpeg" TargetMode="External"/><Relationship Id="rId1169" Type="http://schemas.openxmlformats.org/officeDocument/2006/relationships/hyperlink" Target="https://myiipea.com/media/etudiant/photo/photo_lrRPX46.jpg" TargetMode="External"/><Relationship Id="rId579" Type="http://schemas.openxmlformats.org/officeDocument/2006/relationships/hyperlink" Target="https://myiipea.com/media/etudiant/photo/WhatsApp_Image_2023-09-18_at_15.47.03.jpeg" TargetMode="External"/><Relationship Id="rId578" Type="http://schemas.openxmlformats.org/officeDocument/2006/relationships/hyperlink" Target="https://myiipea.com/media/etudiant/photo/WhatsApp_Image_2023-11-06_at_15.12.41.jpeg" TargetMode="External"/><Relationship Id="rId577" Type="http://schemas.openxmlformats.org/officeDocument/2006/relationships/hyperlink" Target="https://myiipea.com/media/etudiant/photo/WhatsApp_Image_2023-10-03_at_14.03.42.jpeg" TargetMode="External"/><Relationship Id="rId2490" Type="http://schemas.openxmlformats.org/officeDocument/2006/relationships/hyperlink" Target="https://myiipea.com/media/etudiant/photo/IIPEA_PFBigOx.jpg" TargetMode="External"/><Relationship Id="rId1160" Type="http://schemas.openxmlformats.org/officeDocument/2006/relationships/hyperlink" Target="https://myiipea.com/media/etudiant/photo/WhatsApp_Image_2023-10-13_at_16.10.39.jpeg" TargetMode="External"/><Relationship Id="rId2491" Type="http://schemas.openxmlformats.org/officeDocument/2006/relationships/hyperlink" Target="https://myiipea.com/media/etudiant/photo/WhatsApp_Image_2023-11-07_at_08.27.36.jpeg" TargetMode="External"/><Relationship Id="rId572" Type="http://schemas.openxmlformats.org/officeDocument/2006/relationships/hyperlink" Target="https://myiipea.com/media/etudiant/photo/WhatsApp_Image_2023-11-17_at_12.16.38_PM.jpeg" TargetMode="External"/><Relationship Id="rId1161" Type="http://schemas.openxmlformats.org/officeDocument/2006/relationships/hyperlink" Target="https://myiipea.com/media/etudiant/photo/WhatsApp_Image_2023-10-28_at_13.26.33.jpeg" TargetMode="External"/><Relationship Id="rId2492" Type="http://schemas.openxmlformats.org/officeDocument/2006/relationships/hyperlink" Target="https://myiipea.com/media/etudiant/photo/WhatsApp_Image_2023-10-05_at_11.04.22.jpeg" TargetMode="External"/><Relationship Id="rId571" Type="http://schemas.openxmlformats.org/officeDocument/2006/relationships/hyperlink" Target="https://myiipea.com/media/etudiant/photo/WhatsApp_Image_2023-10-06_at_11_resized_juhVq9o.png" TargetMode="External"/><Relationship Id="rId1162" Type="http://schemas.openxmlformats.org/officeDocument/2006/relationships/hyperlink" Target="https://myiipea.com/media/etudiant/photo/WhatsApp_Image_2023-11-16_at_09_resized.png" TargetMode="External"/><Relationship Id="rId2493" Type="http://schemas.openxmlformats.org/officeDocument/2006/relationships/hyperlink" Target="https://myiipea.com/media/etudiant/photo/WhatsApp_Image_2023-10-04_at_08.48.37.jpeg" TargetMode="External"/><Relationship Id="rId570" Type="http://schemas.openxmlformats.org/officeDocument/2006/relationships/hyperlink" Target="https://myiipea.com/media/etudiant/photo/WhatsApp_Image_2023-09-25_%C3%A0_12.58.22.jpg" TargetMode="External"/><Relationship Id="rId1163" Type="http://schemas.openxmlformats.org/officeDocument/2006/relationships/hyperlink" Target="https://myiipea.com/media/etudiant/photo/WhatsApp_Image_2023-10-03_at_11.14.56_AM_E4BEmu3.jpeg" TargetMode="External"/><Relationship Id="rId2494" Type="http://schemas.openxmlformats.org/officeDocument/2006/relationships/hyperlink" Target="https://myiipea.com/media/etudiant/photo/WhatsApp_Image_2023-09-28_at_10.15.16.jpeg" TargetMode="External"/><Relationship Id="rId1164" Type="http://schemas.openxmlformats.org/officeDocument/2006/relationships/hyperlink" Target="https://myiipea.com/media/etudiant/photo/WhatsApp_Image_2023-11-02_at_09.24.16.jpeg" TargetMode="External"/><Relationship Id="rId2495" Type="http://schemas.openxmlformats.org/officeDocument/2006/relationships/hyperlink" Target="https://myiipea.com/media/etudiant/photo/WhatsApp_Image_2023-10-05_at_13.53.50.jpeg" TargetMode="External"/><Relationship Id="rId576" Type="http://schemas.openxmlformats.org/officeDocument/2006/relationships/hyperlink" Target="https://myiipea.com/media/etudiant/photo/WhatsApp_Image_2023-11-28_at_15.08.13.jpeg" TargetMode="External"/><Relationship Id="rId1165" Type="http://schemas.openxmlformats.org/officeDocument/2006/relationships/hyperlink" Target="https://myiipea.com/media/etudiant/photo/WhatsApp_Image_2023-10-24_at_3.30.09_PM.jpeg" TargetMode="External"/><Relationship Id="rId2496" Type="http://schemas.openxmlformats.org/officeDocument/2006/relationships/hyperlink" Target="https://myiipea.com/media/etudiant/photo/WhatsApp_Image_2023-10-03_at_14.17.38.jpeg" TargetMode="External"/><Relationship Id="rId575" Type="http://schemas.openxmlformats.org/officeDocument/2006/relationships/hyperlink" Target="https://myiipea.com/media/etudiant/photo/WhatsApp_Image_2023-10-16_at_12.15.54.jpeg" TargetMode="External"/><Relationship Id="rId1166" Type="http://schemas.openxmlformats.org/officeDocument/2006/relationships/hyperlink" Target="https://myiipea.com/media/etudiant/photo/WhatsApp_Image_2023-10-24_at_1.09.34_PM.jpeg" TargetMode="External"/><Relationship Id="rId2497" Type="http://schemas.openxmlformats.org/officeDocument/2006/relationships/hyperlink" Target="https://myiipea.com/media/etudiant/photo/WhatsApp_Image_2023-09-14_at_14_resized.png" TargetMode="External"/><Relationship Id="rId574" Type="http://schemas.openxmlformats.org/officeDocument/2006/relationships/hyperlink" Target="https://myiipea.com/media/etudiant/photo/WhatsApp_Image_2023-10-25_at_09.26.33.jpeg" TargetMode="External"/><Relationship Id="rId1167" Type="http://schemas.openxmlformats.org/officeDocument/2006/relationships/hyperlink" Target="https://myiipea.com/media/etudiant/photo/WhatsApp_Image_2023-10-18_at_11.49.07.jpeg" TargetMode="External"/><Relationship Id="rId2498" Type="http://schemas.openxmlformats.org/officeDocument/2006/relationships/hyperlink" Target="https://myiipea.com/media/etudiant/photo/WhatsApp_Image_2023-11-03_at_2.26.51_PM.jpeg" TargetMode="External"/><Relationship Id="rId573" Type="http://schemas.openxmlformats.org/officeDocument/2006/relationships/hyperlink" Target="https://myiipea.com/media/etudiant/photo/WhatsApp_Image_2023-11-10_at_09.49.36.jpeg" TargetMode="External"/><Relationship Id="rId1168" Type="http://schemas.openxmlformats.org/officeDocument/2006/relationships/hyperlink" Target="https://myiipea.com/media/etudiant/photo/WhatsApp_Image_2023-11-17_at_14.01.57.jpeg" TargetMode="External"/><Relationship Id="rId2499" Type="http://schemas.openxmlformats.org/officeDocument/2006/relationships/hyperlink" Target="https://myiipea.com/media/etudiant/photo/WhatsApp_Image_2023-10-12_at_15.10.35.jpeg" TargetMode="External"/><Relationship Id="rId1190" Type="http://schemas.openxmlformats.org/officeDocument/2006/relationships/hyperlink" Target="https://myiipea.com/media/etudiant/photo/WhatsApp_Image_2023-10-06_at_10.00.41.jpeg" TargetMode="External"/><Relationship Id="rId1191" Type="http://schemas.openxmlformats.org/officeDocument/2006/relationships/hyperlink" Target="https://myiipea.com/media/etudiant/photo/WhatsApp_Image_2023-09-25_at_15.20.13_7qvr9T6.jpeg" TargetMode="External"/><Relationship Id="rId1192" Type="http://schemas.openxmlformats.org/officeDocument/2006/relationships/hyperlink" Target="https://myiipea.com/media/etudiant/photo/WhatsApp_Image_2023-11-02_at_12.03.22.jpeg" TargetMode="External"/><Relationship Id="rId1193" Type="http://schemas.openxmlformats.org/officeDocument/2006/relationships/hyperlink" Target="https://myiipea.com/media/etudiant/photo/WhatsApp_Image_2023-09-25_at_14.43.22.jpeg" TargetMode="External"/><Relationship Id="rId1194" Type="http://schemas.openxmlformats.org/officeDocument/2006/relationships/hyperlink" Target="https://myiipea.com/media/etudiant/photo/WhatsApp_Image_2023-10-13_at_2.11.15_PM.jpeg" TargetMode="External"/><Relationship Id="rId1195" Type="http://schemas.openxmlformats.org/officeDocument/2006/relationships/hyperlink" Target="https://myiipea.com/media/etudiant/photo/WhatsApp_Image_2023-10-03_at_15.08.13.jpeg" TargetMode="External"/><Relationship Id="rId1196" Type="http://schemas.openxmlformats.org/officeDocument/2006/relationships/hyperlink" Target="https://myiipea.com/media/etudiant/photo/WhatsApp_Image_2023-11-06_at_12.40.14_1.jpeg" TargetMode="External"/><Relationship Id="rId1197" Type="http://schemas.openxmlformats.org/officeDocument/2006/relationships/hyperlink" Target="https://myiipea.com/media/etudiant/photo/WhatsApp_Image_2023-10-10_at_08.54.28.jpeg" TargetMode="External"/><Relationship Id="rId1198" Type="http://schemas.openxmlformats.org/officeDocument/2006/relationships/hyperlink" Target="https://myiipea.com/media/etudiant/photo/WhatsApp_Image_2023-10-03_at_17.31.16_1.jpeg" TargetMode="External"/><Relationship Id="rId1199" Type="http://schemas.openxmlformats.org/officeDocument/2006/relationships/hyperlink" Target="https://myiipea.com/media/etudiant/photo/WhatsApp_Image_2023-09-25_%C3%A0_15.20.44.jpg" TargetMode="External"/><Relationship Id="rId599" Type="http://schemas.openxmlformats.org/officeDocument/2006/relationships/hyperlink" Target="https://myiipea.com/media/etudiant/photo/WhatsApp_Image_2023-09-18_at_10.19.21.jpeg" TargetMode="External"/><Relationship Id="rId1180" Type="http://schemas.openxmlformats.org/officeDocument/2006/relationships/hyperlink" Target="https://myiipea.com/media/etudiant/photo/WhatsApp_Image_2023-10-09_at_16.06.52.jpeg" TargetMode="External"/><Relationship Id="rId1181" Type="http://schemas.openxmlformats.org/officeDocument/2006/relationships/hyperlink" Target="https://myiipea.com/media/etudiant/photo/WhatsApp_Image_2023-11-02_at_11.51.13.jpeg" TargetMode="External"/><Relationship Id="rId1182" Type="http://schemas.openxmlformats.org/officeDocument/2006/relationships/hyperlink" Target="https://myiipea.com/media/etudiant/photo/WhatsApp_Image_2023-11-20_at_12.53.49_PM_1.jpeg" TargetMode="External"/><Relationship Id="rId594" Type="http://schemas.openxmlformats.org/officeDocument/2006/relationships/hyperlink" Target="https://myiipea.com/media/etudiant/photo/WhatsApp_Image_2023-11-07_at_14.48.34.jpeg" TargetMode="External"/><Relationship Id="rId1183" Type="http://schemas.openxmlformats.org/officeDocument/2006/relationships/hyperlink" Target="https://myiipea.com/media/etudiant/photo/ee805a7a-bd0f-4cfc-a70e-cbab604ca96a_W73K3cY.jpeg" TargetMode="External"/><Relationship Id="rId593" Type="http://schemas.openxmlformats.org/officeDocument/2006/relationships/hyperlink" Target="https://myiipea.com/media/etudiant/photo/WhatsApp_Image_2023-10-23_at_10.29.31.jpeg" TargetMode="External"/><Relationship Id="rId1184" Type="http://schemas.openxmlformats.org/officeDocument/2006/relationships/hyperlink" Target="https://myiipea.com/media/etudiant/photo/WhatsApp_Image_2023-10-23_at_15.22.59_4_aeCcMT9.jpeg" TargetMode="External"/><Relationship Id="rId592" Type="http://schemas.openxmlformats.org/officeDocument/2006/relationships/hyperlink" Target="https://myiipea.com/media/etudiant/photo/WhatsApp_Image_2023-10-03_at_09.45.12_1.jpeg" TargetMode="External"/><Relationship Id="rId1185" Type="http://schemas.openxmlformats.org/officeDocument/2006/relationships/hyperlink" Target="https://myiipea.com/media/etudiant/photo/WhatsApp_Image_2023-09-20_at_14.53.51.jpeg" TargetMode="External"/><Relationship Id="rId591" Type="http://schemas.openxmlformats.org/officeDocument/2006/relationships/hyperlink" Target="https://myiipea.com/media/etudiant/photo/WhatsApp_Image_2023-10-12_at_11.28.02.jpeg" TargetMode="External"/><Relationship Id="rId1186" Type="http://schemas.openxmlformats.org/officeDocument/2006/relationships/hyperlink" Target="https://myiipea.com/media/etudiant/photo/WhatsApp_Image_2023-11-13_at_14.38.09.jpeg" TargetMode="External"/><Relationship Id="rId598" Type="http://schemas.openxmlformats.org/officeDocument/2006/relationships/hyperlink" Target="https://myiipea.com/media/etudiant/photo/WhatsApp_Image_2023-10-03_at_17.14.46.jpeg" TargetMode="External"/><Relationship Id="rId1187" Type="http://schemas.openxmlformats.org/officeDocument/2006/relationships/hyperlink" Target="https://myiipea.com/media/etudiant/photo/WhatsApp_Image_2023-10-02_at_09.55.48.jpeg" TargetMode="External"/><Relationship Id="rId597" Type="http://schemas.openxmlformats.org/officeDocument/2006/relationships/hyperlink" Target="https://myiipea.com/media/etudiant/photo/WhatsApp_Image_2023-10-18_at_13.00.28.jpeg" TargetMode="External"/><Relationship Id="rId1188" Type="http://schemas.openxmlformats.org/officeDocument/2006/relationships/hyperlink" Target="https://myiipea.com/media/etudiant/photo/WhatsApp_Image_2023-10-03_at_14.03.31.jpeg" TargetMode="External"/><Relationship Id="rId596" Type="http://schemas.openxmlformats.org/officeDocument/2006/relationships/hyperlink" Target="https://myiipea.com/media/etudiant/photo/WhatsApp_Image_2023-10-03_at_17.33.30.jpeg" TargetMode="External"/><Relationship Id="rId1189" Type="http://schemas.openxmlformats.org/officeDocument/2006/relationships/hyperlink" Target="https://myiipea.com/media/etudiant/photo/1CED1F85-BF1C-4449-900D-EA887DA717F0_resized.png" TargetMode="External"/><Relationship Id="rId595" Type="http://schemas.openxmlformats.org/officeDocument/2006/relationships/hyperlink" Target="https://myiipea.com/media/etudiant/photo/WhatsApp_Image_2023-10-13_at_5.51.46_PM.jpeg" TargetMode="External"/><Relationship Id="rId1136" Type="http://schemas.openxmlformats.org/officeDocument/2006/relationships/hyperlink" Target="https://myiipea.com/media/etudiant/photo/WhatsApp_Image_2023-10-03_at_11.49.27.jpeg" TargetMode="External"/><Relationship Id="rId2467" Type="http://schemas.openxmlformats.org/officeDocument/2006/relationships/hyperlink" Target="https://myiipea.com/media/etudiant/photo/WhatsApp_Image_2023-10-10_at_08.43.52.jpeg" TargetMode="External"/><Relationship Id="rId1137" Type="http://schemas.openxmlformats.org/officeDocument/2006/relationships/hyperlink" Target="https://myiipea.com/media/etudiant/photo/WhatsApp_Image_2023-10-26_at_12.23.20.jpeg" TargetMode="External"/><Relationship Id="rId2468" Type="http://schemas.openxmlformats.org/officeDocument/2006/relationships/hyperlink" Target="https://myiipea.com/media/etudiant/photo/WhatsApp_Image_2023-11-21_at_12.16.09_PM.jpeg" TargetMode="External"/><Relationship Id="rId1138" Type="http://schemas.openxmlformats.org/officeDocument/2006/relationships/hyperlink" Target="https://myiipea.com/media/etudiant/photo/WhatsApp_Image_2023-11-06_at_12.01.08.jpeg" TargetMode="External"/><Relationship Id="rId2469" Type="http://schemas.openxmlformats.org/officeDocument/2006/relationships/hyperlink" Target="https://myiipea.com/media/etudiant/photo/WhatsApp_Image_2023-11-21_at_09_resized.png" TargetMode="External"/><Relationship Id="rId1139" Type="http://schemas.openxmlformats.org/officeDocument/2006/relationships/hyperlink" Target="https://myiipea.com/media/etudiant/photo/WhatsApp_Image_2023-11-09_at_10.49.39_AM.jpeg" TargetMode="External"/><Relationship Id="rId547" Type="http://schemas.openxmlformats.org/officeDocument/2006/relationships/hyperlink" Target="https://myiipea.com/media/etudiant/photo/WhatsApp_Image_2023-10-17_at_11_resized.png" TargetMode="External"/><Relationship Id="rId546" Type="http://schemas.openxmlformats.org/officeDocument/2006/relationships/hyperlink" Target="https://myiipea.com/media/etudiant/photo/WhatsApp_Image_2023-10-26_at_11.54.50.jpeg" TargetMode="External"/><Relationship Id="rId545" Type="http://schemas.openxmlformats.org/officeDocument/2006/relationships/hyperlink" Target="https://myiipea.com/media/etudiant/photo/WhatsApp_Image_2023-09-28_at_17.17.40.jpeg" TargetMode="External"/><Relationship Id="rId544" Type="http://schemas.openxmlformats.org/officeDocument/2006/relationships/hyperlink" Target="https://myiipea.com/media/etudiant/photo/t%C3%A9l%C3%A9charg%C3%A9_PnbS28V.jpeg" TargetMode="External"/><Relationship Id="rId549" Type="http://schemas.openxmlformats.org/officeDocument/2006/relationships/hyperlink" Target="https://myiipea.com/media/etudiant/photo/WhatsApp_Image_2023-11-13_at_12_resized.png" TargetMode="External"/><Relationship Id="rId548" Type="http://schemas.openxmlformats.org/officeDocument/2006/relationships/hyperlink" Target="https://myiipea.com/media/etudiant/photo/WhatsApp_Image_2023-10-02_at_1.25.23_PM.jpeg" TargetMode="External"/><Relationship Id="rId2460" Type="http://schemas.openxmlformats.org/officeDocument/2006/relationships/hyperlink" Target="https://myiipea.com/media/etudiant/photo/WhatsApp_Image_2023-10-20_at_17.15.52.jpeg" TargetMode="External"/><Relationship Id="rId1130" Type="http://schemas.openxmlformats.org/officeDocument/2006/relationships/hyperlink" Target="https://myiipea.com/media/etudiant/photo/WhatsApp_Image_2023-10-19_at_13.30.49.jpeg" TargetMode="External"/><Relationship Id="rId2461" Type="http://schemas.openxmlformats.org/officeDocument/2006/relationships/hyperlink" Target="https://myiipea.com/media/etudiant/photo/WhatsApp_Image_2023-10-06_at_17.20.15.jpeg" TargetMode="External"/><Relationship Id="rId1131" Type="http://schemas.openxmlformats.org/officeDocument/2006/relationships/hyperlink" Target="https://myiipea.com/media/etudiant/photo/WhatsApp_Image_2023-11-13_at_12.40.31_PM.jpeg" TargetMode="External"/><Relationship Id="rId2462" Type="http://schemas.openxmlformats.org/officeDocument/2006/relationships/hyperlink" Target="https://myiipea.com/media/etudiant/photo/WhatsApp_Image_2023-11-07_at_10.41.29.jpeg" TargetMode="External"/><Relationship Id="rId543" Type="http://schemas.openxmlformats.org/officeDocument/2006/relationships/hyperlink" Target="https://myiipea.com/media/etudiant/photo/WhatsApp_Image_2023-10-04_at_11.53.51.jpeg" TargetMode="External"/><Relationship Id="rId1132" Type="http://schemas.openxmlformats.org/officeDocument/2006/relationships/hyperlink" Target="https://myiipea.com/media/etudiant/photo/WhatsApp_Image_2023-10-09_at_15.36.54.jpeg" TargetMode="External"/><Relationship Id="rId2463" Type="http://schemas.openxmlformats.org/officeDocument/2006/relationships/hyperlink" Target="https://myiipea.com/media/etudiant/photo/WhatsApp_Image_2023-11-13_at_12.46.48.jpeg" TargetMode="External"/><Relationship Id="rId542" Type="http://schemas.openxmlformats.org/officeDocument/2006/relationships/hyperlink" Target="https://myiipea.com/media/etudiant/photo/WhatsApp_Image_2023-10-10_at_14.39.04.jpeg" TargetMode="External"/><Relationship Id="rId1133" Type="http://schemas.openxmlformats.org/officeDocument/2006/relationships/hyperlink" Target="https://myiipea.com/media/etudiant/photo/WhatsApp_Image_2023-10-20_at_19.09.32.jpeg" TargetMode="External"/><Relationship Id="rId2464" Type="http://schemas.openxmlformats.org/officeDocument/2006/relationships/hyperlink" Target="https://myiipea.com/media/etudiant/photo/WhatsApp_Image_2023-10-17_at_5.55.06_PM.jpeg" TargetMode="External"/><Relationship Id="rId541" Type="http://schemas.openxmlformats.org/officeDocument/2006/relationships/hyperlink" Target="https://myiipea.com/media/etudiant/photo/WhatsApp_Image_2023-10-11_at_19.10.46.jpeg" TargetMode="External"/><Relationship Id="rId1134" Type="http://schemas.openxmlformats.org/officeDocument/2006/relationships/hyperlink" Target="https://myiipea.com/media/etudiant/photo/WhatsApp_Image_2023-12-04_at_11_resized_resized.png" TargetMode="External"/><Relationship Id="rId2465" Type="http://schemas.openxmlformats.org/officeDocument/2006/relationships/hyperlink" Target="https://myiipea.com/media/etudiant/photo/WhatsApp_Image_2023-10-06_at_18.59.26.jpeg" TargetMode="External"/><Relationship Id="rId540" Type="http://schemas.openxmlformats.org/officeDocument/2006/relationships/hyperlink" Target="https://myiipea.com/media/etudiant/photo/WhatsApp_Image_2023-09-29_at_15.50.07.jpeg" TargetMode="External"/><Relationship Id="rId1135" Type="http://schemas.openxmlformats.org/officeDocument/2006/relationships/hyperlink" Target="https://myiipea.com/media/etudiant/photo/WhatsApp_Image_2023-11-17_at_15.42.44.jpeg" TargetMode="External"/><Relationship Id="rId2466" Type="http://schemas.openxmlformats.org/officeDocument/2006/relationships/hyperlink" Target="https://myiipea.com/media/etudiant/photo/WhatsApp_Image_2023-11-11_at_09_resized.png" TargetMode="External"/><Relationship Id="rId1125" Type="http://schemas.openxmlformats.org/officeDocument/2006/relationships/hyperlink" Target="https://myiipea.com/media/etudiant/photo/WhatsApp_Image_2023-10-10_at_11_resized_XBjGsRx.png" TargetMode="External"/><Relationship Id="rId2456" Type="http://schemas.openxmlformats.org/officeDocument/2006/relationships/hyperlink" Target="https://myiipea.com/media/etudiant/photo/WhatsApp_Image_2023-09-29_at_13.08.28.jpeg" TargetMode="External"/><Relationship Id="rId1126" Type="http://schemas.openxmlformats.org/officeDocument/2006/relationships/hyperlink" Target="https://myiipea.com/media/etudiant/photo/WhatsApp_Image_2023-10-06_at_09.28.16.jpeg" TargetMode="External"/><Relationship Id="rId2457" Type="http://schemas.openxmlformats.org/officeDocument/2006/relationships/hyperlink" Target="https://myiipea.com/media/etudiant/photo/e12df6ee-5e65-4673-a429-2a5cf2521136-removebg-preview.png" TargetMode="External"/><Relationship Id="rId1127" Type="http://schemas.openxmlformats.org/officeDocument/2006/relationships/hyperlink" Target="https://myiipea.com/media/etudiant/photo/WhatsApp_Image_2023-09-19_at_12.23.34.jpeg" TargetMode="External"/><Relationship Id="rId2458" Type="http://schemas.openxmlformats.org/officeDocument/2006/relationships/hyperlink" Target="https://myiipea.com/media/etudiant/photo/WhatsApp_Image_2023-10-03_at_11.17.41.jpeg" TargetMode="External"/><Relationship Id="rId1128" Type="http://schemas.openxmlformats.org/officeDocument/2006/relationships/hyperlink" Target="https://myiipea.com/media/etudiant/photo/WhatsApp_Image_2023-09-20_at_11.06.23.jpeg" TargetMode="External"/><Relationship Id="rId2459" Type="http://schemas.openxmlformats.org/officeDocument/2006/relationships/hyperlink" Target="https://myiipea.com/media/etudiant/photo/WhatsApp_Image_2023-10-11_at_18.01.42.jpeg" TargetMode="External"/><Relationship Id="rId1129" Type="http://schemas.openxmlformats.org/officeDocument/2006/relationships/hyperlink" Target="https://myiipea.com/media/etudiant/photo/WhatsApp_Image_2023-10-05_at_14.12.56.jpeg" TargetMode="External"/><Relationship Id="rId536" Type="http://schemas.openxmlformats.org/officeDocument/2006/relationships/hyperlink" Target="https://myiipea.com/media/etudiant/photo/WhatsApp_Image_2023-11-29_at_5.41.48_PM.jpeg" TargetMode="External"/><Relationship Id="rId535" Type="http://schemas.openxmlformats.org/officeDocument/2006/relationships/hyperlink" Target="https://myiipea.com/media/etudiant/photo/WhatsApp_Image_2023-10-27_at_11.51.05.jpeg" TargetMode="External"/><Relationship Id="rId534" Type="http://schemas.openxmlformats.org/officeDocument/2006/relationships/hyperlink" Target="https://myiipea.com/media/etudiant/photo/WhatsApp_Image_2023-10-16_at_16.34.13_zEUly1Y.jpeg" TargetMode="External"/><Relationship Id="rId533" Type="http://schemas.openxmlformats.org/officeDocument/2006/relationships/hyperlink" Target="https://myiipea.com/media/etudiant/photo/WhatsApp_Image_2023-10-13_at_18.38.14.jpeg" TargetMode="External"/><Relationship Id="rId539" Type="http://schemas.openxmlformats.org/officeDocument/2006/relationships/hyperlink" Target="https://myiipea.com/media/etudiant/photo/WhatsApp_Image_2023-10-26_at_3.14.20_PM.jpeg" TargetMode="External"/><Relationship Id="rId538" Type="http://schemas.openxmlformats.org/officeDocument/2006/relationships/hyperlink" Target="https://myiipea.com/media/etudiant/photo/WhatsApp_Image_2023-11-08_at_11.46.19.jpeg" TargetMode="External"/><Relationship Id="rId537" Type="http://schemas.openxmlformats.org/officeDocument/2006/relationships/hyperlink" Target="https://myiipea.com/media/etudiant/photo/WhatsApp_Image_2023-11-17_at_14.59.38.jpeg" TargetMode="External"/><Relationship Id="rId2450" Type="http://schemas.openxmlformats.org/officeDocument/2006/relationships/hyperlink" Target="https://myiipea.com/media/etudiant/photo/WhatsApp_Image_2023-10-31_at_1.20.08_PM.jpeg" TargetMode="External"/><Relationship Id="rId1120" Type="http://schemas.openxmlformats.org/officeDocument/2006/relationships/hyperlink" Target="https://myiipea.com/media/etudiant/photo/WhatsApp_Image_2023-10-06_at_16.45.34.jpeg" TargetMode="External"/><Relationship Id="rId2451" Type="http://schemas.openxmlformats.org/officeDocument/2006/relationships/hyperlink" Target="https://myiipea.com/media/etudiant/photo/LATTE.jpg" TargetMode="External"/><Relationship Id="rId532" Type="http://schemas.openxmlformats.org/officeDocument/2006/relationships/hyperlink" Target="https://myiipea.com/media/etudiant/photo/WhatsApp_Image_2023-09-28_at_18_resized.png" TargetMode="External"/><Relationship Id="rId1121" Type="http://schemas.openxmlformats.org/officeDocument/2006/relationships/hyperlink" Target="https://myiipea.com/media/etudiant/photo/WhatsApp_Image_2023-10-10_at_12.29.38_PM_JzWLJwf.jpeg" TargetMode="External"/><Relationship Id="rId2452" Type="http://schemas.openxmlformats.org/officeDocument/2006/relationships/hyperlink" Target="https://myiipea.com/media/etudiant/photo/WhatsApp_Image_2023-10-03_at_17.35.25.jpeg" TargetMode="External"/><Relationship Id="rId531" Type="http://schemas.openxmlformats.org/officeDocument/2006/relationships/hyperlink" Target="https://myiipea.com/media/etudiant/photo/WhatsApp_Image_2023-10-06_at_15.12.06.jpeg" TargetMode="External"/><Relationship Id="rId1122" Type="http://schemas.openxmlformats.org/officeDocument/2006/relationships/hyperlink" Target="https://myiipea.com/media/etudiant/photo/WhatsApp_Image_2023-09-29_at_16.01.35.jpeg" TargetMode="External"/><Relationship Id="rId2453" Type="http://schemas.openxmlformats.org/officeDocument/2006/relationships/hyperlink" Target="https://myiipea.com/media/etudiant/photo/WhatsApp_Image_2023-11-02_at_09.48.51.jpeg" TargetMode="External"/><Relationship Id="rId530" Type="http://schemas.openxmlformats.org/officeDocument/2006/relationships/hyperlink" Target="https://myiipea.com/media/etudiant/photo/WhatsApp_Image_2023-11-03_at_1.57.30_PM.jpeg" TargetMode="External"/><Relationship Id="rId1123" Type="http://schemas.openxmlformats.org/officeDocument/2006/relationships/hyperlink" Target="https://myiipea.com/media/etudiant/photo/WhatsApp_Image_2023-09-29_at_16.40.10.jpeg" TargetMode="External"/><Relationship Id="rId2454" Type="http://schemas.openxmlformats.org/officeDocument/2006/relationships/hyperlink" Target="https://myiipea.com/media/etudiant/photo/ee805a7a-bd0f-4cfc-a70e-cbab604ca96a_fbQXNPy.jpeg" TargetMode="External"/><Relationship Id="rId1124" Type="http://schemas.openxmlformats.org/officeDocument/2006/relationships/hyperlink" Target="https://myiipea.com/media/etudiant/photo/WhatsApp_Image_2023-10-26_at_16.54.56.jpeg" TargetMode="External"/><Relationship Id="rId2455" Type="http://schemas.openxmlformats.org/officeDocument/2006/relationships/hyperlink" Target="https://myiipea.com/media/etudiant/photo/WhatsApp_Image_2023-10-20_at_12.33.16_PM.jpeg" TargetMode="External"/><Relationship Id="rId1158" Type="http://schemas.openxmlformats.org/officeDocument/2006/relationships/hyperlink" Target="https://myiipea.com/media/etudiant/photo/WhatsApp_Image_2023-10-18_at_13.28.39.jpeg" TargetMode="External"/><Relationship Id="rId2489" Type="http://schemas.openxmlformats.org/officeDocument/2006/relationships/hyperlink" Target="https://myiipea.com/media/etudiant/photo/WhatsApp_Image_2023-10-03_at_14.51.03.jpeg" TargetMode="External"/><Relationship Id="rId1159" Type="http://schemas.openxmlformats.org/officeDocument/2006/relationships/hyperlink" Target="https://myiipea.com/media/etudiant/photo/WhatsApp_Image_2023-09-29_at_18.00.38.jpeg" TargetMode="External"/><Relationship Id="rId569" Type="http://schemas.openxmlformats.org/officeDocument/2006/relationships/hyperlink" Target="https://myiipea.com/media/etudiant/photo/WhatsApp_Image_2023-11-03_at_17.15.12.jpeg" TargetMode="External"/><Relationship Id="rId568" Type="http://schemas.openxmlformats.org/officeDocument/2006/relationships/hyperlink" Target="https://myiipea.com/media/etudiant/photo/WhatsApp_Image_2023-10-11_at_15.55.27.jpeg" TargetMode="External"/><Relationship Id="rId567" Type="http://schemas.openxmlformats.org/officeDocument/2006/relationships/hyperlink" Target="https://myiipea.com/media/etudiant/photo/ee805a7a-bd0f-4cfc-a70e-cbab604ca96a_Z2UcFEh.jpeg" TargetMode="External"/><Relationship Id="rId566" Type="http://schemas.openxmlformats.org/officeDocument/2006/relationships/hyperlink" Target="https://myiipea.com/media/etudiant/photo/WhatsApp_Image_2023-11-07_at_12.16.39.jpeg" TargetMode="External"/><Relationship Id="rId2480" Type="http://schemas.openxmlformats.org/officeDocument/2006/relationships/hyperlink" Target="https://myiipea.com/media/etudiant/photo/WhatsApp_Image_2023-10-05_at_15.22.11.jpeg" TargetMode="External"/><Relationship Id="rId561" Type="http://schemas.openxmlformats.org/officeDocument/2006/relationships/hyperlink" Target="https://myiipea.com/media/etudiant/photo/t%C3%A9l%C3%A9chargement_qzHw7Yn_resized.png" TargetMode="External"/><Relationship Id="rId1150" Type="http://schemas.openxmlformats.org/officeDocument/2006/relationships/hyperlink" Target="https://myiipea.com/media/etudiant/photo/WhatsApp_Image_2023-09-19_at_11.09.02.jpeg" TargetMode="External"/><Relationship Id="rId2481" Type="http://schemas.openxmlformats.org/officeDocument/2006/relationships/hyperlink" Target="https://myiipea.com/media/etudiant/photo/WhatsApp_Image_2023-11-22_at_12.18.20_PM.jpeg" TargetMode="External"/><Relationship Id="rId560" Type="http://schemas.openxmlformats.org/officeDocument/2006/relationships/hyperlink" Target="https://myiipea.com/media/etudiant/photo/WhatsApp_Image_2023-10-18_at_12.09.05.jpeg" TargetMode="External"/><Relationship Id="rId1151" Type="http://schemas.openxmlformats.org/officeDocument/2006/relationships/hyperlink" Target="https://myiipea.com/media/etudiant/photo/WhatsApp_Image_2023-10-05_at_18.52.32.jpeg" TargetMode="External"/><Relationship Id="rId2482" Type="http://schemas.openxmlformats.org/officeDocument/2006/relationships/hyperlink" Target="https://myiipea.com/media/etudiant/photo/YASMINE.jpg" TargetMode="External"/><Relationship Id="rId1152" Type="http://schemas.openxmlformats.org/officeDocument/2006/relationships/hyperlink" Target="https://myiipea.com/media/etudiant/photo/WhatsApp_Image_2023-10-13_at_16.08.28.jpeg" TargetMode="External"/><Relationship Id="rId2483" Type="http://schemas.openxmlformats.org/officeDocument/2006/relationships/hyperlink" Target="https://myiipea.com/media/etudiant/photo/WhatsApp_Image_2023-10-23_at_13.46.58.jpeg" TargetMode="External"/><Relationship Id="rId1153" Type="http://schemas.openxmlformats.org/officeDocument/2006/relationships/hyperlink" Target="https://myiipea.com/media/etudiant/photo/WhatsApp_Image_2023-10-04_at_16.22.13.jpeg" TargetMode="External"/><Relationship Id="rId2484" Type="http://schemas.openxmlformats.org/officeDocument/2006/relationships/hyperlink" Target="https://myiipea.com/media/etudiant/photo/WhatsApp_Image_2023-10-27_at_3.31.22_PM.jpeg" TargetMode="External"/><Relationship Id="rId565" Type="http://schemas.openxmlformats.org/officeDocument/2006/relationships/hyperlink" Target="https://myiipea.com/media/etudiant/photo/WhatsApp_Image_2023-11-06_at_15.53.55.jpeg" TargetMode="External"/><Relationship Id="rId1154" Type="http://schemas.openxmlformats.org/officeDocument/2006/relationships/hyperlink" Target="https://myiipea.com/media/etudiant/photo/WhatsApp_Image_2023-11-27_at_2.22.38_PM.jpeg" TargetMode="External"/><Relationship Id="rId2485" Type="http://schemas.openxmlformats.org/officeDocument/2006/relationships/hyperlink" Target="https://myiipea.com/media/etudiant/photo/WhatsApp_Image_2023-10-09_at_14.58.13.jpeg" TargetMode="External"/><Relationship Id="rId564" Type="http://schemas.openxmlformats.org/officeDocument/2006/relationships/hyperlink" Target="https://myiipea.com/media/etudiant/photo/t%C3%A9l%C3%A9chargement_cprcxNd.png" TargetMode="External"/><Relationship Id="rId1155" Type="http://schemas.openxmlformats.org/officeDocument/2006/relationships/hyperlink" Target="https://myiipea.com/media/etudiant/photo/WhatsApp_Image_2023-10-09_at_17.24.55.jpeg" TargetMode="External"/><Relationship Id="rId2486" Type="http://schemas.openxmlformats.org/officeDocument/2006/relationships/hyperlink" Target="https://myiipea.com/media/etudiant/photo/WhatsApp_Image_2023-10-03_at_15.21.44.jpeg" TargetMode="External"/><Relationship Id="rId563" Type="http://schemas.openxmlformats.org/officeDocument/2006/relationships/hyperlink" Target="https://myiipea.com/media/etudiant/photo/WhatsApp_Image_2023-10-10_at_15.55.06.jpeg" TargetMode="External"/><Relationship Id="rId1156" Type="http://schemas.openxmlformats.org/officeDocument/2006/relationships/hyperlink" Target="https://myiipea.com/media/etudiant/photo/WhatsApp_Image_2023-10-11_at_13.59.06.jpeg" TargetMode="External"/><Relationship Id="rId2487" Type="http://schemas.openxmlformats.org/officeDocument/2006/relationships/hyperlink" Target="https://myiipea.com/media/etudiant/photo/WhatsApp_Image_2023-09-26_at_14.03.13.jpeg" TargetMode="External"/><Relationship Id="rId562" Type="http://schemas.openxmlformats.org/officeDocument/2006/relationships/hyperlink" Target="https://myiipea.com/media/etudiant/photo/WhatsApp_Image_2023-09-29_at_15.31.22_4cpMuhg.jpeg" TargetMode="External"/><Relationship Id="rId1157" Type="http://schemas.openxmlformats.org/officeDocument/2006/relationships/hyperlink" Target="https://myiipea.com/media/etudiant/photo/WhatsApp_Image_2023-10-13_at_17.47.44.jpeg" TargetMode="External"/><Relationship Id="rId2488" Type="http://schemas.openxmlformats.org/officeDocument/2006/relationships/hyperlink" Target="https://myiipea.com/media/etudiant/photo/WhatsApp_Image_2023-11-08_at_12.21.28_PM.jpeg" TargetMode="External"/><Relationship Id="rId1147" Type="http://schemas.openxmlformats.org/officeDocument/2006/relationships/hyperlink" Target="https://myiipea.com/media/etudiant/photo/WhatsApp_Image_2023-11-17_at_11.01.10.jpeg" TargetMode="External"/><Relationship Id="rId2478" Type="http://schemas.openxmlformats.org/officeDocument/2006/relationships/hyperlink" Target="https://myiipea.com/media/etudiant/photo/WhatsApp_Image_2023-10-26_at_13.30.15.jpeg" TargetMode="External"/><Relationship Id="rId1148" Type="http://schemas.openxmlformats.org/officeDocument/2006/relationships/hyperlink" Target="https://myiipea.com/media/etudiant/photo/WhatsApp_Image_2023-10-25_at_10.00.16.jpeg" TargetMode="External"/><Relationship Id="rId2479" Type="http://schemas.openxmlformats.org/officeDocument/2006/relationships/hyperlink" Target="https://myiipea.com/media/etudiant/photo/WhatsApp_Image_2023-11-07_at_11.43.03.jpeg" TargetMode="External"/><Relationship Id="rId1149" Type="http://schemas.openxmlformats.org/officeDocument/2006/relationships/hyperlink" Target="https://myiipea.com/media/etudiant/photo/WhatsApp_Image_2023-10-13_at_11.46.37.jpeg" TargetMode="External"/><Relationship Id="rId558" Type="http://schemas.openxmlformats.org/officeDocument/2006/relationships/hyperlink" Target="https://myiipea.com/media/etudiant/photo/WhatsApp_Image_2023-10-12_at_09.27.28.jpeg" TargetMode="External"/><Relationship Id="rId557" Type="http://schemas.openxmlformats.org/officeDocument/2006/relationships/hyperlink" Target="https://myiipea.com/media/etudiant/photo/WhatsApp_Image_2023-11-17_at_11.39.56.jpeg" TargetMode="External"/><Relationship Id="rId556" Type="http://schemas.openxmlformats.org/officeDocument/2006/relationships/hyperlink" Target="https://myiipea.com/media/etudiant/photo/WhatsApp_Image_2023-09-29_at_12.06.20.jpeg" TargetMode="External"/><Relationship Id="rId555" Type="http://schemas.openxmlformats.org/officeDocument/2006/relationships/hyperlink" Target="https://myiipea.com/media/etudiant/photo/WhatsApp_Image_2023-10-18_at_13.06.49.jpeg" TargetMode="External"/><Relationship Id="rId559" Type="http://schemas.openxmlformats.org/officeDocument/2006/relationships/hyperlink" Target="https://myiipea.com/media/etudiant/photo/WhatsApp_Image_2023-09-25_at_11.41.03.jpeg" TargetMode="External"/><Relationship Id="rId550" Type="http://schemas.openxmlformats.org/officeDocument/2006/relationships/hyperlink" Target="https://myiipea.com/media/etudiant/photo/IIPEA_rfr43lj.jpg" TargetMode="External"/><Relationship Id="rId2470" Type="http://schemas.openxmlformats.org/officeDocument/2006/relationships/hyperlink" Target="https://myiipea.com/media/etudiant/photo/WhatsApp_Image_2023-10-10_at_2.13.04_PM.jpeg" TargetMode="External"/><Relationship Id="rId1140" Type="http://schemas.openxmlformats.org/officeDocument/2006/relationships/hyperlink" Target="https://myiipea.com/media/etudiant/photo/WhatsApp_Image_2023-10-02_at_10.41.28.jpeg" TargetMode="External"/><Relationship Id="rId2471" Type="http://schemas.openxmlformats.org/officeDocument/2006/relationships/hyperlink" Target="https://myiipea.com/media/etudiant/photo/WhatsApp_Image_2023-10-09_at_12.55.26.jpeg" TargetMode="External"/><Relationship Id="rId1141" Type="http://schemas.openxmlformats.org/officeDocument/2006/relationships/hyperlink" Target="https://myiipea.com/media/etudiant/photo/WhatsApp_Image_2023-10-03_at_15.07.30.jpeg" TargetMode="External"/><Relationship Id="rId2472" Type="http://schemas.openxmlformats.org/officeDocument/2006/relationships/hyperlink" Target="https://myiipea.com/media/etudiant/photo/WhatsApp_Image_2023-10-05_at_12.29.35.jpeg" TargetMode="External"/><Relationship Id="rId1142" Type="http://schemas.openxmlformats.org/officeDocument/2006/relationships/hyperlink" Target="https://myiipea.com/media/etudiant/photo/WhatsApp_Image_2023-10-06_at_12.29.07.jpeg" TargetMode="External"/><Relationship Id="rId2473" Type="http://schemas.openxmlformats.org/officeDocument/2006/relationships/hyperlink" Target="https://myiipea.com/media/etudiant/photo/WhatsApp_Image_2023-09-28_at_18.16.00.jpeg" TargetMode="External"/><Relationship Id="rId554" Type="http://schemas.openxmlformats.org/officeDocument/2006/relationships/hyperlink" Target="https://myiipea.com/media/etudiant/photo/WhatsApp_Image_2023-11-16_at_14.26.38.jpeg" TargetMode="External"/><Relationship Id="rId1143" Type="http://schemas.openxmlformats.org/officeDocument/2006/relationships/hyperlink" Target="https://myiipea.com/media/etudiant/photo/WhatsApp_Image_2023-10-16_at_11.48.41.jpeg" TargetMode="External"/><Relationship Id="rId2474" Type="http://schemas.openxmlformats.org/officeDocument/2006/relationships/hyperlink" Target="https://myiipea.com/media/etudiant/photo/WhatsApp_Image_2023-10-06_at_10.01.15.jpeg" TargetMode="External"/><Relationship Id="rId553" Type="http://schemas.openxmlformats.org/officeDocument/2006/relationships/hyperlink" Target="https://myiipea.com/media/etudiant/photo/WhatsApp_Image_2023-10-16_at_14.27.17.jpeg" TargetMode="External"/><Relationship Id="rId1144" Type="http://schemas.openxmlformats.org/officeDocument/2006/relationships/hyperlink" Target="https://myiipea.com/media/etudiant/photo/WhatsApp_Image_2023-10-25_at_2.12.53_PM.jpeg" TargetMode="External"/><Relationship Id="rId2475" Type="http://schemas.openxmlformats.org/officeDocument/2006/relationships/hyperlink" Target="https://myiipea.com/media/etudiant/photo/WhatsApp_Image_2023-10-03_at_15.25.50.jpeg" TargetMode="External"/><Relationship Id="rId552" Type="http://schemas.openxmlformats.org/officeDocument/2006/relationships/hyperlink" Target="https://myiipea.com/media/etudiant/photo/WhatsApp_Image_2023-10-13_at_11.38.19_AM.jpeg" TargetMode="External"/><Relationship Id="rId1145" Type="http://schemas.openxmlformats.org/officeDocument/2006/relationships/hyperlink" Target="https://myiipea.com/media/etudiant/photo/239422487_405915444207421_8131329350063382999_n_kzpQNmR.jpg" TargetMode="External"/><Relationship Id="rId2476" Type="http://schemas.openxmlformats.org/officeDocument/2006/relationships/hyperlink" Target="https://myiipea.com/media/etudiant/photo/WhatsApp_Image_2023-10-23_at_15.15.05_1.jpeg" TargetMode="External"/><Relationship Id="rId551" Type="http://schemas.openxmlformats.org/officeDocument/2006/relationships/hyperlink" Target="https://myiipea.com/media/etudiant/photo/WhatsApp_Image_2023-10-03_at_16.06.39_vBrVWJY.jpeg" TargetMode="External"/><Relationship Id="rId1146" Type="http://schemas.openxmlformats.org/officeDocument/2006/relationships/hyperlink" Target="https://myiipea.com/media/etudiant/photo/WhatsApp_Image_2023-11-14_at_09.18.02_2.jpeg" TargetMode="External"/><Relationship Id="rId2477" Type="http://schemas.openxmlformats.org/officeDocument/2006/relationships/hyperlink" Target="https://myiipea.com/media/etudiant/photo/WhatsApp_Image_2023-10-24_at_10.02.02.jpeg" TargetMode="External"/><Relationship Id="rId495" Type="http://schemas.openxmlformats.org/officeDocument/2006/relationships/hyperlink" Target="https://myiipea.com/media/etudiant/photo/IIPEA2_PLVzUYF.jpeg" TargetMode="External"/><Relationship Id="rId494" Type="http://schemas.openxmlformats.org/officeDocument/2006/relationships/hyperlink" Target="https://myiipea.com/media/etudiant/photo/WhatsApp_Image_2023-09-29_at_16.05.36.jpeg" TargetMode="External"/><Relationship Id="rId493" Type="http://schemas.openxmlformats.org/officeDocument/2006/relationships/hyperlink" Target="https://myiipea.com/media/etudiant/photo/WhatsApp_Image_2023-10-09_at_7.03.21_PM.jpeg" TargetMode="External"/><Relationship Id="rId492" Type="http://schemas.openxmlformats.org/officeDocument/2006/relationships/hyperlink" Target="https://myiipea.com/media/etudiant/photo/WhatsApp_Image_2023-10-11_at_2.54.28_PM.jpeg" TargetMode="External"/><Relationship Id="rId499" Type="http://schemas.openxmlformats.org/officeDocument/2006/relationships/hyperlink" Target="https://myiipea.com/media/etudiant/photo/WhatsApp_Image_2023-10-16_at_16.42.03.jpeg" TargetMode="External"/><Relationship Id="rId498" Type="http://schemas.openxmlformats.org/officeDocument/2006/relationships/hyperlink" Target="https://myiipea.com/media/etudiant/photo/IMG_4004_resized.png" TargetMode="External"/><Relationship Id="rId497" Type="http://schemas.openxmlformats.org/officeDocument/2006/relationships/hyperlink" Target="https://myiipea.com/media/etudiant/photo/WhatsApp_Image_2023-09-26_at_13.53.21.jpeg" TargetMode="External"/><Relationship Id="rId496" Type="http://schemas.openxmlformats.org/officeDocument/2006/relationships/hyperlink" Target="https://myiipea.com/media/etudiant/photo/WhatsApp_Image_2023-09-19_at_17.27.15.jpeg" TargetMode="External"/><Relationship Id="rId1213" Type="http://schemas.openxmlformats.org/officeDocument/2006/relationships/hyperlink" Target="https://myiipea.com/media/etudiant/photo/WhatsApp_Image_2023-10-06_at_15.56.15.jpeg" TargetMode="External"/><Relationship Id="rId2544" Type="http://schemas.openxmlformats.org/officeDocument/2006/relationships/hyperlink" Target="https://myiipea.com/media/etudiant/photo/WhatsApp_Image_2023-09-21_at_10.04.28.jpeg" TargetMode="External"/><Relationship Id="rId1214" Type="http://schemas.openxmlformats.org/officeDocument/2006/relationships/hyperlink" Target="https://myiipea.com/media/etudiant/photo/WhatsApp_Image_2023-10-05_at_13.11.29.jpeg" TargetMode="External"/><Relationship Id="rId2545" Type="http://schemas.openxmlformats.org/officeDocument/2006/relationships/hyperlink" Target="https://myiipea.com/media/etudiant/photo/WhatsApp_Image_2023-10-04_at_12.10.39.jpeg" TargetMode="External"/><Relationship Id="rId1215" Type="http://schemas.openxmlformats.org/officeDocument/2006/relationships/hyperlink" Target="https://myiipea.com/media/etudiant/photo/t%C3%A9l%C3%A9chargement_PmptM8K.png" TargetMode="External"/><Relationship Id="rId2546" Type="http://schemas.openxmlformats.org/officeDocument/2006/relationships/hyperlink" Target="https://myiipea.com/media/etudiant/photo/WhatsApp_Image_2023-10-02_at_17.06.06.jpeg" TargetMode="External"/><Relationship Id="rId1216" Type="http://schemas.openxmlformats.org/officeDocument/2006/relationships/hyperlink" Target="https://myiipea.com/media/etudiant/photo/WhatsApp_Image_2023-09-29_at_10.01.03.jpeg" TargetMode="External"/><Relationship Id="rId2547" Type="http://schemas.openxmlformats.org/officeDocument/2006/relationships/hyperlink" Target="https://myiipea.com/media/etudiant/photo/WhatsApp_Image_2023-10-25_at_17.21.48.jpeg" TargetMode="External"/><Relationship Id="rId1217" Type="http://schemas.openxmlformats.org/officeDocument/2006/relationships/hyperlink" Target="https://myiipea.com/media/etudiant/photo/WhatsApp_Image_2023-10-20_at_15.46.15.jpeg" TargetMode="External"/><Relationship Id="rId2548" Type="http://schemas.openxmlformats.org/officeDocument/2006/relationships/hyperlink" Target="https://myiipea.com/media/etudiant/photo/IIPEA_SkmKdWh.jpg" TargetMode="External"/><Relationship Id="rId1218" Type="http://schemas.openxmlformats.org/officeDocument/2006/relationships/hyperlink" Target="https://myiipea.com/media/etudiant/photo/WhatsApp_Image_2023-10-09_at_10.02.31.jpeg" TargetMode="External"/><Relationship Id="rId2549" Type="http://schemas.openxmlformats.org/officeDocument/2006/relationships/hyperlink" Target="https://myiipea.com/media/etudiant/photo/WhatsApp_Image_2023-11-08_at_12.20.41_PM.jpeg" TargetMode="External"/><Relationship Id="rId1219" Type="http://schemas.openxmlformats.org/officeDocument/2006/relationships/hyperlink" Target="https://myiipea.com/media/etudiant/photo/WhatsApp_Image_2023-10-02_at_17.13.07.jpeg" TargetMode="External"/><Relationship Id="rId2540" Type="http://schemas.openxmlformats.org/officeDocument/2006/relationships/hyperlink" Target="https://myiipea.com/media/etudiant/photo/WhatsApp_Image_2023-10-17_at_2.33.22_PM.jpeg" TargetMode="External"/><Relationship Id="rId1210" Type="http://schemas.openxmlformats.org/officeDocument/2006/relationships/hyperlink" Target="https://myiipea.com/media/etudiant/photo/WhatsApp_Image_2023-09-29_at_11.20.30.jpeg" TargetMode="External"/><Relationship Id="rId2541" Type="http://schemas.openxmlformats.org/officeDocument/2006/relationships/hyperlink" Target="https://myiipea.com/media/etudiant/photo/WhatsApp_Image_2023-10-03_at_08.44.56.jpeg" TargetMode="External"/><Relationship Id="rId1211" Type="http://schemas.openxmlformats.org/officeDocument/2006/relationships/hyperlink" Target="https://myiipea.com/media/etudiant/photo/WhatsApp_Image_2023-09-26_at_12.01.27.jpeg" TargetMode="External"/><Relationship Id="rId2542" Type="http://schemas.openxmlformats.org/officeDocument/2006/relationships/hyperlink" Target="https://myiipea.com/media/etudiant/photo/WhatsApp_Image_2023-10-09_at_13.36.26.jpeg" TargetMode="External"/><Relationship Id="rId1212" Type="http://schemas.openxmlformats.org/officeDocument/2006/relationships/hyperlink" Target="https://myiipea.com/media/etudiant/photo/IMMACULEE.jpg" TargetMode="External"/><Relationship Id="rId2543" Type="http://schemas.openxmlformats.org/officeDocument/2006/relationships/hyperlink" Target="https://myiipea.com/media/etudiant/photo/WhatsApp_Image_2023-10-09_at_12.01.15.jpeg" TargetMode="External"/><Relationship Id="rId1202" Type="http://schemas.openxmlformats.org/officeDocument/2006/relationships/hyperlink" Target="https://myiipea.com/media/etudiant/photo/WhatsApp_Image_2023-10-10_at_13.54.12.jpeg" TargetMode="External"/><Relationship Id="rId2533" Type="http://schemas.openxmlformats.org/officeDocument/2006/relationships/hyperlink" Target="https://myiipea.com/media/etudiant/photo/WhatsApp_Image_2023-09-28_at_17.50.00.jpeg" TargetMode="External"/><Relationship Id="rId1203" Type="http://schemas.openxmlformats.org/officeDocument/2006/relationships/hyperlink" Target="https://myiipea.com/media/etudiant/photo/WhatsApp_Image_2023-10-26_at_12.21.39.jpeg" TargetMode="External"/><Relationship Id="rId2534" Type="http://schemas.openxmlformats.org/officeDocument/2006/relationships/hyperlink" Target="https://myiipea.com/media/etudiant/photo/WhatsApp_Image_2023-10-18_at_4.13.52_PM.jpeg" TargetMode="External"/><Relationship Id="rId1204" Type="http://schemas.openxmlformats.org/officeDocument/2006/relationships/hyperlink" Target="https://myiipea.com/media/etudiant/photo/WhatsApp_Image_2023-10-17_at_13.56.48.jpeg" TargetMode="External"/><Relationship Id="rId2535" Type="http://schemas.openxmlformats.org/officeDocument/2006/relationships/hyperlink" Target="https://myiipea.com/media/etudiant/photo/WhatsApp_Image_2023-10-06_at_5.51.43_PM.jpeg" TargetMode="External"/><Relationship Id="rId1205" Type="http://schemas.openxmlformats.org/officeDocument/2006/relationships/hyperlink" Target="https://myiipea.com/media/etudiant/photo/WhatsApp_Image_2023-10-06_at_10.53.55.jpeg" TargetMode="External"/><Relationship Id="rId2536" Type="http://schemas.openxmlformats.org/officeDocument/2006/relationships/hyperlink" Target="https://myiipea.com/media/etudiant/photo/WhatsApp_Image_2023-10-10_at_11.47.04_AM.jpeg" TargetMode="External"/><Relationship Id="rId1206" Type="http://schemas.openxmlformats.org/officeDocument/2006/relationships/hyperlink" Target="https://myiipea.com/media/etudiant/photo/WhatsApp_Image_2023-11-13_at_15.41.31.jpeg" TargetMode="External"/><Relationship Id="rId2537" Type="http://schemas.openxmlformats.org/officeDocument/2006/relationships/hyperlink" Target="https://myiipea.com/media/etudiant/photo/WhatsApp_Image_2023-11-16_at_12.08.30.jpeg" TargetMode="External"/><Relationship Id="rId1207" Type="http://schemas.openxmlformats.org/officeDocument/2006/relationships/hyperlink" Target="https://myiipea.com/media/etudiant/photo/56c65956-2254-4f70-b548-475435052dea-removebg-preview.png" TargetMode="External"/><Relationship Id="rId2538" Type="http://schemas.openxmlformats.org/officeDocument/2006/relationships/hyperlink" Target="https://myiipea.com/media/etudiant/photo/WhatsApp_Image_2023-11-13_at_3.57.52_PM.jpeg" TargetMode="External"/><Relationship Id="rId1208" Type="http://schemas.openxmlformats.org/officeDocument/2006/relationships/hyperlink" Target="https://myiipea.com/media/etudiant/photo/WhatsApp_Image_2023-10-03_at_17.43.26.jpeg" TargetMode="External"/><Relationship Id="rId2539" Type="http://schemas.openxmlformats.org/officeDocument/2006/relationships/hyperlink" Target="https://myiipea.com/media/etudiant/photo/WhatsApp_Image_2023-10-06_at_5.31.47_PM.jpeg" TargetMode="External"/><Relationship Id="rId1209" Type="http://schemas.openxmlformats.org/officeDocument/2006/relationships/hyperlink" Target="https://myiipea.com/media/etudiant/photo/WhatsApp_Image_2023-10-12_at_10.49.10.jpeg" TargetMode="External"/><Relationship Id="rId2530" Type="http://schemas.openxmlformats.org/officeDocument/2006/relationships/hyperlink" Target="https://myiipea.com/media/etudiant/photo/WhatsApp_Image_2023-10-23_at_3.28.48_PM.jpeg" TargetMode="External"/><Relationship Id="rId1200" Type="http://schemas.openxmlformats.org/officeDocument/2006/relationships/hyperlink" Target="https://myiipea.com/media/etudiant/photo/WhatsApp_Image_2023-10-03_at_08.11.06.jpeg" TargetMode="External"/><Relationship Id="rId2531" Type="http://schemas.openxmlformats.org/officeDocument/2006/relationships/hyperlink" Target="https://myiipea.com/media/etudiant/photo/WhatsApp_Image_2023-10-05_at_08.50.01.jpeg" TargetMode="External"/><Relationship Id="rId1201" Type="http://schemas.openxmlformats.org/officeDocument/2006/relationships/hyperlink" Target="https://myiipea.com/media/etudiant/photo/WhatsApp_Image_2023-09-26_at_11.58.56.jpeg" TargetMode="External"/><Relationship Id="rId2532" Type="http://schemas.openxmlformats.org/officeDocument/2006/relationships/hyperlink" Target="https://myiipea.com/media/etudiant/photo/WhatsApp_Image_2023-10-12_at_4.28.56_PM.jpeg" TargetMode="External"/><Relationship Id="rId1235" Type="http://schemas.openxmlformats.org/officeDocument/2006/relationships/hyperlink" Target="https://myiipea.com/media/etudiant/photo/WhatsApp_Image_2023-10-31_at_15.45.37.jpeg" TargetMode="External"/><Relationship Id="rId2566" Type="http://schemas.openxmlformats.org/officeDocument/2006/relationships/hyperlink" Target="https://myiipea.com/media/etudiant/photo/WhatsApp_Image_2023-10-16_at_12.23.30.jpeg" TargetMode="External"/><Relationship Id="rId1236" Type="http://schemas.openxmlformats.org/officeDocument/2006/relationships/hyperlink" Target="https://myiipea.com/media/etudiant/photo/WhatsApp_Image_2023-10-03_at_15.17.28.jpeg" TargetMode="External"/><Relationship Id="rId2567" Type="http://schemas.openxmlformats.org/officeDocument/2006/relationships/hyperlink" Target="https://myiipea.com/media/etudiant/photo/WhatsApp_Image_2023-10-05_at_1_resized.png" TargetMode="External"/><Relationship Id="rId1237" Type="http://schemas.openxmlformats.org/officeDocument/2006/relationships/hyperlink" Target="https://myiipea.com/media/etudiant/photo/WhatsApp_Image_2023-09-28_at_18.04.43.jpeg" TargetMode="External"/><Relationship Id="rId2568" Type="http://schemas.openxmlformats.org/officeDocument/2006/relationships/hyperlink" Target="https://myiipea.com/media/etudiant/photo/WhatsApp_Image_2023-10-23_at_16.30.52.jpeg" TargetMode="External"/><Relationship Id="rId1238" Type="http://schemas.openxmlformats.org/officeDocument/2006/relationships/hyperlink" Target="https://myiipea.com/media/etudiant/photo/WhatsApp_Image_2023-11-20_at_13.16.01.jpeg" TargetMode="External"/><Relationship Id="rId2569" Type="http://schemas.openxmlformats.org/officeDocument/2006/relationships/hyperlink" Target="https://myiipea.com/media/etudiant/photo/df908c51-496b-460f-aad2-4bde487b691b-removebg-preview.png" TargetMode="External"/><Relationship Id="rId1239" Type="http://schemas.openxmlformats.org/officeDocument/2006/relationships/hyperlink" Target="https://myiipea.com/media/etudiant/photo/t%C3%A9l%C3%A9charg%C3%A9_LDCDSyO.jpeg" TargetMode="External"/><Relationship Id="rId409" Type="http://schemas.openxmlformats.org/officeDocument/2006/relationships/hyperlink" Target="https://myiipea.com/media/etudiant/photo/WhatsApp_Image_2023-10-09_at_15.33.34.jpeg" TargetMode="External"/><Relationship Id="rId404" Type="http://schemas.openxmlformats.org/officeDocument/2006/relationships/hyperlink" Target="https://myiipea.com/media/etudiant/photo/WhatsApp_Image_2023-09-20_at_16.23.01.jpeg" TargetMode="External"/><Relationship Id="rId403" Type="http://schemas.openxmlformats.org/officeDocument/2006/relationships/hyperlink" Target="https://myiipea.com/media/etudiant/photo/WhatsApp_Image_2023-10-06_at_14.36.50.jpeg" TargetMode="External"/><Relationship Id="rId402" Type="http://schemas.openxmlformats.org/officeDocument/2006/relationships/hyperlink" Target="https://myiipea.com/media/etudiant/photo/WhatsApp_Image_2023-10-17_at_15.56.18.jpeg" TargetMode="External"/><Relationship Id="rId401" Type="http://schemas.openxmlformats.org/officeDocument/2006/relationships/hyperlink" Target="https://myiipea.com/media/etudiant/photo/WhatsApp_Image_2023-09-28_at_12_resized.png" TargetMode="External"/><Relationship Id="rId408" Type="http://schemas.openxmlformats.org/officeDocument/2006/relationships/hyperlink" Target="https://myiipea.com/media/etudiant/photo/WhatsApp_Image_2023-10-16_at_18.32.57.jpeg" TargetMode="External"/><Relationship Id="rId407" Type="http://schemas.openxmlformats.org/officeDocument/2006/relationships/hyperlink" Target="https://myiipea.com/media/etudiant/photo/WhatsApp_Image_2023-10-02_at_17_resized.png" TargetMode="External"/><Relationship Id="rId406" Type="http://schemas.openxmlformats.org/officeDocument/2006/relationships/hyperlink" Target="https://myiipea.com/media/etudiant/photo/WhatsApp_Image_2023-10-03_at_19.03.55.jpeg" TargetMode="External"/><Relationship Id="rId405" Type="http://schemas.openxmlformats.org/officeDocument/2006/relationships/hyperlink" Target="https://myiipea.com/media/etudiant/photo/WhatsApp_Image_2023-09-18_at_10.18.40.jpeg" TargetMode="External"/><Relationship Id="rId2560" Type="http://schemas.openxmlformats.org/officeDocument/2006/relationships/hyperlink" Target="https://myiipea.com/media/etudiant/photo/WhatsApp_Image_2023-10-02_at_18.08.19.jpeg" TargetMode="External"/><Relationship Id="rId1230" Type="http://schemas.openxmlformats.org/officeDocument/2006/relationships/hyperlink" Target="https://myiipea.com/media/etudiant/photo/WhatsApp_Image_2023-11-20_at_10.40.53.jpeg" TargetMode="External"/><Relationship Id="rId2561" Type="http://schemas.openxmlformats.org/officeDocument/2006/relationships/hyperlink" Target="https://myiipea.com/media/etudiant/photo/MEITE.jpg" TargetMode="External"/><Relationship Id="rId400" Type="http://schemas.openxmlformats.org/officeDocument/2006/relationships/hyperlink" Target="https://myiipea.com/media/etudiant/photo/WhatsApp_Image_2023-11-29_at_5.18.50_PM.jpeg" TargetMode="External"/><Relationship Id="rId1231" Type="http://schemas.openxmlformats.org/officeDocument/2006/relationships/hyperlink" Target="https://myiipea.com/media/etudiant/photo/WhatsApp_Image_2023-10-13_at_12.04.55.jpeg" TargetMode="External"/><Relationship Id="rId2562" Type="http://schemas.openxmlformats.org/officeDocument/2006/relationships/hyperlink" Target="https://myiipea.com/media/etudiant/photo/WhatsApp_Image_2023-10-18_at_12.32.37_PM.jpeg" TargetMode="External"/><Relationship Id="rId1232" Type="http://schemas.openxmlformats.org/officeDocument/2006/relationships/hyperlink" Target="https://myiipea.com/media/etudiant/photo/WhatsApp_Image_2023-11-29_at_09.11.07.jpeg" TargetMode="External"/><Relationship Id="rId2563" Type="http://schemas.openxmlformats.org/officeDocument/2006/relationships/hyperlink" Target="https://myiipea.com/media/etudiant/photo/WhatsApp_Image_2023-10-13_at_15.18.41.jpeg" TargetMode="External"/><Relationship Id="rId1233" Type="http://schemas.openxmlformats.org/officeDocument/2006/relationships/hyperlink" Target="https://myiipea.com/media/etudiant/photo/WhatsApp_Image_2023-11-30_at_4_resized.png" TargetMode="External"/><Relationship Id="rId2564" Type="http://schemas.openxmlformats.org/officeDocument/2006/relationships/hyperlink" Target="https://myiipea.com/media/etudiant/photo/WhatsApp_Image_2023-10-12_at_14.21.41.jpeg" TargetMode="External"/><Relationship Id="rId1234" Type="http://schemas.openxmlformats.org/officeDocument/2006/relationships/hyperlink" Target="https://myiipea.com/media/etudiant/photo/WhatsApp_Image_2023-10-06_at_10.18.35.jpeg" TargetMode="External"/><Relationship Id="rId2565" Type="http://schemas.openxmlformats.org/officeDocument/2006/relationships/hyperlink" Target="https://myiipea.com/media/etudiant/photo/WhatsApp_Image_2023-10-30_at_13.02.24.jpeg" TargetMode="External"/><Relationship Id="rId1224" Type="http://schemas.openxmlformats.org/officeDocument/2006/relationships/hyperlink" Target="https://myiipea.com/media/etudiant/photo/WhatsApp_Image_2023-11-17_at_11.39.54.jpeg" TargetMode="External"/><Relationship Id="rId2555" Type="http://schemas.openxmlformats.org/officeDocument/2006/relationships/hyperlink" Target="https://myiipea.com/media/etudiant/photo/WhatsApp_Image_2023-10-12_at_1.31.14_PM.jpeg" TargetMode="External"/><Relationship Id="rId1225" Type="http://schemas.openxmlformats.org/officeDocument/2006/relationships/hyperlink" Target="https://myiipea.com/media/etudiant/photo/WhatsApp_Image_2023-10-11_at_15.34.45.jpeg" TargetMode="External"/><Relationship Id="rId2556" Type="http://schemas.openxmlformats.org/officeDocument/2006/relationships/hyperlink" Target="https://myiipea.com/media/etudiant/photo/WhatsApp_Image_2023-10-12_at_09.11.21.jpeg" TargetMode="External"/><Relationship Id="rId1226" Type="http://schemas.openxmlformats.org/officeDocument/2006/relationships/hyperlink" Target="https://myiipea.com/media/etudiant/photo/WhatsApp_Image_2023-09-29_at_12.48.26.jpeg" TargetMode="External"/><Relationship Id="rId2557" Type="http://schemas.openxmlformats.org/officeDocument/2006/relationships/hyperlink" Target="https://myiipea.com/media/etudiant/photo/WhatsApp_Image_2023-11-23_at_12.40.26_PM.jpeg" TargetMode="External"/><Relationship Id="rId1227" Type="http://schemas.openxmlformats.org/officeDocument/2006/relationships/hyperlink" Target="https://myiipea.com/media/etudiant/photo/WhatsApp_Image_2023-10-14_at_14.03.36.jpeg" TargetMode="External"/><Relationship Id="rId2558" Type="http://schemas.openxmlformats.org/officeDocument/2006/relationships/hyperlink" Target="https://myiipea.com/media/etudiant/photo/BEDEBA.jpg" TargetMode="External"/><Relationship Id="rId1228" Type="http://schemas.openxmlformats.org/officeDocument/2006/relationships/hyperlink" Target="https://myiipea.com/media/etudiant/photo/WhatsApp_Image_2023-10-24_at_15.57.35.jpeg" TargetMode="External"/><Relationship Id="rId2559" Type="http://schemas.openxmlformats.org/officeDocument/2006/relationships/hyperlink" Target="https://myiipea.com/media/etudiant/photo/IMG_7131_resized.png" TargetMode="External"/><Relationship Id="rId1229" Type="http://schemas.openxmlformats.org/officeDocument/2006/relationships/hyperlink" Target="https://myiipea.com/media/etudiant/photo/WhatsApp_Image_2023-10-23_at_14.16.05.jpeg" TargetMode="External"/><Relationship Id="rId2550" Type="http://schemas.openxmlformats.org/officeDocument/2006/relationships/hyperlink" Target="https://myiipea.com/media/etudiant/photo/WhatsApp_Image_2023-11-20_at_16.13.54.jpeg" TargetMode="External"/><Relationship Id="rId1220" Type="http://schemas.openxmlformats.org/officeDocument/2006/relationships/hyperlink" Target="https://myiipea.com/media/etudiant/photo/WhatsApp_Image_2023-10-31_at_12.58.05.jpeg" TargetMode="External"/><Relationship Id="rId2551" Type="http://schemas.openxmlformats.org/officeDocument/2006/relationships/hyperlink" Target="https://myiipea.com/media/etudiant/photo/WhatsApp_Image_2023-10-16_at_11.03.23.jpeg" TargetMode="External"/><Relationship Id="rId1221" Type="http://schemas.openxmlformats.org/officeDocument/2006/relationships/hyperlink" Target="https://myiipea.com/media/etudiant/photo/WhatsApp_Image_2023-10-13_at_11.38.13.jpeg" TargetMode="External"/><Relationship Id="rId2552" Type="http://schemas.openxmlformats.org/officeDocument/2006/relationships/hyperlink" Target="https://myiipea.com/media/etudiant/photo/WhatsApp_Image_2023-11-02_at_12.44.58.jpeg" TargetMode="External"/><Relationship Id="rId1222" Type="http://schemas.openxmlformats.org/officeDocument/2006/relationships/hyperlink" Target="https://myiipea.com/media/etudiant/photo/WhatsApp_Image_2023-09-21_%C3%A0_10.43.58.jpg" TargetMode="External"/><Relationship Id="rId2553" Type="http://schemas.openxmlformats.org/officeDocument/2006/relationships/hyperlink" Target="https://myiipea.com/media/etudiant/photo/WhatsApp_Image_2023-10-10_at_10.24.11.jpeg" TargetMode="External"/><Relationship Id="rId1223" Type="http://schemas.openxmlformats.org/officeDocument/2006/relationships/hyperlink" Target="https://myiipea.com/media/etudiant/photo/WhatsApp_Image_2023-10-17_at_13.24.31.jpeg" TargetMode="External"/><Relationship Id="rId2554" Type="http://schemas.openxmlformats.org/officeDocument/2006/relationships/hyperlink" Target="https://myiipea.com/media/etudiant/photo/WhatsApp_Image_2023-11-02_at_11.17.59.jpeg" TargetMode="External"/><Relationship Id="rId2500" Type="http://schemas.openxmlformats.org/officeDocument/2006/relationships/hyperlink" Target="https://myiipea.com/media/etudiant/photo/ee805a7a-bd0f-4cfc-a70e-cbab604ca96a_4niM1yA.jpeg" TargetMode="External"/><Relationship Id="rId2501" Type="http://schemas.openxmlformats.org/officeDocument/2006/relationships/hyperlink" Target="https://myiipea.com/media/etudiant/photo/WhatsApp_Image_2023-11-08_at_13.59.36.jpeg" TargetMode="External"/><Relationship Id="rId2502" Type="http://schemas.openxmlformats.org/officeDocument/2006/relationships/hyperlink" Target="https://myiipea.com/media/etudiant/photo/WhatsApp_Image_2023-11-03_at_09.44.06.jpeg" TargetMode="External"/><Relationship Id="rId2503" Type="http://schemas.openxmlformats.org/officeDocument/2006/relationships/hyperlink" Target="https://myiipea.com/media/etudiant/photo/WhatsApp_Image_2023-10-25_at_16.34.49.jpeg" TargetMode="External"/><Relationship Id="rId2504" Type="http://schemas.openxmlformats.org/officeDocument/2006/relationships/hyperlink" Target="https://myiipea.com/media/etudiant/photo/WhatsApp_Image_2023-10-03_at_11.14.56_AM_CPMpodn.jpeg" TargetMode="External"/><Relationship Id="rId2505" Type="http://schemas.openxmlformats.org/officeDocument/2006/relationships/hyperlink" Target="https://myiipea.com/media/etudiant/photo/bc7c2665-29ad-460d-99af-aea17fea88e7-removebg-preview.png" TargetMode="External"/><Relationship Id="rId2506" Type="http://schemas.openxmlformats.org/officeDocument/2006/relationships/hyperlink" Target="https://myiipea.com/media/etudiant/photo/bryan.jpg" TargetMode="External"/><Relationship Id="rId2507" Type="http://schemas.openxmlformats.org/officeDocument/2006/relationships/hyperlink" Target="https://myiipea.com/media/etudiant/photo/WhatsApp_Image_2023-10-04_at_10.01.30.jpeg" TargetMode="External"/><Relationship Id="rId2508" Type="http://schemas.openxmlformats.org/officeDocument/2006/relationships/hyperlink" Target="https://myiipea.com/media/etudiant/photo/WhatsApp_Image_2023-10-30_at_7.11.37_PM.jpeg" TargetMode="External"/><Relationship Id="rId2509" Type="http://schemas.openxmlformats.org/officeDocument/2006/relationships/hyperlink" Target="https://myiipea.com/media/etudiant/photo/WhatsApp_Image_2023-10-03_at_10.02.57.jpeg" TargetMode="External"/><Relationship Id="rId2522" Type="http://schemas.openxmlformats.org/officeDocument/2006/relationships/hyperlink" Target="https://myiipea.com/media/etudiant/photo/WhatsApp_Image_2023-10-13_at_10.30.38.jpeg" TargetMode="External"/><Relationship Id="rId2523" Type="http://schemas.openxmlformats.org/officeDocument/2006/relationships/hyperlink" Target="https://myiipea.com/media/etudiant/photo/WhatsApp_Image_2023-10-09_at_19.01.02.jpeg" TargetMode="External"/><Relationship Id="rId2524" Type="http://schemas.openxmlformats.org/officeDocument/2006/relationships/hyperlink" Target="https://myiipea.com/media/etudiant/photo/WhatsApp_Image_2023-10-04_at_11.15.23.jpeg" TargetMode="External"/><Relationship Id="rId2525" Type="http://schemas.openxmlformats.org/officeDocument/2006/relationships/hyperlink" Target="https://myiipea.com/media/etudiant/photo/WhatsApp_Image_2023-09-29_at_10.34.15.jpeg" TargetMode="External"/><Relationship Id="rId2526" Type="http://schemas.openxmlformats.org/officeDocument/2006/relationships/hyperlink" Target="https://myiipea.com/media/etudiant/photo/WhatsApp_Image_2023-10-13_at_18.17.07.jpeg" TargetMode="External"/><Relationship Id="rId2527" Type="http://schemas.openxmlformats.org/officeDocument/2006/relationships/hyperlink" Target="https://myiipea.com/media/etudiant/photo/WhatsApp_Image_2023-09-25_at_15.37.51.jpeg" TargetMode="External"/><Relationship Id="rId2528" Type="http://schemas.openxmlformats.org/officeDocument/2006/relationships/hyperlink" Target="https://myiipea.com/media/etudiant/photo/WhatsApp_Image_2023-10-30_at_10.49.05_BdM21NA.jpeg" TargetMode="External"/><Relationship Id="rId2529" Type="http://schemas.openxmlformats.org/officeDocument/2006/relationships/hyperlink" Target="https://myiipea.com/media/etudiant/photo/WhatsApp_Image_2023-10-26_at_11.07.59.jpeg" TargetMode="External"/><Relationship Id="rId2520" Type="http://schemas.openxmlformats.org/officeDocument/2006/relationships/hyperlink" Target="https://myiipea.com/media/etudiant/photo/WhatsApp_Image_2023-11-16_at_16.25.23.jpeg" TargetMode="External"/><Relationship Id="rId2521" Type="http://schemas.openxmlformats.org/officeDocument/2006/relationships/hyperlink" Target="https://myiipea.com/media/etudiant/photo/WhatsApp_Image_2023-10-16_at_3.01.43_PM.jpeg" TargetMode="External"/><Relationship Id="rId2511" Type="http://schemas.openxmlformats.org/officeDocument/2006/relationships/hyperlink" Target="https://myiipea.com/media/etudiant/photo/WhatsApp_Image_2023-10-04_at_17.01.26_1_4wfz8YS.jpeg" TargetMode="External"/><Relationship Id="rId2512" Type="http://schemas.openxmlformats.org/officeDocument/2006/relationships/hyperlink" Target="https://myiipea.com/media/etudiant/photo/WhatsApp_Image_2023-09-20_at_14.49.38.jpeg" TargetMode="External"/><Relationship Id="rId2513" Type="http://schemas.openxmlformats.org/officeDocument/2006/relationships/hyperlink" Target="https://myiipea.com/media/etudiant/photo/WhatsApp_Image_2023-10-03_at_16.24.01.jpeg" TargetMode="External"/><Relationship Id="rId2514" Type="http://schemas.openxmlformats.org/officeDocument/2006/relationships/hyperlink" Target="https://myiipea.com/media/etudiant/photo/WhatsApp_Image_2023-11-17_at_3.08.28_PM.jpeg" TargetMode="External"/><Relationship Id="rId2515" Type="http://schemas.openxmlformats.org/officeDocument/2006/relationships/hyperlink" Target="https://myiipea.com/media/etudiant/photo/WhatsApp_Image_2023-10-26_at_4.14.48_PM.jpeg" TargetMode="External"/><Relationship Id="rId2516" Type="http://schemas.openxmlformats.org/officeDocument/2006/relationships/hyperlink" Target="https://myiipea.com/media/etudiant/photo/WhatsApp_Image_2023-10-31_at_15.11.41.jpeg" TargetMode="External"/><Relationship Id="rId2517" Type="http://schemas.openxmlformats.org/officeDocument/2006/relationships/hyperlink" Target="https://myiipea.com/media/etudiant/photo/WhatsApp_Image_2023-11-06_at_1.18.37_PM.jpeg" TargetMode="External"/><Relationship Id="rId2518" Type="http://schemas.openxmlformats.org/officeDocument/2006/relationships/hyperlink" Target="https://myiipea.com/media/etudiant/photo/WhatsApp_Image_2023-10-18_at_1.23.34_PM.jpeg" TargetMode="External"/><Relationship Id="rId2519" Type="http://schemas.openxmlformats.org/officeDocument/2006/relationships/hyperlink" Target="https://myiipea.com/media/etudiant/photo/WhatsApp_Image_2023-10-04_at_1.01.53_PM.jpeg" TargetMode="External"/><Relationship Id="rId2510" Type="http://schemas.openxmlformats.org/officeDocument/2006/relationships/hyperlink" Target="https://myiipea.com/media/etudiant/photo/WhatsApp_Image_2023-10-19_at_3.24.47_PM.jpeg" TargetMode="External"/><Relationship Id="rId469" Type="http://schemas.openxmlformats.org/officeDocument/2006/relationships/hyperlink" Target="https://myiipea.com/media/etudiant/photo/BAKO.jpg" TargetMode="External"/><Relationship Id="rId468" Type="http://schemas.openxmlformats.org/officeDocument/2006/relationships/hyperlink" Target="https://myiipea.com/media/etudiant/photo/WhatsApp_Image_2023-10-23_at_14.28.37.jpeg" TargetMode="External"/><Relationship Id="rId467" Type="http://schemas.openxmlformats.org/officeDocument/2006/relationships/hyperlink" Target="https://myiipea.com/media/etudiant/photo/WhatsApp_Image_2023-10-09_at_11.40.14_icB5xjl.jpeg" TargetMode="External"/><Relationship Id="rId1290" Type="http://schemas.openxmlformats.org/officeDocument/2006/relationships/hyperlink" Target="https://myiipea.com/media/etudiant/photo/WhatsApp_Image_2023-10-31_at_08.59.55.jpeg" TargetMode="External"/><Relationship Id="rId1291" Type="http://schemas.openxmlformats.org/officeDocument/2006/relationships/hyperlink" Target="https://myiipea.com/media/etudiant/photo/WhatsApp_Image_2023-10-03_at_15.27.11.jpeg" TargetMode="External"/><Relationship Id="rId1292" Type="http://schemas.openxmlformats.org/officeDocument/2006/relationships/hyperlink" Target="https://myiipea.com/media/etudiant/photo/WhatsApp_Image_2023-10-23_at_14.44.55.jpeg" TargetMode="External"/><Relationship Id="rId462" Type="http://schemas.openxmlformats.org/officeDocument/2006/relationships/hyperlink" Target="https://myiipea.com/media/etudiant/photo/WhatsApp_Image_2023-10-13_at_17.24.30.jpeg" TargetMode="External"/><Relationship Id="rId1293" Type="http://schemas.openxmlformats.org/officeDocument/2006/relationships/hyperlink" Target="https://myiipea.com/media/etudiant/photo/WhatsApp_Image_2023-10-02_at_2.14.58_PM.jpeg" TargetMode="External"/><Relationship Id="rId461" Type="http://schemas.openxmlformats.org/officeDocument/2006/relationships/hyperlink" Target="https://myiipea.com/media/etudiant/photo/WhatsApp_Image_2023-09-26_at_12_resized.png" TargetMode="External"/><Relationship Id="rId1294" Type="http://schemas.openxmlformats.org/officeDocument/2006/relationships/hyperlink" Target="https://myiipea.com/media/etudiant/photo/WhatsApp_Image_2023-10-19_at_15.28.54.jpeg" TargetMode="External"/><Relationship Id="rId460" Type="http://schemas.openxmlformats.org/officeDocument/2006/relationships/hyperlink" Target="https://myiipea.com/media/etudiant/photo/WhatsApp_Image_2023-10-11_at_10.59.30.jpeg" TargetMode="External"/><Relationship Id="rId1295" Type="http://schemas.openxmlformats.org/officeDocument/2006/relationships/hyperlink" Target="https://myiipea.com/media/etudiant/photo/WhatsApp_Image_2023-10-02_at_16.14.24.jpeg" TargetMode="External"/><Relationship Id="rId1296" Type="http://schemas.openxmlformats.org/officeDocument/2006/relationships/hyperlink" Target="https://myiipea.com/media/etudiant/photo/WhatsApp_Image_2023-10-12_at_11.26.56.jpeg" TargetMode="External"/><Relationship Id="rId466" Type="http://schemas.openxmlformats.org/officeDocument/2006/relationships/hyperlink" Target="https://myiipea.com/media/etudiant/photo/WhatsApp_Image_2023-10-19_at_14.14.32.jpeg" TargetMode="External"/><Relationship Id="rId1297" Type="http://schemas.openxmlformats.org/officeDocument/2006/relationships/hyperlink" Target="https://myiipea.com/media/etudiant/photo/WhatsApp_Image_2023-10-04_at_15.07.23.jpeg" TargetMode="External"/><Relationship Id="rId465" Type="http://schemas.openxmlformats.org/officeDocument/2006/relationships/hyperlink" Target="https://myiipea.com/media/etudiant/photo/WhatsApp_Image_2023-10-06_at_12.56.17.jpeg" TargetMode="External"/><Relationship Id="rId1298" Type="http://schemas.openxmlformats.org/officeDocument/2006/relationships/hyperlink" Target="https://myiipea.com/media/etudiant/photo/WhatsApp_Image_2023-09-28_at_10.32.22.jpeg" TargetMode="External"/><Relationship Id="rId464" Type="http://schemas.openxmlformats.org/officeDocument/2006/relationships/hyperlink" Target="https://myiipea.com/media/etudiant/photo/WhatsApp_Image_2023-10-26_at_10.07.54.jpeg" TargetMode="External"/><Relationship Id="rId1299" Type="http://schemas.openxmlformats.org/officeDocument/2006/relationships/hyperlink" Target="https://myiipea.com/media/etudiant/photo/WhatsApp_Image_2023-10-04_at_16.19.50.jpeg" TargetMode="External"/><Relationship Id="rId463" Type="http://schemas.openxmlformats.org/officeDocument/2006/relationships/hyperlink" Target="https://myiipea.com/media/etudiant/photo/WhatsApp_Image_2023-10-21_at_1.17.53_PM.jpeg" TargetMode="External"/><Relationship Id="rId459" Type="http://schemas.openxmlformats.org/officeDocument/2006/relationships/hyperlink" Target="https://myiipea.com/media/etudiant/photo/WhatsApp_Image_2023-10-05_at_12.15.00.jpeg" TargetMode="External"/><Relationship Id="rId458" Type="http://schemas.openxmlformats.org/officeDocument/2006/relationships/hyperlink" Target="https://myiipea.com/media/etudiant/photo/WhatsApp_Image_2023-10-13_at_15.43.49.jpeg" TargetMode="External"/><Relationship Id="rId457" Type="http://schemas.openxmlformats.org/officeDocument/2006/relationships/hyperlink" Target="https://myiipea.com/media/etudiant/photo/WhatsApp_Image_2023-10-09_at_11_resized.png" TargetMode="External"/><Relationship Id="rId456" Type="http://schemas.openxmlformats.org/officeDocument/2006/relationships/hyperlink" Target="https://myiipea.com/media/etudiant/photo/WhatsApp_Image_2023-10-12_at_16.37.10.jpeg" TargetMode="External"/><Relationship Id="rId1280" Type="http://schemas.openxmlformats.org/officeDocument/2006/relationships/hyperlink" Target="https://myiipea.com/media/etudiant/photo/WhatsApp_Image_2023-09-26_at_14.06.49.jpeg" TargetMode="External"/><Relationship Id="rId1281" Type="http://schemas.openxmlformats.org/officeDocument/2006/relationships/hyperlink" Target="https://myiipea.com/media/etudiant/photo/WhatsApp_Image_2023-10-11_at_11.41.53.jpeg" TargetMode="External"/><Relationship Id="rId451" Type="http://schemas.openxmlformats.org/officeDocument/2006/relationships/hyperlink" Target="https://myiipea.com/media/etudiant/photo/WhatsApp_Image_2023-10-04_at_18.17.46.jpeg" TargetMode="External"/><Relationship Id="rId1282" Type="http://schemas.openxmlformats.org/officeDocument/2006/relationships/hyperlink" Target="https://myiipea.com/media/etudiant/photo/WhatsApp_Image_2023-09-29_at_18.28.03.jpeg" TargetMode="External"/><Relationship Id="rId450" Type="http://schemas.openxmlformats.org/officeDocument/2006/relationships/hyperlink" Target="https://myiipea.com/media/etudiant/photo/WhatsApp_Image_2023-10-03_at_11.44.31.jpeg" TargetMode="External"/><Relationship Id="rId1283" Type="http://schemas.openxmlformats.org/officeDocument/2006/relationships/hyperlink" Target="https://myiipea.com/media/etudiant/photo/WhatsApp_Image_2023-10-13_at_16.16.43.jpeg" TargetMode="External"/><Relationship Id="rId1284" Type="http://schemas.openxmlformats.org/officeDocument/2006/relationships/hyperlink" Target="https://myiipea.com/media/etudiant/photo/WhatsApp_Image_2023-10-24_at_4.55.19_PM.jpeg" TargetMode="External"/><Relationship Id="rId1285" Type="http://schemas.openxmlformats.org/officeDocument/2006/relationships/hyperlink" Target="https://myiipea.com/media/etudiant/photo/WhatsApp_Image_2023-10-12_at_11.49.04.jpeg" TargetMode="External"/><Relationship Id="rId455" Type="http://schemas.openxmlformats.org/officeDocument/2006/relationships/hyperlink" Target="https://myiipea.com/media/etudiant/photo/WhatsApp_Image_2023-10-03_at_08.43.47.jpeg" TargetMode="External"/><Relationship Id="rId1286" Type="http://schemas.openxmlformats.org/officeDocument/2006/relationships/hyperlink" Target="https://myiipea.com/media/etudiant/photo/WhatsApp_Image_2023-11-02_at_14.46.32.jpeg" TargetMode="External"/><Relationship Id="rId454" Type="http://schemas.openxmlformats.org/officeDocument/2006/relationships/hyperlink" Target="https://myiipea.com/media/etudiant/photo/WhatsApp_Image_2023-10-12_at_14.44.59.jpeg" TargetMode="External"/><Relationship Id="rId1287" Type="http://schemas.openxmlformats.org/officeDocument/2006/relationships/hyperlink" Target="https://myiipea.com/media/etudiant/photo/WhatsApp_Image_2023-11-28_at_11.08.09.jpeg" TargetMode="External"/><Relationship Id="rId453" Type="http://schemas.openxmlformats.org/officeDocument/2006/relationships/hyperlink" Target="https://myiipea.com/media/etudiant/photo/WhatsApp_Image_2023-10-13_at_16.31.44.jpeg" TargetMode="External"/><Relationship Id="rId1288" Type="http://schemas.openxmlformats.org/officeDocument/2006/relationships/hyperlink" Target="https://myiipea.com/media/etudiant/photo/WhatsApp_Image_2023-10-30_at_6.27.44_PM.jpeg" TargetMode="External"/><Relationship Id="rId452" Type="http://schemas.openxmlformats.org/officeDocument/2006/relationships/hyperlink" Target="https://myiipea.com/media/etudiant/photo/WhatsApp_Image_2023-10-05_at_2.04.39_PM.jpeg" TargetMode="External"/><Relationship Id="rId1289" Type="http://schemas.openxmlformats.org/officeDocument/2006/relationships/hyperlink" Target="https://myiipea.com/media/etudiant/photo/WhatsApp_Image_2023-10-10_at_18.42.47_1.jpeg" TargetMode="External"/><Relationship Id="rId3018" Type="http://schemas.openxmlformats.org/officeDocument/2006/relationships/hyperlink" Target="https://myiipea.com/media/etudiant/photo/WhatsApp_Image_2023-11-07_at_10.16.17.jpeg" TargetMode="External"/><Relationship Id="rId3017" Type="http://schemas.openxmlformats.org/officeDocument/2006/relationships/hyperlink" Target="https://myiipea.com/media/etudiant/photo/WhatsApp_Image_2023-10-10_at_15.18.45.jpeg" TargetMode="External"/><Relationship Id="rId3019" Type="http://schemas.openxmlformats.org/officeDocument/2006/relationships/hyperlink" Target="https://myiipea.com/media/etudiant/photo/WhatsApp_Image_2023-10-03_at_11.14.56_AM_NcyxxUA.jpeg" TargetMode="External"/><Relationship Id="rId491" Type="http://schemas.openxmlformats.org/officeDocument/2006/relationships/hyperlink" Target="https://myiipea.com/media/etudiant/photo/WhatsApp_Image_2023-10-04_at_14.29.13.jpeg" TargetMode="External"/><Relationship Id="rId490" Type="http://schemas.openxmlformats.org/officeDocument/2006/relationships/hyperlink" Target="https://myiipea.com/media/etudiant/photo/ABIB.jpg" TargetMode="External"/><Relationship Id="rId489" Type="http://schemas.openxmlformats.org/officeDocument/2006/relationships/hyperlink" Target="https://myiipea.com/media/etudiant/photo/WhatsApp_Image_2023-10-18_at_13.56.27.jpeg" TargetMode="External"/><Relationship Id="rId484" Type="http://schemas.openxmlformats.org/officeDocument/2006/relationships/hyperlink" Target="https://myiipea.com/media/etudiant/photo/WhatsApp_Image_2023-09-18_at_16_resized.png" TargetMode="External"/><Relationship Id="rId3010" Type="http://schemas.openxmlformats.org/officeDocument/2006/relationships/hyperlink" Target="https://myiipea.com/media/etudiant/photo/OYEBAMIJI.jpg" TargetMode="External"/><Relationship Id="rId483" Type="http://schemas.openxmlformats.org/officeDocument/2006/relationships/hyperlink" Target="https://myiipea.com/media/etudiant/photo/WhatsApp_Image_2023-10-23_at_14.08.33_1.jpeg" TargetMode="External"/><Relationship Id="rId482" Type="http://schemas.openxmlformats.org/officeDocument/2006/relationships/hyperlink" Target="https://myiipea.com/media/etudiant/photo/WhatsApp_Image_2023-10-18_at_16.14.09.jpeg" TargetMode="External"/><Relationship Id="rId3012" Type="http://schemas.openxmlformats.org/officeDocument/2006/relationships/hyperlink" Target="https://myiipea.com/media/etudiant/photo/WhatsApp_Image_2023-09-22_at_14.35.14.jpeg" TargetMode="External"/><Relationship Id="rId481" Type="http://schemas.openxmlformats.org/officeDocument/2006/relationships/hyperlink" Target="https://myiipea.com/media/etudiant/photo/WhatsApp_Image_2023-10-26_at_3.12.01_PM.jpeg" TargetMode="External"/><Relationship Id="rId3011" Type="http://schemas.openxmlformats.org/officeDocument/2006/relationships/hyperlink" Target="https://myiipea.com/media/etudiant/photo/WhatsApp_Image_2023-10-09_at_12.05.26_PM.jpeg" TargetMode="External"/><Relationship Id="rId488" Type="http://schemas.openxmlformats.org/officeDocument/2006/relationships/hyperlink" Target="https://myiipea.com/media/etudiant/photo/WhatsApp_Image_2023-10-14_at_12.09.36.jpeg" TargetMode="External"/><Relationship Id="rId3014" Type="http://schemas.openxmlformats.org/officeDocument/2006/relationships/hyperlink" Target="https://myiipea.com/media/etudiant/photo/WhatsApp_Image_2023-10-10_at_14.03.03.jpeg" TargetMode="External"/><Relationship Id="rId487" Type="http://schemas.openxmlformats.org/officeDocument/2006/relationships/hyperlink" Target="https://myiipea.com/media/etudiant/photo/WhatsApp_Image_2023-11-07_at_2.41.30_PM.jpeg" TargetMode="External"/><Relationship Id="rId3013" Type="http://schemas.openxmlformats.org/officeDocument/2006/relationships/hyperlink" Target="https://myiipea.com/media/etudiant/photo/WhatsApp_Image_2023-09-20_%C3%A0_12.19.25.jpg" TargetMode="External"/><Relationship Id="rId486" Type="http://schemas.openxmlformats.org/officeDocument/2006/relationships/hyperlink" Target="https://myiipea.com/media/etudiant/photo/WhatsApp_Image_2023-09-29_at_11.11.38.jpeg" TargetMode="External"/><Relationship Id="rId3016" Type="http://schemas.openxmlformats.org/officeDocument/2006/relationships/hyperlink" Target="https://myiipea.com/media/etudiant/photo/WhatsApp_Image_2023-10-30_at_16.25.14.jpeg" TargetMode="External"/><Relationship Id="rId485" Type="http://schemas.openxmlformats.org/officeDocument/2006/relationships/hyperlink" Target="https://myiipea.com/media/etudiant/photo/WhatsApp_Image_2023-10-17_at_13.01.22.jpeg" TargetMode="External"/><Relationship Id="rId3015" Type="http://schemas.openxmlformats.org/officeDocument/2006/relationships/hyperlink" Target="https://myiipea.com/media/etudiant/photo/WhatsApp_Image_2023-10-13_at_17.01.43.jpeg" TargetMode="External"/><Relationship Id="rId3007" Type="http://schemas.openxmlformats.org/officeDocument/2006/relationships/hyperlink" Target="https://myiipea.com/media/etudiant/photo/WhatsApp_Image_2023-10-04_at_12.07.15_PM.jpeg" TargetMode="External"/><Relationship Id="rId3006" Type="http://schemas.openxmlformats.org/officeDocument/2006/relationships/hyperlink" Target="https://myiipea.com/media/etudiant/photo/WhatsApp_Image_2023-10-27_at_13.05.45.jpeg" TargetMode="External"/><Relationship Id="rId3009" Type="http://schemas.openxmlformats.org/officeDocument/2006/relationships/hyperlink" Target="https://myiipea.com/media/etudiant/photo/WhatsApp_Image_2023-10-02_at_18.38.07.jpeg" TargetMode="External"/><Relationship Id="rId3008" Type="http://schemas.openxmlformats.org/officeDocument/2006/relationships/hyperlink" Target="https://myiipea.com/media/etudiant/photo/WhatsApp_Image_2023-10-02_at_18.10.33.jpeg" TargetMode="External"/><Relationship Id="rId480" Type="http://schemas.openxmlformats.org/officeDocument/2006/relationships/hyperlink" Target="https://myiipea.com/media/etudiant/photo/WhatsApp_Image_2023-10-27_at_11.26.49.jpeg" TargetMode="External"/><Relationship Id="rId479" Type="http://schemas.openxmlformats.org/officeDocument/2006/relationships/hyperlink" Target="https://myiipea.com/media/etudiant/photo/WhatsApp_Image_2023-09-29_at_17.03.34.jpeg" TargetMode="External"/><Relationship Id="rId478" Type="http://schemas.openxmlformats.org/officeDocument/2006/relationships/hyperlink" Target="https://myiipea.com/media/etudiant/photo/WhatsApp_Image_2023-10-03_at_19.28.54.jpeg" TargetMode="External"/><Relationship Id="rId473" Type="http://schemas.openxmlformats.org/officeDocument/2006/relationships/hyperlink" Target="https://myiipea.com/media/etudiant/photo/WhatsApp_Image_2023-09-29_at_17.48.47.jpeg" TargetMode="External"/><Relationship Id="rId472" Type="http://schemas.openxmlformats.org/officeDocument/2006/relationships/hyperlink" Target="https://myiipea.com/media/etudiant/photo/WhatsApp_Image_2023-11-06_at_13.18.47.jpeg" TargetMode="External"/><Relationship Id="rId471" Type="http://schemas.openxmlformats.org/officeDocument/2006/relationships/hyperlink" Target="https://myiipea.com/media/etudiant/photo/WhatsApp_Image_2023-10-19_at_13.07.47.jpeg" TargetMode="External"/><Relationship Id="rId3001" Type="http://schemas.openxmlformats.org/officeDocument/2006/relationships/hyperlink" Target="https://myiipea.com/media/etudiant/photo/WhatsApp_Image_2023-10-10_at_11.36.04.jpeg" TargetMode="External"/><Relationship Id="rId470" Type="http://schemas.openxmlformats.org/officeDocument/2006/relationships/hyperlink" Target="https://myiipea.com/media/etudiant/photo/WhatsApp_Image_2023-10-09_at_12.14.22.jpeg" TargetMode="External"/><Relationship Id="rId3000" Type="http://schemas.openxmlformats.org/officeDocument/2006/relationships/hyperlink" Target="https://myiipea.com/media/etudiant/photo/WhatsApp_Image_2023-10-27_at_11.32.34.jpeg" TargetMode="External"/><Relationship Id="rId477" Type="http://schemas.openxmlformats.org/officeDocument/2006/relationships/hyperlink" Target="https://myiipea.com/media/etudiant/photo/WhatsApp_Image_2023-10-04_at_12.31.30.jpeg" TargetMode="External"/><Relationship Id="rId3003" Type="http://schemas.openxmlformats.org/officeDocument/2006/relationships/hyperlink" Target="https://myiipea.com/media/etudiant/photo/WhatsApp_Image_2023-10-04_at_16.45.40.jpeg" TargetMode="External"/><Relationship Id="rId476" Type="http://schemas.openxmlformats.org/officeDocument/2006/relationships/hyperlink" Target="https://myiipea.com/media/etudiant/photo/photo_1gDghQx.jpg" TargetMode="External"/><Relationship Id="rId3002" Type="http://schemas.openxmlformats.org/officeDocument/2006/relationships/hyperlink" Target="https://myiipea.com/media/etudiant/photo/WhatsApp_Image_2023-10-05_at_15.29.29.jpeg" TargetMode="External"/><Relationship Id="rId475" Type="http://schemas.openxmlformats.org/officeDocument/2006/relationships/hyperlink" Target="https://myiipea.com/media/etudiant/photo/WhatsApp_Image_2023-09-15_at_15.32.54.jpeg" TargetMode="External"/><Relationship Id="rId3005" Type="http://schemas.openxmlformats.org/officeDocument/2006/relationships/hyperlink" Target="https://myiipea.com/media/etudiant/photo/WhatsApp_Image_2023-10-13_at_12.53.03.jpeg" TargetMode="External"/><Relationship Id="rId474" Type="http://schemas.openxmlformats.org/officeDocument/2006/relationships/hyperlink" Target="https://myiipea.com/media/etudiant/photo/WhatsApp_Image_2023-10-16_at_5.52.09_PM.jpeg" TargetMode="External"/><Relationship Id="rId3004" Type="http://schemas.openxmlformats.org/officeDocument/2006/relationships/hyperlink" Target="https://myiipea.com/media/etudiant/photo/WhatsApp_Image_2023-10-13_at_3.58.03_PM.jpeg" TargetMode="External"/><Relationship Id="rId1257" Type="http://schemas.openxmlformats.org/officeDocument/2006/relationships/hyperlink" Target="https://myiipea.com/media/etudiant/photo/WhatsApp_Image_2023-09-29_at_13_resized.png" TargetMode="External"/><Relationship Id="rId2588" Type="http://schemas.openxmlformats.org/officeDocument/2006/relationships/hyperlink" Target="https://myiipea.com/media/etudiant/photo/WhatsApp_Image_2023-11-06_at_12.26.36_PM.jpeg" TargetMode="External"/><Relationship Id="rId1258" Type="http://schemas.openxmlformats.org/officeDocument/2006/relationships/hyperlink" Target="https://myiipea.com/media/etudiant/photo/WhatsApp_Image_2023-10-27_at_10.06.40_1_JQdmXxr.jpeg" TargetMode="External"/><Relationship Id="rId2589" Type="http://schemas.openxmlformats.org/officeDocument/2006/relationships/hyperlink" Target="https://myiipea.com/media/etudiant/photo/WhatsApp_Image_2023-10-30_at_16.16.50_1.jpeg" TargetMode="External"/><Relationship Id="rId1259" Type="http://schemas.openxmlformats.org/officeDocument/2006/relationships/hyperlink" Target="https://myiipea.com/media/etudiant/photo/WhatsApp_Image_2023-10-23_at_11.12.03.jpeg" TargetMode="External"/><Relationship Id="rId426" Type="http://schemas.openxmlformats.org/officeDocument/2006/relationships/hyperlink" Target="https://myiipea.com/media/etudiant/photo/WhatsApp_Image_2023-10-27_at_11.26.34.jpeg" TargetMode="External"/><Relationship Id="rId425" Type="http://schemas.openxmlformats.org/officeDocument/2006/relationships/hyperlink" Target="https://myiipea.com/media/etudiant/photo/WhatsApp_Image_2023-12-01_at_4_resized_nGE0mN4.png" TargetMode="External"/><Relationship Id="rId424" Type="http://schemas.openxmlformats.org/officeDocument/2006/relationships/hyperlink" Target="https://myiipea.com/media/etudiant/photo/SEYDOU.jpg" TargetMode="External"/><Relationship Id="rId423" Type="http://schemas.openxmlformats.org/officeDocument/2006/relationships/hyperlink" Target="https://myiipea.com/media/etudiant/photo/WhatsApp_Image_2023-11-07_at_15.11.45.jpeg" TargetMode="External"/><Relationship Id="rId429" Type="http://schemas.openxmlformats.org/officeDocument/2006/relationships/hyperlink" Target="https://myiipea.com/media/etudiant/photo/WhatsApp_Image_2023-10-11_at_15.07.31.jpeg" TargetMode="External"/><Relationship Id="rId428" Type="http://schemas.openxmlformats.org/officeDocument/2006/relationships/hyperlink" Target="https://myiipea.com/media/etudiant/photo/WhatsApp_Image_2023-10-23_at_15.15.30.jpeg" TargetMode="External"/><Relationship Id="rId427" Type="http://schemas.openxmlformats.org/officeDocument/2006/relationships/hyperlink" Target="https://myiipea.com/media/etudiant/photo/WhatsApp_Image_2023-11-20_at_11.02.09_AM.jpeg" TargetMode="External"/><Relationship Id="rId2580" Type="http://schemas.openxmlformats.org/officeDocument/2006/relationships/hyperlink" Target="https://myiipea.com/media/etudiant/photo/239422487_405915444207421_8131329350063382999_n_oZGaghZ.jpg" TargetMode="External"/><Relationship Id="rId1250" Type="http://schemas.openxmlformats.org/officeDocument/2006/relationships/hyperlink" Target="https://myiipea.com/media/etudiant/photo/WhatsApp_Image_2023-10-23_at_16.00.32.jpeg" TargetMode="External"/><Relationship Id="rId2581" Type="http://schemas.openxmlformats.org/officeDocument/2006/relationships/hyperlink" Target="https://myiipea.com/media/etudiant/photo/WhatsApp_Image_2023-10-23_at_15.22.59_6.jpeg" TargetMode="External"/><Relationship Id="rId1251" Type="http://schemas.openxmlformats.org/officeDocument/2006/relationships/hyperlink" Target="https://myiipea.com/media/etudiant/photo/WhatsApp_Image_2023-11-20_at_4.58.52_PM.jpeg" TargetMode="External"/><Relationship Id="rId2582" Type="http://schemas.openxmlformats.org/officeDocument/2006/relationships/hyperlink" Target="https://myiipea.com/media/etudiant/photo/WhatsApp_Image_2023-10-05_at_10.14.51.jpeg" TargetMode="External"/><Relationship Id="rId1252" Type="http://schemas.openxmlformats.org/officeDocument/2006/relationships/hyperlink" Target="https://myiipea.com/media/etudiant/photo/WhatsApp_Image_2023-11-17_at_10.39.52.jpeg" TargetMode="External"/><Relationship Id="rId2583" Type="http://schemas.openxmlformats.org/officeDocument/2006/relationships/hyperlink" Target="https://myiipea.com/media/etudiant/photo/WhatsApp_Image_2023-11-10_at_12.55.41.jpeg" TargetMode="External"/><Relationship Id="rId422" Type="http://schemas.openxmlformats.org/officeDocument/2006/relationships/hyperlink" Target="https://myiipea.com/media/etudiant/photo/WhatsApp_Image_2023-11-03_at_12.07.13_2.jpeg" TargetMode="External"/><Relationship Id="rId1253" Type="http://schemas.openxmlformats.org/officeDocument/2006/relationships/hyperlink" Target="https://myiipea.com/media/etudiant/photo/t%C3%A9l%C3%A9chargement_eiXzlKe.png" TargetMode="External"/><Relationship Id="rId2584" Type="http://schemas.openxmlformats.org/officeDocument/2006/relationships/hyperlink" Target="https://myiipea.com/media/etudiant/photo/WhatsApp_Image_2023-09-29_at_17.03.20.jpeg" TargetMode="External"/><Relationship Id="rId421" Type="http://schemas.openxmlformats.org/officeDocument/2006/relationships/hyperlink" Target="https://myiipea.com/media/etudiant/photo/WhatsApp_Image_2023-09-29_at_09.28.58.jpeg" TargetMode="External"/><Relationship Id="rId1254" Type="http://schemas.openxmlformats.org/officeDocument/2006/relationships/hyperlink" Target="https://myiipea.com/media/etudiant/photo/WhatsApp_Image_2023-11-13_at_1.46.13_PM.jpeg" TargetMode="External"/><Relationship Id="rId2585" Type="http://schemas.openxmlformats.org/officeDocument/2006/relationships/hyperlink" Target="https://myiipea.com/media/etudiant/photo/WhatsApp_Image_2023-09-20_at_14.31.11.jpeg" TargetMode="External"/><Relationship Id="rId420" Type="http://schemas.openxmlformats.org/officeDocument/2006/relationships/hyperlink" Target="https://myiipea.com/media/etudiant/photo/WhatsApp_Image_2023-10-10_at_17.37.03.jpeg" TargetMode="External"/><Relationship Id="rId1255" Type="http://schemas.openxmlformats.org/officeDocument/2006/relationships/hyperlink" Target="https://myiipea.com/media/etudiant/photo/WhatsApp_Image_2023-10-06_at_14.37.45.jpeg" TargetMode="External"/><Relationship Id="rId2586" Type="http://schemas.openxmlformats.org/officeDocument/2006/relationships/hyperlink" Target="https://myiipea.com/media/etudiant/photo/WhatsApp_Image_2023-11-16_at_15.10.20.jpeg" TargetMode="External"/><Relationship Id="rId1256" Type="http://schemas.openxmlformats.org/officeDocument/2006/relationships/hyperlink" Target="https://myiipea.com/media/etudiant/photo/WhatsApp_Image_2023-11-13_at_4.39.40_PM.jpeg" TargetMode="External"/><Relationship Id="rId2587" Type="http://schemas.openxmlformats.org/officeDocument/2006/relationships/hyperlink" Target="https://myiipea.com/media/etudiant/photo/WhatsApp_Image_2023-10-03_at_17.44.35.jpeg" TargetMode="External"/><Relationship Id="rId1246" Type="http://schemas.openxmlformats.org/officeDocument/2006/relationships/hyperlink" Target="https://myiipea.com/media/etudiant/photo/WhatsApp_Image_2023-10-03_at_13_resized.png" TargetMode="External"/><Relationship Id="rId2577" Type="http://schemas.openxmlformats.org/officeDocument/2006/relationships/hyperlink" Target="https://myiipea.com/media/etudiant/photo/Logo_EMATECH_9s1bEpy.png" TargetMode="External"/><Relationship Id="rId1247" Type="http://schemas.openxmlformats.org/officeDocument/2006/relationships/hyperlink" Target="https://myiipea.com/media/etudiant/photo/FOFANA.jpg" TargetMode="External"/><Relationship Id="rId2578" Type="http://schemas.openxmlformats.org/officeDocument/2006/relationships/hyperlink" Target="https://myiipea.com/media/etudiant/photo/Logo_EMATECH_mxp5LsB.png" TargetMode="External"/><Relationship Id="rId1248" Type="http://schemas.openxmlformats.org/officeDocument/2006/relationships/hyperlink" Target="https://myiipea.com/media/etudiant/photo/WhatsApp_Image_2023-10-26_at_13.49.33.jpeg" TargetMode="External"/><Relationship Id="rId2579" Type="http://schemas.openxmlformats.org/officeDocument/2006/relationships/hyperlink" Target="https://myiipea.com/media/etudiant/photo/WhatsApp_Image_2023-10-05_at_12.31.45.jpeg" TargetMode="External"/><Relationship Id="rId1249" Type="http://schemas.openxmlformats.org/officeDocument/2006/relationships/hyperlink" Target="https://myiipea.com/media/etudiant/photo/WhatsApp_Image_2023-10-10_at_12.29.17.jpeg" TargetMode="External"/><Relationship Id="rId415" Type="http://schemas.openxmlformats.org/officeDocument/2006/relationships/hyperlink" Target="https://myiipea.com/media/etudiant/photo/WhatsApp_Image_2023-10-11_at_13.05.41.jpeg" TargetMode="External"/><Relationship Id="rId414" Type="http://schemas.openxmlformats.org/officeDocument/2006/relationships/hyperlink" Target="https://myiipea.com/media/etudiant/photo/WhatsApp_Image_2023-11-14_at_14.49.52.jpeg" TargetMode="External"/><Relationship Id="rId413" Type="http://schemas.openxmlformats.org/officeDocument/2006/relationships/hyperlink" Target="https://myiipea.com/media/etudiant/photo/WhatsApp_Image_2023-11-06_at_11.55.41_AM.jpeg" TargetMode="External"/><Relationship Id="rId412" Type="http://schemas.openxmlformats.org/officeDocument/2006/relationships/hyperlink" Target="https://myiipea.com/media/etudiant/photo/WhatsApp_Image_2023-10-06_at_13.12.23.jpeg" TargetMode="External"/><Relationship Id="rId419" Type="http://schemas.openxmlformats.org/officeDocument/2006/relationships/hyperlink" Target="https://myiipea.com/media/etudiant/photo/WhatsApp_Image_2023-10-09_at_10.18.11.jpeg" TargetMode="External"/><Relationship Id="rId418" Type="http://schemas.openxmlformats.org/officeDocument/2006/relationships/hyperlink" Target="https://myiipea.com/media/etudiant/photo/WhatsApp_Image_2023-10-17_at_12.04.11_PM.jpeg" TargetMode="External"/><Relationship Id="rId417" Type="http://schemas.openxmlformats.org/officeDocument/2006/relationships/hyperlink" Target="https://myiipea.com/media/etudiant/photo/WhatsApp_Image_2023-09-14_at_12.06.07.jpeg" TargetMode="External"/><Relationship Id="rId416" Type="http://schemas.openxmlformats.org/officeDocument/2006/relationships/hyperlink" Target="https://myiipea.com/media/etudiant/photo/WhatsApp_Image_2023-10-17_at_18.08.08.jpeg" TargetMode="External"/><Relationship Id="rId2570" Type="http://schemas.openxmlformats.org/officeDocument/2006/relationships/hyperlink" Target="https://myiipea.com/media/etudiant/photo/WhatsApp_Image_2023-09-18_at_14.46.21.jpeg" TargetMode="External"/><Relationship Id="rId1240" Type="http://schemas.openxmlformats.org/officeDocument/2006/relationships/hyperlink" Target="https://myiipea.com/media/etudiant/photo/WhatsApp_Image_2023-10-02_at_15.59.13.jpeg" TargetMode="External"/><Relationship Id="rId2571" Type="http://schemas.openxmlformats.org/officeDocument/2006/relationships/hyperlink" Target="https://myiipea.com/media/etudiant/photo/WhatsApp_Image_2023-09-29_at_18.34.49.jpeg" TargetMode="External"/><Relationship Id="rId1241" Type="http://schemas.openxmlformats.org/officeDocument/2006/relationships/hyperlink" Target="https://myiipea.com/media/etudiant/photo/WhatsApp_Image_2023-09-29_at_11.12.01.jpeg" TargetMode="External"/><Relationship Id="rId2572" Type="http://schemas.openxmlformats.org/officeDocument/2006/relationships/hyperlink" Target="https://myiipea.com/media/etudiant/photo/WhatsApp_Image_2023-10-12_at_15.30.47.jpeg" TargetMode="External"/><Relationship Id="rId411" Type="http://schemas.openxmlformats.org/officeDocument/2006/relationships/hyperlink" Target="https://myiipea.com/media/etudiant/photo/WhatsApp_Image_2023-11-06_at_13.58.23.jpeg" TargetMode="External"/><Relationship Id="rId1242" Type="http://schemas.openxmlformats.org/officeDocument/2006/relationships/hyperlink" Target="https://myiipea.com/media/etudiant/photo/WhatsApp_Image_2023-10-16_at_3.16.49_PM.jpeg" TargetMode="External"/><Relationship Id="rId2573" Type="http://schemas.openxmlformats.org/officeDocument/2006/relationships/hyperlink" Target="https://myiipea.com/media/etudiant/photo/WhatsApp_Image_2023-10-25_at_11.32.29.jpeg" TargetMode="External"/><Relationship Id="rId410" Type="http://schemas.openxmlformats.org/officeDocument/2006/relationships/hyperlink" Target="https://myiipea.com/media/etudiant/photo/WhatsApp_Image_2023-11-10_at_10.00.09.jpeg" TargetMode="External"/><Relationship Id="rId1243" Type="http://schemas.openxmlformats.org/officeDocument/2006/relationships/hyperlink" Target="https://myiipea.com/media/etudiant/photo/WhatsApp_Image_2023-10-11_at_13_resized.png" TargetMode="External"/><Relationship Id="rId2574" Type="http://schemas.openxmlformats.org/officeDocument/2006/relationships/hyperlink" Target="https://myiipea.com/media/etudiant/photo/WhatsApp_Image_2023-10-12_at_12.43.54.jpeg" TargetMode="External"/><Relationship Id="rId1244" Type="http://schemas.openxmlformats.org/officeDocument/2006/relationships/hyperlink" Target="https://myiipea.com/media/etudiant/photo/WhatsApp_Image_2023-10-30_at_11.35.23.jpeg" TargetMode="External"/><Relationship Id="rId2575" Type="http://schemas.openxmlformats.org/officeDocument/2006/relationships/hyperlink" Target="https://myiipea.com/media/etudiant/photo/WhatsApp_Image_2023-09-21_at_16.26.32.jpeg" TargetMode="External"/><Relationship Id="rId1245" Type="http://schemas.openxmlformats.org/officeDocument/2006/relationships/hyperlink" Target="https://myiipea.com/media/etudiant/photo/WhatsApp_Image_2023-09-28_at_08.34.06.jpeg" TargetMode="External"/><Relationship Id="rId2576" Type="http://schemas.openxmlformats.org/officeDocument/2006/relationships/hyperlink" Target="https://myiipea.com/media/etudiant/photo/WhatsApp_Image_2023-11-23_at_4.02.10_PM.jpeg" TargetMode="External"/><Relationship Id="rId1279" Type="http://schemas.openxmlformats.org/officeDocument/2006/relationships/hyperlink" Target="https://myiipea.com/media/etudiant/photo/WhatsApp_Image_2023-10-16_at_10.22.57.jpeg" TargetMode="External"/><Relationship Id="rId448" Type="http://schemas.openxmlformats.org/officeDocument/2006/relationships/hyperlink" Target="https://myiipea.com/media/etudiant/photo/WhatsApp_Image_2023-10-09_at_17.45.23.jpeg" TargetMode="External"/><Relationship Id="rId447" Type="http://schemas.openxmlformats.org/officeDocument/2006/relationships/hyperlink" Target="https://myiipea.com/media/etudiant/photo/WhatsApp_Image_2023-10-13_at_10.55.57.jpeg" TargetMode="External"/><Relationship Id="rId446" Type="http://schemas.openxmlformats.org/officeDocument/2006/relationships/hyperlink" Target="https://myiipea.com/media/etudiant/photo/WhatsApp_Image_2023-11-30_at_2.23.45_PM.jpeg" TargetMode="External"/><Relationship Id="rId445" Type="http://schemas.openxmlformats.org/officeDocument/2006/relationships/hyperlink" Target="https://myiipea.com/media/etudiant/photo/WhatsApp_Image_2023-10-31_at_10.56.12.jpeg" TargetMode="External"/><Relationship Id="rId449" Type="http://schemas.openxmlformats.org/officeDocument/2006/relationships/hyperlink" Target="https://myiipea.com/media/etudiant/photo/WhatsApp_Image_2023-10-10_at_12.02.26.jpeg" TargetMode="External"/><Relationship Id="rId1270" Type="http://schemas.openxmlformats.org/officeDocument/2006/relationships/hyperlink" Target="https://myiipea.com/media/etudiant/photo/WhatsApp_Image_2023-10-13_at_11.09.41.jpeg" TargetMode="External"/><Relationship Id="rId440" Type="http://schemas.openxmlformats.org/officeDocument/2006/relationships/hyperlink" Target="https://myiipea.com/media/etudiant/photo/ee805a7a-bd0f-4cfc-a70e-cbab604ca96a_5AMCAfr.jpeg" TargetMode="External"/><Relationship Id="rId1271" Type="http://schemas.openxmlformats.org/officeDocument/2006/relationships/hyperlink" Target="https://myiipea.com/media/etudiant/photo/WhatsApp_Image_2023-10-02_at_7.39.58_PM.jpeg" TargetMode="External"/><Relationship Id="rId1272" Type="http://schemas.openxmlformats.org/officeDocument/2006/relationships/hyperlink" Target="https://myiipea.com/media/etudiant/photo/WhatsApp_Image_2023-09-29_at_18.18.28.jpeg" TargetMode="External"/><Relationship Id="rId1273" Type="http://schemas.openxmlformats.org/officeDocument/2006/relationships/hyperlink" Target="https://myiipea.com/media/etudiant/photo/WhatsApp_Image_2023-10-09_at_4.37.32_PM.jpeg" TargetMode="External"/><Relationship Id="rId1274" Type="http://schemas.openxmlformats.org/officeDocument/2006/relationships/hyperlink" Target="https://myiipea.com/media/etudiant/photo/WhatsApp_Image_2023-10-26_at_13.29.56.jpeg" TargetMode="External"/><Relationship Id="rId444" Type="http://schemas.openxmlformats.org/officeDocument/2006/relationships/hyperlink" Target="https://myiipea.com/media/etudiant/photo/WhatsApp_Image_2023-10-28_at_13.00.38.jpeg" TargetMode="External"/><Relationship Id="rId1275" Type="http://schemas.openxmlformats.org/officeDocument/2006/relationships/hyperlink" Target="https://myiipea.com/media/etudiant/photo/WhatsApp_Image_2023-10-05_at_10.52.51.jpeg" TargetMode="External"/><Relationship Id="rId443" Type="http://schemas.openxmlformats.org/officeDocument/2006/relationships/hyperlink" Target="https://myiipea.com/media/etudiant/photo/WhatsApp_Image_2023-09-26_at_15.53.24.jpeg" TargetMode="External"/><Relationship Id="rId1276" Type="http://schemas.openxmlformats.org/officeDocument/2006/relationships/hyperlink" Target="https://myiipea.com/media/etudiant/photo/WhatsApp_Image_2023-10-18_at_12.14.03.jpeg" TargetMode="External"/><Relationship Id="rId442" Type="http://schemas.openxmlformats.org/officeDocument/2006/relationships/hyperlink" Target="https://myiipea.com/media/etudiant/photo/WhatsApp_Image_2023-09-22_at_12.49.26.jpeg" TargetMode="External"/><Relationship Id="rId1277" Type="http://schemas.openxmlformats.org/officeDocument/2006/relationships/hyperlink" Target="https://myiipea.com/media/etudiant/photo/WhatsApp_Image_2023-10-17_at_09.55.03.jpeg" TargetMode="External"/><Relationship Id="rId441" Type="http://schemas.openxmlformats.org/officeDocument/2006/relationships/hyperlink" Target="https://myiipea.com/media/etudiant/photo/WhatsApp_Image_2023-10-23_at_15.22.59_5.jpeg" TargetMode="External"/><Relationship Id="rId1278" Type="http://schemas.openxmlformats.org/officeDocument/2006/relationships/hyperlink" Target="https://myiipea.com/media/etudiant/photo/WhatsApp_Image_2023-09-26_at_16.27.43.jpeg" TargetMode="External"/><Relationship Id="rId1268" Type="http://schemas.openxmlformats.org/officeDocument/2006/relationships/hyperlink" Target="https://myiipea.com/media/etudiant/photo/Logo_EMATECH_o8oSXSU.png" TargetMode="External"/><Relationship Id="rId2599" Type="http://schemas.openxmlformats.org/officeDocument/2006/relationships/hyperlink" Target="https://myiipea.com/media/etudiant/photo/WhatsApp_Image_2023-09-21_at_09.52.26.jpeg" TargetMode="External"/><Relationship Id="rId1269" Type="http://schemas.openxmlformats.org/officeDocument/2006/relationships/hyperlink" Target="https://myiipea.com/media/etudiant/photo/WhatsApp_Image_2023-10-04_at_16.35.47.jpeg" TargetMode="External"/><Relationship Id="rId437" Type="http://schemas.openxmlformats.org/officeDocument/2006/relationships/hyperlink" Target="https://myiipea.com/media/etudiant/photo/WhatsApp_Image_2023-10-20_at_19.08.59.jpeg" TargetMode="External"/><Relationship Id="rId436" Type="http://schemas.openxmlformats.org/officeDocument/2006/relationships/hyperlink" Target="https://myiipea.com/media/etudiant/photo/WhatsApp_Image_2023-10-02_at_12.52.00.jpeg" TargetMode="External"/><Relationship Id="rId435" Type="http://schemas.openxmlformats.org/officeDocument/2006/relationships/hyperlink" Target="https://myiipea.com/media/etudiant/photo/WhatsApp_Image_2023-10-05_at_13.55.06.jpeg" TargetMode="External"/><Relationship Id="rId434" Type="http://schemas.openxmlformats.org/officeDocument/2006/relationships/hyperlink" Target="https://myiipea.com/media/etudiant/photo/BAH.jpg" TargetMode="External"/><Relationship Id="rId439" Type="http://schemas.openxmlformats.org/officeDocument/2006/relationships/hyperlink" Target="https://myiipea.com/media/etudiant/photo/Logo_EMATECH_D5oJ1w0.png" TargetMode="External"/><Relationship Id="rId438" Type="http://schemas.openxmlformats.org/officeDocument/2006/relationships/hyperlink" Target="https://myiipea.com/media/etudiant/photo/WhatsApp_Image_2023-10-23_at_09.56.54.jpeg" TargetMode="External"/><Relationship Id="rId2590" Type="http://schemas.openxmlformats.org/officeDocument/2006/relationships/hyperlink" Target="https://myiipea.com/media/etudiant/photo/WhatsApp_Image_2023-11-02_at_6.34.37_PM.jpeg" TargetMode="External"/><Relationship Id="rId1260" Type="http://schemas.openxmlformats.org/officeDocument/2006/relationships/hyperlink" Target="https://myiipea.com/media/etudiant/photo/WhatsApp_Image_2023-10-20_at_12.18.22.jpeg" TargetMode="External"/><Relationship Id="rId2591" Type="http://schemas.openxmlformats.org/officeDocument/2006/relationships/hyperlink" Target="https://myiipea.com/media/etudiant/photo/WhatsApp_Image_2023-09-28_at_16_resized.png" TargetMode="External"/><Relationship Id="rId1261" Type="http://schemas.openxmlformats.org/officeDocument/2006/relationships/hyperlink" Target="https://myiipea.com/media/etudiant/photo/WhatsApp_Image_2023-10-27_at_13.06.58.jpeg" TargetMode="External"/><Relationship Id="rId2592" Type="http://schemas.openxmlformats.org/officeDocument/2006/relationships/hyperlink" Target="https://myiipea.com/media/etudiant/photo/WhatsApp_Image_2023-10-16_at_5.52.34_PM.jpeg" TargetMode="External"/><Relationship Id="rId1262" Type="http://schemas.openxmlformats.org/officeDocument/2006/relationships/hyperlink" Target="https://myiipea.com/media/etudiant/photo/WhatsApp_Image_2023-11-13_at_11.03.08.jpeg" TargetMode="External"/><Relationship Id="rId2593" Type="http://schemas.openxmlformats.org/officeDocument/2006/relationships/hyperlink" Target="https://myiipea.com/media/etudiant/photo/WhatsApp_Image_2023-10-30_at_16.23.01.jpeg" TargetMode="External"/><Relationship Id="rId1263" Type="http://schemas.openxmlformats.org/officeDocument/2006/relationships/hyperlink" Target="https://myiipea.com/media/etudiant/photo/WhatsApp_Image_2023-10-05_at_15.07.19.jpeg" TargetMode="External"/><Relationship Id="rId2594" Type="http://schemas.openxmlformats.org/officeDocument/2006/relationships/hyperlink" Target="https://myiipea.com/media/etudiant/photo/WhatsApp_Image_2023-09-29_at_15.22.28.jpeg" TargetMode="External"/><Relationship Id="rId433" Type="http://schemas.openxmlformats.org/officeDocument/2006/relationships/hyperlink" Target="https://myiipea.com/media/etudiant/photo/WhatsApp_Image_2023-10-25_at_11.34.17.jpeg" TargetMode="External"/><Relationship Id="rId1264" Type="http://schemas.openxmlformats.org/officeDocument/2006/relationships/hyperlink" Target="https://myiipea.com/media/etudiant/photo/WhatsApp_Image_2023-11-14_at_15.18.30.jpeg" TargetMode="External"/><Relationship Id="rId2595" Type="http://schemas.openxmlformats.org/officeDocument/2006/relationships/hyperlink" Target="https://myiipea.com/media/etudiant/photo/WhatsApp_Image_2023-10-18_at_09.59.31.jpeg" TargetMode="External"/><Relationship Id="rId432" Type="http://schemas.openxmlformats.org/officeDocument/2006/relationships/hyperlink" Target="https://myiipea.com/media/etudiant/photo/WhatsApp_Image_2023-10-13_at_12.52.46.jpeg" TargetMode="External"/><Relationship Id="rId1265" Type="http://schemas.openxmlformats.org/officeDocument/2006/relationships/hyperlink" Target="https://myiipea.com/media/etudiant/photo/WhatsApp_Image_2023-10-16_at_17.46.32.jpeg" TargetMode="External"/><Relationship Id="rId2596" Type="http://schemas.openxmlformats.org/officeDocument/2006/relationships/hyperlink" Target="https://myiipea.com/media/etudiant/photo/WhatsApp_Image_2023-10-04_at_11.30.27.jpeg" TargetMode="External"/><Relationship Id="rId431" Type="http://schemas.openxmlformats.org/officeDocument/2006/relationships/hyperlink" Target="https://myiipea.com/media/etudiant/photo/WhatsApp_Image_2023-10-10_at_10.30.30.jpeg" TargetMode="External"/><Relationship Id="rId1266" Type="http://schemas.openxmlformats.org/officeDocument/2006/relationships/hyperlink" Target="https://myiipea.com/media/etudiant/photo/WhatsApp_Image_2023-10-10_at_12.51.30.jpeg" TargetMode="External"/><Relationship Id="rId2597" Type="http://schemas.openxmlformats.org/officeDocument/2006/relationships/hyperlink" Target="https://myiipea.com/media/etudiant/photo/WhatsApp_Image_2023-10-23_at_13.41.23.jpeg" TargetMode="External"/><Relationship Id="rId430" Type="http://schemas.openxmlformats.org/officeDocument/2006/relationships/hyperlink" Target="https://myiipea.com/media/etudiant/photo/WhatsApp_Image_2023-10-02_at_12.40.20_1_Spb273m.jpeg" TargetMode="External"/><Relationship Id="rId1267" Type="http://schemas.openxmlformats.org/officeDocument/2006/relationships/hyperlink" Target="https://myiipea.com/media/etudiant/photo/239422487_405915444207421_8131329350063382999_n_ZykDQ84.jpg" TargetMode="External"/><Relationship Id="rId2598" Type="http://schemas.openxmlformats.org/officeDocument/2006/relationships/hyperlink" Target="https://myiipea.com/media/etudiant/photo/WhatsApp_Image_2023-10-12_at_12_resized.png" TargetMode="External"/><Relationship Id="rId3070" Type="http://schemas.openxmlformats.org/officeDocument/2006/relationships/hyperlink" Target="https://myiipea.com/media/etudiant/photo/WhatsApp_Image_2023-10-10_at_12.32.24.jpeg" TargetMode="External"/><Relationship Id="rId3072" Type="http://schemas.openxmlformats.org/officeDocument/2006/relationships/hyperlink" Target="https://myiipea.com/media/etudiant/photo/WhatsApp_Image_2023-10-03_at_12.52.36.jpeg" TargetMode="External"/><Relationship Id="rId3071" Type="http://schemas.openxmlformats.org/officeDocument/2006/relationships/hyperlink" Target="https://myiipea.com/media/etudiant/photo/WhatsApp_Image_2023-09-28_at_17.38.26.jpeg" TargetMode="External"/><Relationship Id="rId3074" Type="http://schemas.openxmlformats.org/officeDocument/2006/relationships/hyperlink" Target="https://myiipea.com/media/etudiant/photo/WhatsApp_Image_2023-10-24_at_15.24.47.jpeg" TargetMode="External"/><Relationship Id="rId3073" Type="http://schemas.openxmlformats.org/officeDocument/2006/relationships/hyperlink" Target="https://myiipea.com/media/etudiant/photo/WhatsApp_Image_2023-10-05_at_16.37.23.jpeg" TargetMode="External"/><Relationship Id="rId3076" Type="http://schemas.openxmlformats.org/officeDocument/2006/relationships/hyperlink" Target="https://myiipea.com/media/etudiant/photo/WhatsApp_Image_2023-11-20_at_09.31.40.jpeg" TargetMode="External"/><Relationship Id="rId3075" Type="http://schemas.openxmlformats.org/officeDocument/2006/relationships/hyperlink" Target="https://myiipea.com/media/etudiant/photo/WhatsApp_Image_2023-10-05_at_12.32.16.jpeg" TargetMode="External"/><Relationship Id="rId3078" Type="http://schemas.openxmlformats.org/officeDocument/2006/relationships/hyperlink" Target="https://myiipea.com/media/etudiant/photo/WhatsApp_Image_2023-10-11_at_16_resized.png" TargetMode="External"/><Relationship Id="rId3077" Type="http://schemas.openxmlformats.org/officeDocument/2006/relationships/hyperlink" Target="https://myiipea.com/media/etudiant/photo/WhatsApp_Image_2023-10-09_at_15.22.24.jpeg" TargetMode="External"/><Relationship Id="rId3079" Type="http://schemas.openxmlformats.org/officeDocument/2006/relationships/hyperlink" Target="https://myiipea.com/media/etudiant/photo/WhatsApp_Image_2023-10-05_at_09.57.55.jpeg" TargetMode="External"/><Relationship Id="rId3061" Type="http://schemas.openxmlformats.org/officeDocument/2006/relationships/hyperlink" Target="https://myiipea.com/media/etudiant/photo/ee805a7a-bd0f-4cfc-a70e-cbab604ca96a_ckyYOjY.jpeg" TargetMode="External"/><Relationship Id="rId3060" Type="http://schemas.openxmlformats.org/officeDocument/2006/relationships/hyperlink" Target="https://myiipea.com/media/etudiant/photo/WhatsApp_Image_2023-10-02_at_7_resized.png" TargetMode="External"/><Relationship Id="rId3063" Type="http://schemas.openxmlformats.org/officeDocument/2006/relationships/hyperlink" Target="https://myiipea.com/media/etudiant/photo/WhatsApp_Image_2023-11-13_at_11.02.07_AM.jpeg" TargetMode="External"/><Relationship Id="rId3062" Type="http://schemas.openxmlformats.org/officeDocument/2006/relationships/hyperlink" Target="https://myiipea.com/media/etudiant/photo/WhatsApp_Image_2023-10-05_at_14.04.56.jpeg" TargetMode="External"/><Relationship Id="rId3065" Type="http://schemas.openxmlformats.org/officeDocument/2006/relationships/hyperlink" Target="https://myiipea.com/media/etudiant/photo/WhatsApp_Image_2023-10-02_at_14.35.59.jpeg" TargetMode="External"/><Relationship Id="rId3064" Type="http://schemas.openxmlformats.org/officeDocument/2006/relationships/hyperlink" Target="https://myiipea.com/media/etudiant/photo/WhatsApp_Image_2023-10-06_at_14.12.12.jpeg" TargetMode="External"/><Relationship Id="rId3067" Type="http://schemas.openxmlformats.org/officeDocument/2006/relationships/hyperlink" Target="https://myiipea.com/media/etudiant/photo/WhatsApp_Image_2023-09-28_at_13.24.33.jpeg" TargetMode="External"/><Relationship Id="rId3066" Type="http://schemas.openxmlformats.org/officeDocument/2006/relationships/hyperlink" Target="https://myiipea.com/media/etudiant/photo/WhatsApp_Image_2023-10-13_at_16.55.46_VtaW6Dc.jpeg" TargetMode="External"/><Relationship Id="rId3069" Type="http://schemas.openxmlformats.org/officeDocument/2006/relationships/hyperlink" Target="https://myiipea.com/media/etudiant/photo/WhatsApp_Image_2023-10-02_at_13.20.52.jpeg" TargetMode="External"/><Relationship Id="rId3068" Type="http://schemas.openxmlformats.org/officeDocument/2006/relationships/hyperlink" Target="https://myiipea.com/media/etudiant/photo/IIPEA_Bn4Cl05.jpg" TargetMode="External"/><Relationship Id="rId3090" Type="http://schemas.openxmlformats.org/officeDocument/2006/relationships/hyperlink" Target="https://myiipea.com/media/etudiant/photo/WhatsApp_Image_2023-09-26_%C3%A0_17.12.13.jpg" TargetMode="External"/><Relationship Id="rId3092" Type="http://schemas.openxmlformats.org/officeDocument/2006/relationships/hyperlink" Target="https://myiipea.com/media/etudiant/photo/WhatsApp_Image_2023-10-12_at_10.31.08.jpeg" TargetMode="External"/><Relationship Id="rId3091" Type="http://schemas.openxmlformats.org/officeDocument/2006/relationships/hyperlink" Target="https://myiipea.com/media/etudiant/photo/WhatsApp_Image_2023-10-02_at_15.24.31.jpeg" TargetMode="External"/><Relationship Id="rId3094" Type="http://schemas.openxmlformats.org/officeDocument/2006/relationships/hyperlink" Target="https://myiipea.com/media/etudiant/photo/WhatsApp_Image_2023-10-12_at_09.40.39.jpeg" TargetMode="External"/><Relationship Id="rId3093" Type="http://schemas.openxmlformats.org/officeDocument/2006/relationships/hyperlink" Target="https://myiipea.com/media/etudiant/photo/WhatsApp_Image_2023-10-10_at_10.43.33.jpeg" TargetMode="External"/><Relationship Id="rId3096" Type="http://schemas.openxmlformats.org/officeDocument/2006/relationships/hyperlink" Target="https://myiipea.com/media/etudiant/photo/WhatsApp_Image_2023-10-20_at_14.48.13.jpeg" TargetMode="External"/><Relationship Id="rId3095" Type="http://schemas.openxmlformats.org/officeDocument/2006/relationships/hyperlink" Target="https://myiipea.com/media/etudiant/photo/WhatsApp_Image_2023-11-09_at_09.50.11.jpeg" TargetMode="External"/><Relationship Id="rId3098" Type="http://schemas.openxmlformats.org/officeDocument/2006/relationships/hyperlink" Target="https://myiipea.com/media/etudiant/photo/WhatsApp_Image_2023-10-02_at_16.36.52545545.jpeg" TargetMode="External"/><Relationship Id="rId3097" Type="http://schemas.openxmlformats.org/officeDocument/2006/relationships/hyperlink" Target="https://myiipea.com/media/etudiant/photo/WhatsApp_Image_2023-11-02_at_2.59.51_PM.jpeg" TargetMode="External"/><Relationship Id="rId3099" Type="http://schemas.openxmlformats.org/officeDocument/2006/relationships/hyperlink" Target="https://myiipea.com/media/etudiant/photo/WhatsApp_Image_2023-10-12_at_15.49.52.jpeg" TargetMode="External"/><Relationship Id="rId3081" Type="http://schemas.openxmlformats.org/officeDocument/2006/relationships/hyperlink" Target="https://myiipea.com/media/etudiant/photo/WhatsApp_Image_2023-10-25_at_09.26.49.jpeg" TargetMode="External"/><Relationship Id="rId3080" Type="http://schemas.openxmlformats.org/officeDocument/2006/relationships/hyperlink" Target="https://myiipea.com/media/etudiant/photo/WhatsApp_Image_2023-10-03_at_08.42.31.jpeg" TargetMode="External"/><Relationship Id="rId3083" Type="http://schemas.openxmlformats.org/officeDocument/2006/relationships/hyperlink" Target="https://myiipea.com/media/etudiant/photo/WhatsApp_Image_2023-10-25_at_12.57.33.jpeg" TargetMode="External"/><Relationship Id="rId3082" Type="http://schemas.openxmlformats.org/officeDocument/2006/relationships/hyperlink" Target="https://myiipea.com/media/etudiant/photo/WhatsApp_Image_2023-11-08_at_12.44.56_PM.jpeg" TargetMode="External"/><Relationship Id="rId3085" Type="http://schemas.openxmlformats.org/officeDocument/2006/relationships/hyperlink" Target="https://myiipea.com/media/etudiant/photo/WhatsApp_Image_2023-10-09_at_19.56.41.jpeg" TargetMode="External"/><Relationship Id="rId3084" Type="http://schemas.openxmlformats.org/officeDocument/2006/relationships/hyperlink" Target="https://myiipea.com/media/etudiant/photo/WhatsApp_Image_2023-11-06_at_15_resized.png" TargetMode="External"/><Relationship Id="rId3087" Type="http://schemas.openxmlformats.org/officeDocument/2006/relationships/hyperlink" Target="https://myiipea.com/media/etudiant/photo/WhatsApp_Image_2023-10-06_at_10.35.11.jpeg" TargetMode="External"/><Relationship Id="rId3086" Type="http://schemas.openxmlformats.org/officeDocument/2006/relationships/hyperlink" Target="https://myiipea.com/media/etudiant/photo/WhatsApp_Image_2023-10-17_at_12.05.39.jpeg" TargetMode="External"/><Relationship Id="rId3089" Type="http://schemas.openxmlformats.org/officeDocument/2006/relationships/hyperlink" Target="https://myiipea.com/media/etudiant/photo/WhatsApp_Image_2023-09-25_at_12.40.15.jpeg" TargetMode="External"/><Relationship Id="rId3088" Type="http://schemas.openxmlformats.org/officeDocument/2006/relationships/hyperlink" Target="https://myiipea.com/media/etudiant/photo/WhatsApp_Image_2023-11-06_at_4.17.46_PM.jpeg" TargetMode="External"/><Relationship Id="rId3039" Type="http://schemas.openxmlformats.org/officeDocument/2006/relationships/hyperlink" Target="https://myiipea.com/media/etudiant/photo/WhatsApp_Image_2023-09-25_at_12.28.20.jpeg" TargetMode="External"/><Relationship Id="rId1" Type="http://schemas.openxmlformats.org/officeDocument/2006/relationships/hyperlink" Target="https://myiipea.com/media/etudiant/photo/WhatsApp_Image_2023-09-26_at_11.24.45.jpeg" TargetMode="External"/><Relationship Id="rId2" Type="http://schemas.openxmlformats.org/officeDocument/2006/relationships/hyperlink" Target="https://myiipea.com/media/etudiant/photo/WhatsApp_Image_2023-10-11_at_6.29.20_PM.jpeg" TargetMode="External"/><Relationship Id="rId3" Type="http://schemas.openxmlformats.org/officeDocument/2006/relationships/hyperlink" Target="https://myiipea.com/media/etudiant/photo/WhatsApp_Image_2023-12-01_at_4_resized_vZvBgAZ_resized.png" TargetMode="External"/><Relationship Id="rId4" Type="http://schemas.openxmlformats.org/officeDocument/2006/relationships/hyperlink" Target="https://myiipea.com/media/etudiant/photo/WhatsApp_Image_2023-10-18_at_11.08.38.jpeg" TargetMode="External"/><Relationship Id="rId3030" Type="http://schemas.openxmlformats.org/officeDocument/2006/relationships/hyperlink" Target="https://myiipea.com/media/etudiant/photo/WhatsApp_Image_2023-10-10_at_09.09.13.jpeg" TargetMode="External"/><Relationship Id="rId9" Type="http://schemas.openxmlformats.org/officeDocument/2006/relationships/hyperlink" Target="https://myiipea.com/media/etudiant/photo/IIPEA_2sKv3Ao.png" TargetMode="External"/><Relationship Id="rId3032" Type="http://schemas.openxmlformats.org/officeDocument/2006/relationships/hyperlink" Target="https://myiipea.com/media/etudiant/photo/WhatsApp_Image_2023-10-16_at_09.41.00.jpeg" TargetMode="External"/><Relationship Id="rId3031" Type="http://schemas.openxmlformats.org/officeDocument/2006/relationships/hyperlink" Target="https://myiipea.com/media/etudiant/photo/WhatsApp_Image_2023-10-03_at_12.41.10.jpeg" TargetMode="External"/><Relationship Id="rId3034" Type="http://schemas.openxmlformats.org/officeDocument/2006/relationships/hyperlink" Target="https://myiipea.com/media/etudiant/photo/WhatsApp_Image_2023-11-13_at_2_resized_yYYCkXJ.png" TargetMode="External"/><Relationship Id="rId3033" Type="http://schemas.openxmlformats.org/officeDocument/2006/relationships/hyperlink" Target="https://myiipea.com/media/etudiant/photo/WhatsApp_Image_2023-10-04_at_14.11.49.jpeg" TargetMode="External"/><Relationship Id="rId5" Type="http://schemas.openxmlformats.org/officeDocument/2006/relationships/hyperlink" Target="https://myiipea.com/media/etudiant/photo/WhatsApp_Image_2023-10-23_at_11.12.47.jpeg" TargetMode="External"/><Relationship Id="rId3036" Type="http://schemas.openxmlformats.org/officeDocument/2006/relationships/hyperlink" Target="https://myiipea.com/media/etudiant/photo/WhatsApp_Image_2023-10-17_at_18.58.10.jpeg" TargetMode="External"/><Relationship Id="rId6" Type="http://schemas.openxmlformats.org/officeDocument/2006/relationships/hyperlink" Target="https://myiipea.com/media/etudiant/photo/WhatsApp_Image_2023-09-29_at_14.39.47.jpeg" TargetMode="External"/><Relationship Id="rId3035" Type="http://schemas.openxmlformats.org/officeDocument/2006/relationships/hyperlink" Target="https://myiipea.com/media/etudiant/photo/IIPEA2_Pwg9C70.jpeg" TargetMode="External"/><Relationship Id="rId7" Type="http://schemas.openxmlformats.org/officeDocument/2006/relationships/hyperlink" Target="https://myiipea.com/media/etudiant/photo/WhatsApp_Image_2023-10-13_at_14.57.04.jpeg" TargetMode="External"/><Relationship Id="rId3038" Type="http://schemas.openxmlformats.org/officeDocument/2006/relationships/hyperlink" Target="https://myiipea.com/media/etudiant/photo/WhatsApp_Image_2023-10-03_at_15.44.04.jpeg" TargetMode="External"/><Relationship Id="rId8" Type="http://schemas.openxmlformats.org/officeDocument/2006/relationships/hyperlink" Target="https://myiipea.com/media/etudiant/photo/WhatsApp_Image_2023-09-28_at_14.25.27.jpeg" TargetMode="External"/><Relationship Id="rId3037" Type="http://schemas.openxmlformats.org/officeDocument/2006/relationships/hyperlink" Target="https://myiipea.com/media/etudiant/photo/WhatsApp_Image_2023-10-09_at_14.04.39.jpeg" TargetMode="External"/><Relationship Id="rId3029" Type="http://schemas.openxmlformats.org/officeDocument/2006/relationships/hyperlink" Target="https://myiipea.com/media/etudiant/photo/WhatsApp_Image_2023-10-03_at_4.39.23_PM.jpeg" TargetMode="External"/><Relationship Id="rId3028" Type="http://schemas.openxmlformats.org/officeDocument/2006/relationships/hyperlink" Target="https://myiipea.com/media/etudiant/photo/WhatsApp_Image_2023-10-04_at_15.31.34.jpeg" TargetMode="External"/><Relationship Id="rId3021" Type="http://schemas.openxmlformats.org/officeDocument/2006/relationships/hyperlink" Target="https://myiipea.com/media/etudiant/photo/WhatsApp_Image_2023-12-04_at_10_resized.png" TargetMode="External"/><Relationship Id="rId3020" Type="http://schemas.openxmlformats.org/officeDocument/2006/relationships/hyperlink" Target="https://myiipea.com/media/etudiant/photo/WhatsApp_Image_2023-10-26_at_09.49.35.jpeg" TargetMode="External"/><Relationship Id="rId3023" Type="http://schemas.openxmlformats.org/officeDocument/2006/relationships/hyperlink" Target="https://myiipea.com/media/etudiant/photo/WhatsApp_Image_2023-10-13_at_11.29.39.jpeg" TargetMode="External"/><Relationship Id="rId3022" Type="http://schemas.openxmlformats.org/officeDocument/2006/relationships/hyperlink" Target="https://myiipea.com/media/etudiant/photo/WhatsApp_Image_2023-11-06_at_3.15.56_PM.jpeg" TargetMode="External"/><Relationship Id="rId3025" Type="http://schemas.openxmlformats.org/officeDocument/2006/relationships/hyperlink" Target="https://myiipea.com/media/etudiant/photo/t%C3%A9l%C3%A9chargement_eoZoLHd.png" TargetMode="External"/><Relationship Id="rId3024" Type="http://schemas.openxmlformats.org/officeDocument/2006/relationships/hyperlink" Target="https://myiipea.com/media/etudiant/photo/WhatsApp_Image_2023-10-31_at_10.14.49.jpeg" TargetMode="External"/><Relationship Id="rId3027" Type="http://schemas.openxmlformats.org/officeDocument/2006/relationships/hyperlink" Target="https://myiipea.com/media/etudiant/photo/WhatsApp_Image_2023-10-11_at_15.58.42.jpeg" TargetMode="External"/><Relationship Id="rId3026" Type="http://schemas.openxmlformats.org/officeDocument/2006/relationships/hyperlink" Target="https://myiipea.com/media/etudiant/photo/WhatsApp_Image_2023-10-03_at_09.17.05.jpeg" TargetMode="External"/><Relationship Id="rId3050" Type="http://schemas.openxmlformats.org/officeDocument/2006/relationships/hyperlink" Target="https://myiipea.com/media/etudiant/photo/WhatsApp_Image_2023-10-16_at_11.58.11_AM.jpeg" TargetMode="External"/><Relationship Id="rId3052" Type="http://schemas.openxmlformats.org/officeDocument/2006/relationships/hyperlink" Target="https://myiipea.com/media/etudiant/photo/WhatsApp_Image_2023-10-13_at_18.23.53.jpeg" TargetMode="External"/><Relationship Id="rId3051" Type="http://schemas.openxmlformats.org/officeDocument/2006/relationships/hyperlink" Target="https://myiipea.com/media/etudiant/photo/WhatsApp_Image_2023-09-21_at_17.26.01.jpeg" TargetMode="External"/><Relationship Id="rId3054" Type="http://schemas.openxmlformats.org/officeDocument/2006/relationships/hyperlink" Target="https://myiipea.com/media/etudiant/photo/WhatsApp_Image_2023-11-10_at_10_resized.png" TargetMode="External"/><Relationship Id="rId3053" Type="http://schemas.openxmlformats.org/officeDocument/2006/relationships/hyperlink" Target="https://myiipea.com/media/etudiant/photo/WhatsApp_Image_2023-10-28_at_13.25.49.jpeg" TargetMode="External"/><Relationship Id="rId3056" Type="http://schemas.openxmlformats.org/officeDocument/2006/relationships/hyperlink" Target="https://myiipea.com/media/etudiant/photo/WhatsApp_Image_2023-10-05_at_11.56.08.jpeg" TargetMode="External"/><Relationship Id="rId3055" Type="http://schemas.openxmlformats.org/officeDocument/2006/relationships/hyperlink" Target="https://myiipea.com/media/etudiant/photo/WhatsApp_Image_2023-10-04_at_13.33.39.jpeg" TargetMode="External"/><Relationship Id="rId3058" Type="http://schemas.openxmlformats.org/officeDocument/2006/relationships/hyperlink" Target="https://myiipea.com/media/etudiant/photo/WhatsApp_Image_2023-11-23_at_10.51.47.jpeg" TargetMode="External"/><Relationship Id="rId3057" Type="http://schemas.openxmlformats.org/officeDocument/2006/relationships/hyperlink" Target="https://myiipea.com/media/etudiant/photo/WhatsApp_Image_2023-11-03_at_13.26.33.jpeg" TargetMode="External"/><Relationship Id="rId3059" Type="http://schemas.openxmlformats.org/officeDocument/2006/relationships/hyperlink" Target="https://myiipea.com/media/etudiant/photo/WhatsApp_Image_2023-10-27_at_6.07.05_PM.jpeg" TargetMode="External"/><Relationship Id="rId3041" Type="http://schemas.openxmlformats.org/officeDocument/2006/relationships/hyperlink" Target="https://myiipea.com/media/etudiant/photo/WhatsApp_Image_2023-10-09_at_19.24.32.jpeg" TargetMode="External"/><Relationship Id="rId3040" Type="http://schemas.openxmlformats.org/officeDocument/2006/relationships/hyperlink" Target="https://myiipea.com/media/etudiant/photo/WhatsApp_Image_2023-10-17_at_13.55.13.jpeg" TargetMode="External"/><Relationship Id="rId3043" Type="http://schemas.openxmlformats.org/officeDocument/2006/relationships/hyperlink" Target="https://myiipea.com/media/etudiant/photo/WhatsApp_Image_2023-10-20_at_13.39.23.jpeg" TargetMode="External"/><Relationship Id="rId3042" Type="http://schemas.openxmlformats.org/officeDocument/2006/relationships/hyperlink" Target="https://myiipea.com/media/etudiant/photo/WhatsApp_Image_2023-10-05_at_15.41.06.jpeg" TargetMode="External"/><Relationship Id="rId3045" Type="http://schemas.openxmlformats.org/officeDocument/2006/relationships/hyperlink" Target="https://myiipea.com/media/etudiant/photo/WhatsApp_Image_2023-10-14_at_09.43.38.jpeg" TargetMode="External"/><Relationship Id="rId3044" Type="http://schemas.openxmlformats.org/officeDocument/2006/relationships/hyperlink" Target="https://myiipea.com/media/etudiant/photo/WhatsApp_Image_2023-10-20_at_13.39.36.jpeg" TargetMode="External"/><Relationship Id="rId3047" Type="http://schemas.openxmlformats.org/officeDocument/2006/relationships/hyperlink" Target="https://myiipea.com/media/etudiant/photo/WhatsApp_Image_2023-11-22_at_15.44.05.jpeg" TargetMode="External"/><Relationship Id="rId3046" Type="http://schemas.openxmlformats.org/officeDocument/2006/relationships/hyperlink" Target="https://myiipea.com/media/etudiant/photo/WhatsApp_Image_2023-10-03_at_11_resized_IrbE0ah.png" TargetMode="External"/><Relationship Id="rId3049" Type="http://schemas.openxmlformats.org/officeDocument/2006/relationships/hyperlink" Target="https://myiipea.com/media/etudiant/photo/WhatsApp_Image_2023-11-07_at_3.47.03_PM.jpeg" TargetMode="External"/><Relationship Id="rId3048" Type="http://schemas.openxmlformats.org/officeDocument/2006/relationships/hyperlink" Target="https://myiipea.com/media/etudiant/photo/WhatsApp_Image_2023-10-25_at_14.19.25_1.jpeg" TargetMode="External"/><Relationship Id="rId2600" Type="http://schemas.openxmlformats.org/officeDocument/2006/relationships/hyperlink" Target="https://myiipea.com/media/etudiant/photo/WhatsApp_Image_2023-09-19_%C3%A0_11.40.22.jpg" TargetMode="External"/><Relationship Id="rId2601" Type="http://schemas.openxmlformats.org/officeDocument/2006/relationships/hyperlink" Target="https://myiipea.com/media/etudiant/photo/MONI.jpg" TargetMode="External"/><Relationship Id="rId2602" Type="http://schemas.openxmlformats.org/officeDocument/2006/relationships/hyperlink" Target="https://myiipea.com/media/etudiant/photo/WhatsApp_Image_2023-09-28_at_15.18.17.jpeg" TargetMode="External"/><Relationship Id="rId2603" Type="http://schemas.openxmlformats.org/officeDocument/2006/relationships/hyperlink" Target="https://myiipea.com/media/etudiant/photo/WhatsApp_Image_2023-10-20_at_14.17.38.jpeg" TargetMode="External"/><Relationship Id="rId2604" Type="http://schemas.openxmlformats.org/officeDocument/2006/relationships/hyperlink" Target="https://myiipea.com/media/etudiant/photo/WhatsApp_Image_2023-10-02_at_13.25.59.jpeg" TargetMode="External"/><Relationship Id="rId2605" Type="http://schemas.openxmlformats.org/officeDocument/2006/relationships/hyperlink" Target="https://myiipea.com/media/etudiant/photo/CHARLES.jpg" TargetMode="External"/><Relationship Id="rId2606" Type="http://schemas.openxmlformats.org/officeDocument/2006/relationships/hyperlink" Target="https://myiipea.com/media/etudiant/photo/WhatsApp_Image_2023-10-05_at_13.10.54.jpeg" TargetMode="External"/><Relationship Id="rId808" Type="http://schemas.openxmlformats.org/officeDocument/2006/relationships/hyperlink" Target="https://myiipea.com/media/etudiant/photo/WhatsApp_Image_2023-10-09_at_11.12.00.jpeg" TargetMode="External"/><Relationship Id="rId2607" Type="http://schemas.openxmlformats.org/officeDocument/2006/relationships/hyperlink" Target="https://myiipea.com/media/etudiant/photo/WhatsApp_Image_2023-10-09_at_11.06.26.jpeg" TargetMode="External"/><Relationship Id="rId807" Type="http://schemas.openxmlformats.org/officeDocument/2006/relationships/hyperlink" Target="https://myiipea.com/media/etudiant/photo/WhatsApp_Image_2023-10-06_at_15.03.19.jpeg" TargetMode="External"/><Relationship Id="rId2608" Type="http://schemas.openxmlformats.org/officeDocument/2006/relationships/hyperlink" Target="https://myiipea.com/media/etudiant/photo/WhatsApp_Image_2023-10-02_at_18.12.14.jpeg" TargetMode="External"/><Relationship Id="rId806" Type="http://schemas.openxmlformats.org/officeDocument/2006/relationships/hyperlink" Target="https://myiipea.com/media/etudiant/photo/WhatsApp_Image_2023-10-13_at_09.44.35.jpeg" TargetMode="External"/><Relationship Id="rId2609" Type="http://schemas.openxmlformats.org/officeDocument/2006/relationships/hyperlink" Target="https://myiipea.com/media/etudiant/photo/WhatsApp_Image_2023-10-03_at_12_resized.png" TargetMode="External"/><Relationship Id="rId805" Type="http://schemas.openxmlformats.org/officeDocument/2006/relationships/hyperlink" Target="https://myiipea.com/media/etudiant/photo/WhatsApp_Image_2023-10-04_at_2.53.53_PM.jpeg" TargetMode="External"/><Relationship Id="rId809" Type="http://schemas.openxmlformats.org/officeDocument/2006/relationships/hyperlink" Target="https://myiipea.com/media/etudiant/photo/WhatsApp_Image_2023-10-24_at_17.52.54.jpeg" TargetMode="External"/><Relationship Id="rId800" Type="http://schemas.openxmlformats.org/officeDocument/2006/relationships/hyperlink" Target="https://myiipea.com/media/etudiant/photo/WhatsApp_Image_2023-10-11_at_17.43.52.jpeg" TargetMode="External"/><Relationship Id="rId804" Type="http://schemas.openxmlformats.org/officeDocument/2006/relationships/hyperlink" Target="https://myiipea.com/media/etudiant/photo/WhatsApp_Image_2023-10-31_at_15.50.43.jpeg" TargetMode="External"/><Relationship Id="rId803" Type="http://schemas.openxmlformats.org/officeDocument/2006/relationships/hyperlink" Target="https://myiipea.com/media/etudiant/photo/WhatsApp_Image_2023-11-03_at_16.00.52.jpeg" TargetMode="External"/><Relationship Id="rId802" Type="http://schemas.openxmlformats.org/officeDocument/2006/relationships/hyperlink" Target="https://myiipea.com/media/etudiant/photo/WhatsApp_Image_2023-09-21_at_11.20.22.jpeg" TargetMode="External"/><Relationship Id="rId801" Type="http://schemas.openxmlformats.org/officeDocument/2006/relationships/hyperlink" Target="https://myiipea.com/media/etudiant/photo/WhatsApp_Image_2023-10-02_at_14.04.39.jpeg" TargetMode="External"/><Relationship Id="rId1334" Type="http://schemas.openxmlformats.org/officeDocument/2006/relationships/hyperlink" Target="https://myiipea.com/media/etudiant/photo/WhatsApp_Image_2023-10-03_at_11.14.56_AM_fwXjEqv.jpeg" TargetMode="External"/><Relationship Id="rId2665" Type="http://schemas.openxmlformats.org/officeDocument/2006/relationships/hyperlink" Target="https://myiipea.com/media/etudiant/photo/WhatsApp_Image_2023-10-02_at_13.41.41.jpeg" TargetMode="External"/><Relationship Id="rId1335" Type="http://schemas.openxmlformats.org/officeDocument/2006/relationships/hyperlink" Target="https://myiipea.com/media/etudiant/photo/WhatsApp_Image_2023-10-26_at_09.31.53.jpeg" TargetMode="External"/><Relationship Id="rId2666" Type="http://schemas.openxmlformats.org/officeDocument/2006/relationships/hyperlink" Target="https://myiipea.com/media/etudiant/photo/WhatsApp_Image_2023-09-19_at_15.10.25.jpeg" TargetMode="External"/><Relationship Id="rId1336" Type="http://schemas.openxmlformats.org/officeDocument/2006/relationships/hyperlink" Target="https://myiipea.com/media/etudiant/photo/WhatsApp_Image_2023-10-05_at_11.14.01.jpeg" TargetMode="External"/><Relationship Id="rId2667" Type="http://schemas.openxmlformats.org/officeDocument/2006/relationships/hyperlink" Target="https://myiipea.com/media/etudiant/photo/YAAA.jpg" TargetMode="External"/><Relationship Id="rId1337" Type="http://schemas.openxmlformats.org/officeDocument/2006/relationships/hyperlink" Target="https://myiipea.com/media/etudiant/photo/WhatsApp_Image_2023-10-10_at_13.29.46.jpeg" TargetMode="External"/><Relationship Id="rId2668" Type="http://schemas.openxmlformats.org/officeDocument/2006/relationships/hyperlink" Target="https://myiipea.com/media/etudiant/photo/WhatsApp_Image_2023-10-12_at_09.00.44.jpeg" TargetMode="External"/><Relationship Id="rId1338" Type="http://schemas.openxmlformats.org/officeDocument/2006/relationships/hyperlink" Target="https://myiipea.com/media/etudiant/photo/WhatsApp_Image_2023-10-05_at_13.15.55_1.jpeg" TargetMode="External"/><Relationship Id="rId2669" Type="http://schemas.openxmlformats.org/officeDocument/2006/relationships/hyperlink" Target="https://myiipea.com/media/etudiant/photo/WhatsApp_Image_2023-10-27_at_14.45.49.jpeg" TargetMode="External"/><Relationship Id="rId1339" Type="http://schemas.openxmlformats.org/officeDocument/2006/relationships/hyperlink" Target="https://myiipea.com/media/etudiant/photo/WhatsApp_Image_2023-09-28_at_13.59.34.jpeg" TargetMode="External"/><Relationship Id="rId745" Type="http://schemas.openxmlformats.org/officeDocument/2006/relationships/hyperlink" Target="https://myiipea.com/media/etudiant/photo/WhatsApp_Image_2023-10-04_at_15_resized_xa4fJgq.png" TargetMode="External"/><Relationship Id="rId744" Type="http://schemas.openxmlformats.org/officeDocument/2006/relationships/hyperlink" Target="https://myiipea.com/media/etudiant/photo/WhatsApp_Image_2023-11-13_at_10_resized.png" TargetMode="External"/><Relationship Id="rId743" Type="http://schemas.openxmlformats.org/officeDocument/2006/relationships/hyperlink" Target="https://myiipea.com/media/etudiant/photo/WhatsApp_Image_2023-09-18_at_15_resized.png" TargetMode="External"/><Relationship Id="rId742" Type="http://schemas.openxmlformats.org/officeDocument/2006/relationships/hyperlink" Target="https://myiipea.com/media/etudiant/photo/WhatsApp_Image_2023-11-16_at_11.45.05.jpeg" TargetMode="External"/><Relationship Id="rId749" Type="http://schemas.openxmlformats.org/officeDocument/2006/relationships/hyperlink" Target="https://myiipea.com/media/etudiant/photo/WhatsApp_Image_2023-11-14_at_11.51.36.jpeg" TargetMode="External"/><Relationship Id="rId748" Type="http://schemas.openxmlformats.org/officeDocument/2006/relationships/hyperlink" Target="https://myiipea.com/media/etudiant/photo/WhatsApp_Image_2023-10-02_at_13.41.12.jpeg" TargetMode="External"/><Relationship Id="rId747" Type="http://schemas.openxmlformats.org/officeDocument/2006/relationships/hyperlink" Target="https://myiipea.com/media/etudiant/photo/WhatsApp_Image_2023-09-18_at_12.40.02_1.jpeg" TargetMode="External"/><Relationship Id="rId746" Type="http://schemas.openxmlformats.org/officeDocument/2006/relationships/hyperlink" Target="https://myiipea.com/media/etudiant/photo/WhatsApp_Image_2023-11-14_at_13.02.46.jpeg" TargetMode="External"/><Relationship Id="rId2660" Type="http://schemas.openxmlformats.org/officeDocument/2006/relationships/hyperlink" Target="https://myiipea.com/media/etudiant/photo/WhatsApp_Image_2023-11-16_at_4.28.03_PM.jpeg" TargetMode="External"/><Relationship Id="rId741" Type="http://schemas.openxmlformats.org/officeDocument/2006/relationships/hyperlink" Target="https://myiipea.com/media/etudiant/photo/WhatsApp_Image_2023-11-22_at_14.57.34.jpeg" TargetMode="External"/><Relationship Id="rId1330" Type="http://schemas.openxmlformats.org/officeDocument/2006/relationships/hyperlink" Target="https://myiipea.com/media/etudiant/photo/WhatsApp_Image_2023-10-17_at_10.37.14.jpeg" TargetMode="External"/><Relationship Id="rId2661" Type="http://schemas.openxmlformats.org/officeDocument/2006/relationships/hyperlink" Target="https://myiipea.com/media/etudiant/photo/WhatsApp_Image_2023-09-20_at_16.52.50.jpeg" TargetMode="External"/><Relationship Id="rId740" Type="http://schemas.openxmlformats.org/officeDocument/2006/relationships/hyperlink" Target="https://myiipea.com/media/etudiant/photo/239422487_405915444207421_8131329350063382999_n_lyysKWb.jpg" TargetMode="External"/><Relationship Id="rId1331" Type="http://schemas.openxmlformats.org/officeDocument/2006/relationships/hyperlink" Target="https://myiipea.com/media/etudiant/photo/WhatsApp_Image_2023-10-11_at_09.50.33.jpeg" TargetMode="External"/><Relationship Id="rId2662" Type="http://schemas.openxmlformats.org/officeDocument/2006/relationships/hyperlink" Target="https://myiipea.com/media/etudiant/photo/WhatsApp_Image_2023-10-04_at_14.27.45.jpeg" TargetMode="External"/><Relationship Id="rId1332" Type="http://schemas.openxmlformats.org/officeDocument/2006/relationships/hyperlink" Target="https://myiipea.com/media/etudiant/photo/WhatsApp_Image_2023-10-23_at_15.16.21.jpeg" TargetMode="External"/><Relationship Id="rId2663" Type="http://schemas.openxmlformats.org/officeDocument/2006/relationships/hyperlink" Target="https://myiipea.com/media/etudiant/photo/WhatsApp_Image_2023-10-04_at_3.37.51_PM.jpeg" TargetMode="External"/><Relationship Id="rId1333" Type="http://schemas.openxmlformats.org/officeDocument/2006/relationships/hyperlink" Target="https://myiipea.com/media/etudiant/photo/WhatsApp_Image_2023-10-06_at_11.29.13.jpeg" TargetMode="External"/><Relationship Id="rId2664" Type="http://schemas.openxmlformats.org/officeDocument/2006/relationships/hyperlink" Target="https://myiipea.com/media/etudiant/photo/WhatsApp_Image_2023-10-11_at_15.13.57.jpeg" TargetMode="External"/><Relationship Id="rId1323" Type="http://schemas.openxmlformats.org/officeDocument/2006/relationships/hyperlink" Target="https://myiipea.com/media/etudiant/photo/WhatsApp_Image_2023-11-16_at_15.26.50.jpeg" TargetMode="External"/><Relationship Id="rId2654" Type="http://schemas.openxmlformats.org/officeDocument/2006/relationships/hyperlink" Target="https://myiipea.com/media/etudiant/photo/WhatsApp_Image_2023-09-20_at_14.32.39.jpeg" TargetMode="External"/><Relationship Id="rId1324" Type="http://schemas.openxmlformats.org/officeDocument/2006/relationships/hyperlink" Target="https://myiipea.com/media/etudiant/photo/WhatsApp_Image_2023-10-25_at_12.58.21.jpeg" TargetMode="External"/><Relationship Id="rId2655" Type="http://schemas.openxmlformats.org/officeDocument/2006/relationships/hyperlink" Target="https://myiipea.com/media/etudiant/photo/WhatsApp_Image_2023-11-02_at_11.38.15.jpeg" TargetMode="External"/><Relationship Id="rId1325" Type="http://schemas.openxmlformats.org/officeDocument/2006/relationships/hyperlink" Target="https://myiipea.com/media/etudiant/photo/WhatsApp_Image_2023-10-02_at_4_resized.png" TargetMode="External"/><Relationship Id="rId2656" Type="http://schemas.openxmlformats.org/officeDocument/2006/relationships/hyperlink" Target="https://myiipea.com/media/etudiant/photo/WhatsApp_Image_2023-10-10_at_14.53.53.jpeg" TargetMode="External"/><Relationship Id="rId1326" Type="http://schemas.openxmlformats.org/officeDocument/2006/relationships/hyperlink" Target="https://myiipea.com/media/etudiant/photo/WhatsApp_Image_2023-10-18_at_1.47.45_PM.jpeg" TargetMode="External"/><Relationship Id="rId2657" Type="http://schemas.openxmlformats.org/officeDocument/2006/relationships/hyperlink" Target="https://myiipea.com/media/etudiant/photo/JAPHET.jpg" TargetMode="External"/><Relationship Id="rId1327" Type="http://schemas.openxmlformats.org/officeDocument/2006/relationships/hyperlink" Target="https://myiipea.com/media/etudiant/photo/WhatsApp_Image_2023-09-29_at_11.55.09.jpeg" TargetMode="External"/><Relationship Id="rId2658" Type="http://schemas.openxmlformats.org/officeDocument/2006/relationships/hyperlink" Target="https://myiipea.com/media/etudiant/photo/WhatsApp_Image_2023-10-04_at_3.50.58_PM.jpeg" TargetMode="External"/><Relationship Id="rId1328" Type="http://schemas.openxmlformats.org/officeDocument/2006/relationships/hyperlink" Target="https://myiipea.com/media/etudiant/photo/WhatsApp_Image_2023-10-12_at_12.45.15.jpeg" TargetMode="External"/><Relationship Id="rId2659" Type="http://schemas.openxmlformats.org/officeDocument/2006/relationships/hyperlink" Target="https://myiipea.com/media/etudiant/photo/WhatsApp_Image_2023-11-03_at_11.14.43.jpeg" TargetMode="External"/><Relationship Id="rId1329" Type="http://schemas.openxmlformats.org/officeDocument/2006/relationships/hyperlink" Target="https://myiipea.com/media/etudiant/photo/WhatsApp_Image_2023-10-23_at_15.22.59_7_hAzE3Nm.jpeg" TargetMode="External"/><Relationship Id="rId739" Type="http://schemas.openxmlformats.org/officeDocument/2006/relationships/hyperlink" Target="https://myiipea.com/media/etudiant/photo/WhatsApp_Image_2023-10-06_at_15.37.06.jpeg" TargetMode="External"/><Relationship Id="rId734" Type="http://schemas.openxmlformats.org/officeDocument/2006/relationships/hyperlink" Target="https://myiipea.com/media/etudiant/photo/WhatsApp_Image_2023-11-17_at_16.54.06.jpeg" TargetMode="External"/><Relationship Id="rId733" Type="http://schemas.openxmlformats.org/officeDocument/2006/relationships/hyperlink" Target="https://myiipea.com/media/etudiant/photo/WhatsApp_Image_2023-09-29_at_14.49.50.jpeg" TargetMode="External"/><Relationship Id="rId732" Type="http://schemas.openxmlformats.org/officeDocument/2006/relationships/hyperlink" Target="https://myiipea.com/media/etudiant/photo/WhatsApp_Image_2023-11-17_at_10.58.45.jpeg" TargetMode="External"/><Relationship Id="rId731" Type="http://schemas.openxmlformats.org/officeDocument/2006/relationships/hyperlink" Target="https://myiipea.com/media/etudiant/photo/WhatsApp_Image_2023-10-16_at_12.10.02_PM.jpeg" TargetMode="External"/><Relationship Id="rId738" Type="http://schemas.openxmlformats.org/officeDocument/2006/relationships/hyperlink" Target="https://myiipea.com/media/etudiant/photo/WhatsApp_Image_2023-10-03_at_18.48.36.jpeg" TargetMode="External"/><Relationship Id="rId737" Type="http://schemas.openxmlformats.org/officeDocument/2006/relationships/hyperlink" Target="https://myiipea.com/media/etudiant/photo/WhatsApp_Image_2023-10-10_at_09.43.45.jpeg" TargetMode="External"/><Relationship Id="rId736" Type="http://schemas.openxmlformats.org/officeDocument/2006/relationships/hyperlink" Target="https://myiipea.com/media/etudiant/photo/WhatsApp_Image_2023-11-29_at_3.48.04_PM.jpeg" TargetMode="External"/><Relationship Id="rId735" Type="http://schemas.openxmlformats.org/officeDocument/2006/relationships/hyperlink" Target="https://myiipea.com/media/etudiant/photo/ECB964A8-1DFF-40FE-89C9-99D5888FF35B_resized.png" TargetMode="External"/><Relationship Id="rId730" Type="http://schemas.openxmlformats.org/officeDocument/2006/relationships/hyperlink" Target="https://myiipea.com/media/etudiant/photo/WhatsApp_Image_2023-10-12_at_19.20.30.jpeg" TargetMode="External"/><Relationship Id="rId2650" Type="http://schemas.openxmlformats.org/officeDocument/2006/relationships/hyperlink" Target="https://myiipea.com/media/etudiant/photo/WhatsApp_Image_2023-10-03_at_3.22.36_PM.jpeg" TargetMode="External"/><Relationship Id="rId1320" Type="http://schemas.openxmlformats.org/officeDocument/2006/relationships/hyperlink" Target="https://myiipea.com/media/etudiant/photo/WhatsApp_Image_2023-11-07_at_14.33.34.jpeg" TargetMode="External"/><Relationship Id="rId2651" Type="http://schemas.openxmlformats.org/officeDocument/2006/relationships/hyperlink" Target="https://myiipea.com/media/etudiant/photo/WhatsApp_Image_2023-10-02_at_09.07.05.jpeg" TargetMode="External"/><Relationship Id="rId1321" Type="http://schemas.openxmlformats.org/officeDocument/2006/relationships/hyperlink" Target="https://myiipea.com/media/etudiant/photo/WhatsApp_Image_2023-10-06_at_16.44.29.jpeg" TargetMode="External"/><Relationship Id="rId2652" Type="http://schemas.openxmlformats.org/officeDocument/2006/relationships/hyperlink" Target="https://myiipea.com/media/etudiant/photo/WhatsApp_Image_2023-10-20_at_15.18.18.jpeg" TargetMode="External"/><Relationship Id="rId1322" Type="http://schemas.openxmlformats.org/officeDocument/2006/relationships/hyperlink" Target="https://myiipea.com/media/etudiant/photo/WhatsApp_Image_2023-10-13_at_10.45.05_AM.jpeg" TargetMode="External"/><Relationship Id="rId2653" Type="http://schemas.openxmlformats.org/officeDocument/2006/relationships/hyperlink" Target="https://myiipea.com/media/etudiant/photo/WhatsApp_Image_2023-11-03_at_15.59.29.jpeg" TargetMode="External"/><Relationship Id="rId1356" Type="http://schemas.openxmlformats.org/officeDocument/2006/relationships/hyperlink" Target="https://myiipea.com/media/etudiant/photo/WhatsApp_Image_2023-10-30_at_13.50.56.jpeg" TargetMode="External"/><Relationship Id="rId2687" Type="http://schemas.openxmlformats.org/officeDocument/2006/relationships/hyperlink" Target="https://myiipea.com/media/etudiant/photo/WhatsApp_Image_2023-10-09_at_13.11.31.jpeg" TargetMode="External"/><Relationship Id="rId1357" Type="http://schemas.openxmlformats.org/officeDocument/2006/relationships/hyperlink" Target="https://myiipea.com/media/etudiant/photo/WhatsApp_Image_2023-10-31_at_09.51.59.jpeg" TargetMode="External"/><Relationship Id="rId2688" Type="http://schemas.openxmlformats.org/officeDocument/2006/relationships/hyperlink" Target="https://myiipea.com/media/etudiant/photo/WhatsApp_Image_2023-10-04_at_10.45.07.jpeg" TargetMode="External"/><Relationship Id="rId1358" Type="http://schemas.openxmlformats.org/officeDocument/2006/relationships/hyperlink" Target="https://myiipea.com/media/etudiant/photo/WhatsApp_Image_2023-11-06_at_10.11.55.jpeg" TargetMode="External"/><Relationship Id="rId2689" Type="http://schemas.openxmlformats.org/officeDocument/2006/relationships/hyperlink" Target="https://myiipea.com/media/etudiant/photo/WhatsApp_Image_2023-10-16_at_18.52.51.jpeg" TargetMode="External"/><Relationship Id="rId1359" Type="http://schemas.openxmlformats.org/officeDocument/2006/relationships/hyperlink" Target="https://myiipea.com/media/etudiant/photo/WhatsApp_Image_2023-09-29_at_11.01.30.jpeg" TargetMode="External"/><Relationship Id="rId767" Type="http://schemas.openxmlformats.org/officeDocument/2006/relationships/hyperlink" Target="https://myiipea.com/media/etudiant/photo/WhatsApp_Image_2023-10-05_at_12.29.16.jpeg" TargetMode="External"/><Relationship Id="rId766" Type="http://schemas.openxmlformats.org/officeDocument/2006/relationships/hyperlink" Target="https://myiipea.com/media/etudiant/photo/WhatsApp_Image_2023-10-04_at_14.18.37.jpeg" TargetMode="External"/><Relationship Id="rId765" Type="http://schemas.openxmlformats.org/officeDocument/2006/relationships/hyperlink" Target="https://myiipea.com/media/etudiant/photo/WhatsApp_Image_2023-12-01_at_11.55.49_AM.jpeg" TargetMode="External"/><Relationship Id="rId764" Type="http://schemas.openxmlformats.org/officeDocument/2006/relationships/hyperlink" Target="https://myiipea.com/media/etudiant/photo/WhatsApp_Image_2023-10-16_at_09.28.33.jpeg" TargetMode="External"/><Relationship Id="rId769" Type="http://schemas.openxmlformats.org/officeDocument/2006/relationships/hyperlink" Target="https://myiipea.com/media/etudiant/photo/WhatsApp_Image_2023-09-28_at_09.40.19.jpeg" TargetMode="External"/><Relationship Id="rId768" Type="http://schemas.openxmlformats.org/officeDocument/2006/relationships/hyperlink" Target="https://myiipea.com/media/etudiant/photo/WhatsApp_Image_2023-10-26_at_12.22.32.jpeg" TargetMode="External"/><Relationship Id="rId2680" Type="http://schemas.openxmlformats.org/officeDocument/2006/relationships/hyperlink" Target="https://myiipea.com/media/etudiant/photo/WhatsApp_Image_2023-10-24_at_15.55.34.jpeg" TargetMode="External"/><Relationship Id="rId1350" Type="http://schemas.openxmlformats.org/officeDocument/2006/relationships/hyperlink" Target="https://myiipea.com/media/etudiant/photo/WhatsApp_Image_2023-10-13_at_12.53.52.jpeg" TargetMode="External"/><Relationship Id="rId2681" Type="http://schemas.openxmlformats.org/officeDocument/2006/relationships/hyperlink" Target="https://myiipea.com/media/etudiant/photo/photo_bjV6HRi.jpg" TargetMode="External"/><Relationship Id="rId1351" Type="http://schemas.openxmlformats.org/officeDocument/2006/relationships/hyperlink" Target="https://myiipea.com/media/etudiant/photo/WhatsApp_Image_2023-10-12_at_18.28.06.jpeg" TargetMode="External"/><Relationship Id="rId2682" Type="http://schemas.openxmlformats.org/officeDocument/2006/relationships/hyperlink" Target="https://myiipea.com/media/etudiant/photo/WhatsApp_Image_2023-11-13_at_11.52.01.jpeg" TargetMode="External"/><Relationship Id="rId763" Type="http://schemas.openxmlformats.org/officeDocument/2006/relationships/hyperlink" Target="https://myiipea.com/media/etudiant/photo/WhatsApp_Image_2023-11-07_at_3.51.03_PM.jpeg" TargetMode="External"/><Relationship Id="rId1352" Type="http://schemas.openxmlformats.org/officeDocument/2006/relationships/hyperlink" Target="https://myiipea.com/media/etudiant/photo/WhatsApp_Image_2023-11-21_at_15.14.34.jpeg" TargetMode="External"/><Relationship Id="rId2683" Type="http://schemas.openxmlformats.org/officeDocument/2006/relationships/hyperlink" Target="https://myiipea.com/media/etudiant/photo/WhatsApp_Image_2023-10-12_at_17.22.21.jpeg" TargetMode="External"/><Relationship Id="rId762" Type="http://schemas.openxmlformats.org/officeDocument/2006/relationships/hyperlink" Target="https://myiipea.com/media/etudiant/photo/WhatsApp_Image_2023-10-04_at_12.51.36.jpeg" TargetMode="External"/><Relationship Id="rId1353" Type="http://schemas.openxmlformats.org/officeDocument/2006/relationships/hyperlink" Target="https://myiipea.com/media/etudiant/photo/GOGO.jpg" TargetMode="External"/><Relationship Id="rId2684" Type="http://schemas.openxmlformats.org/officeDocument/2006/relationships/hyperlink" Target="https://myiipea.com/media/etudiant/photo/WhatsApp_Image_2023-10-06_at_16.02.39.jpeg" TargetMode="External"/><Relationship Id="rId761" Type="http://schemas.openxmlformats.org/officeDocument/2006/relationships/hyperlink" Target="https://myiipea.com/media/etudiant/photo/WhatsApp_Image_2023-10-10_at_09.30.17.jpeg" TargetMode="External"/><Relationship Id="rId1354" Type="http://schemas.openxmlformats.org/officeDocument/2006/relationships/hyperlink" Target="https://myiipea.com/media/etudiant/photo/WhatsApp_Image_2023-09-29_at_17.24.31.jpeg" TargetMode="External"/><Relationship Id="rId2685" Type="http://schemas.openxmlformats.org/officeDocument/2006/relationships/hyperlink" Target="https://myiipea.com/media/etudiant/photo/WhatsApp_Image_2023-10-13_at_15.35.45_1.jpeg" TargetMode="External"/><Relationship Id="rId760" Type="http://schemas.openxmlformats.org/officeDocument/2006/relationships/hyperlink" Target="https://myiipea.com/media/etudiant/photo/WhatsApp_Image_2023-10-09_at_15.04.51.jpeg" TargetMode="External"/><Relationship Id="rId1355" Type="http://schemas.openxmlformats.org/officeDocument/2006/relationships/hyperlink" Target="https://myiipea.com/media/etudiant/photo/WhatsApp_Image_2023-11-16_at_13.19.06.jpeg" TargetMode="External"/><Relationship Id="rId2686" Type="http://schemas.openxmlformats.org/officeDocument/2006/relationships/hyperlink" Target="https://myiipea.com/media/etudiant/photo/WhatsApp_Image_2023-11-16_at_10.31.17.jpeg" TargetMode="External"/><Relationship Id="rId1345" Type="http://schemas.openxmlformats.org/officeDocument/2006/relationships/hyperlink" Target="https://myiipea.com/media/etudiant/photo/WhatsApp_Image_2023-09-29_at_13.58.36.jpeg" TargetMode="External"/><Relationship Id="rId2676" Type="http://schemas.openxmlformats.org/officeDocument/2006/relationships/hyperlink" Target="https://myiipea.com/media/etudiant/photo/WhatsApp_Image_2023-10-02_at_18.39.33.jpeg" TargetMode="External"/><Relationship Id="rId1346" Type="http://schemas.openxmlformats.org/officeDocument/2006/relationships/hyperlink" Target="https://myiipea.com/media/etudiant/photo/WhatsApp_Image_2023-11-10_at_1.54.55_PM.jpeg" TargetMode="External"/><Relationship Id="rId2677" Type="http://schemas.openxmlformats.org/officeDocument/2006/relationships/hyperlink" Target="https://myiipea.com/media/etudiant/photo/WhatsApp_Image_2023-11-07_at_15.50.37.jpeg" TargetMode="External"/><Relationship Id="rId1347" Type="http://schemas.openxmlformats.org/officeDocument/2006/relationships/hyperlink" Target="https://myiipea.com/media/etudiant/photo/WhatsApp_Image_2023-10-17_at_11.44.49.jpeg" TargetMode="External"/><Relationship Id="rId2678" Type="http://schemas.openxmlformats.org/officeDocument/2006/relationships/hyperlink" Target="https://myiipea.com/media/etudiant/photo/WhatsApp_Image_2023-10-09_at_12.54.04.jpeg" TargetMode="External"/><Relationship Id="rId1348" Type="http://schemas.openxmlformats.org/officeDocument/2006/relationships/hyperlink" Target="https://myiipea.com/media/etudiant/photo/WhatsApp_Image_2023-10-16_at_16.39.45.jpeg" TargetMode="External"/><Relationship Id="rId2679" Type="http://schemas.openxmlformats.org/officeDocument/2006/relationships/hyperlink" Target="https://myiipea.com/media/etudiant/photo/WhatsApp_Image_2023-10-09_at_16.04.25.jpeg" TargetMode="External"/><Relationship Id="rId1349" Type="http://schemas.openxmlformats.org/officeDocument/2006/relationships/hyperlink" Target="https://myiipea.com/media/etudiant/photo/WhatsApp_Image_2023-10-06_at_10_resized.png" TargetMode="External"/><Relationship Id="rId756" Type="http://schemas.openxmlformats.org/officeDocument/2006/relationships/hyperlink" Target="https://myiipea.com/media/etudiant/photo/WhatsApp_Image_2023-10-23_at_14.57.54.jpeg" TargetMode="External"/><Relationship Id="rId755" Type="http://schemas.openxmlformats.org/officeDocument/2006/relationships/hyperlink" Target="https://myiipea.com/media/etudiant/photo/ee805a7a-bd0f-4cfc-a70e-cbab604ca96a_bIvufdv.jpeg" TargetMode="External"/><Relationship Id="rId754" Type="http://schemas.openxmlformats.org/officeDocument/2006/relationships/hyperlink" Target="https://myiipea.com/media/etudiant/photo/WhatsApp_Image_2023-10-20_at_13.14.07.jpeg" TargetMode="External"/><Relationship Id="rId753" Type="http://schemas.openxmlformats.org/officeDocument/2006/relationships/hyperlink" Target="https://myiipea.com/media/etudiant/photo/WhatsApp_Image_2023-10-12_at_12.31.03.jpeg" TargetMode="External"/><Relationship Id="rId759" Type="http://schemas.openxmlformats.org/officeDocument/2006/relationships/hyperlink" Target="https://myiipea.com/media/etudiant/photo/WhatsApp_Image_2023-10-05_at_12.41.10.jpeg" TargetMode="External"/><Relationship Id="rId758" Type="http://schemas.openxmlformats.org/officeDocument/2006/relationships/hyperlink" Target="https://myiipea.com/media/etudiant/photo/WhatsApp_Image_2023-10-10_at_15.51.03.jpeg" TargetMode="External"/><Relationship Id="rId757" Type="http://schemas.openxmlformats.org/officeDocument/2006/relationships/hyperlink" Target="https://myiipea.com/media/etudiant/photo/WhatsApp_Image_2023-10-03_at_14.27.29_70GDg3i.jpeg" TargetMode="External"/><Relationship Id="rId2670" Type="http://schemas.openxmlformats.org/officeDocument/2006/relationships/hyperlink" Target="https://myiipea.com/media/etudiant/photo/WhatsApp_Image_2023-11-09_at_13.21.39.jpeg" TargetMode="External"/><Relationship Id="rId1340" Type="http://schemas.openxmlformats.org/officeDocument/2006/relationships/hyperlink" Target="https://myiipea.com/media/etudiant/photo/WhatsApp_Image_2023-10-02_at_10_resized.png" TargetMode="External"/><Relationship Id="rId2671" Type="http://schemas.openxmlformats.org/officeDocument/2006/relationships/hyperlink" Target="https://myiipea.com/media/etudiant/photo/WhatsApp_Image_2023-10-06_at_12.58.16.jpeg" TargetMode="External"/><Relationship Id="rId752" Type="http://schemas.openxmlformats.org/officeDocument/2006/relationships/hyperlink" Target="https://myiipea.com/media/etudiant/photo/WhatsApp_Image_2023-10-05_at_13.10.54_xJrlDZM.jpeg" TargetMode="External"/><Relationship Id="rId1341" Type="http://schemas.openxmlformats.org/officeDocument/2006/relationships/hyperlink" Target="https://myiipea.com/media/etudiant/photo/WhatsApp_Image_2023-09-19_at_15.29.35.jpeg" TargetMode="External"/><Relationship Id="rId2672" Type="http://schemas.openxmlformats.org/officeDocument/2006/relationships/hyperlink" Target="https://myiipea.com/media/etudiant/photo/WhatsApp_Image_2023-10-03_at_14_resized_3W0KZbE.png" TargetMode="External"/><Relationship Id="rId751" Type="http://schemas.openxmlformats.org/officeDocument/2006/relationships/hyperlink" Target="https://myiipea.com/media/etudiant/photo/WhatsApp_Image_2023-09-25_at_15.19.48.jpeg" TargetMode="External"/><Relationship Id="rId1342" Type="http://schemas.openxmlformats.org/officeDocument/2006/relationships/hyperlink" Target="https://myiipea.com/media/etudiant/photo/WhatsApp_Image_2023-10-26_at_09_resized.png" TargetMode="External"/><Relationship Id="rId2673" Type="http://schemas.openxmlformats.org/officeDocument/2006/relationships/hyperlink" Target="https://myiipea.com/media/etudiant/photo/ee805a7a-bd0f-4cfc-a70e-cbab604ca96a_L24XnNy.jpeg" TargetMode="External"/><Relationship Id="rId750" Type="http://schemas.openxmlformats.org/officeDocument/2006/relationships/hyperlink" Target="https://myiipea.com/media/etudiant/photo/WhatsApp_Image_2023-11-28_at_10.47.30.jpeg" TargetMode="External"/><Relationship Id="rId1343" Type="http://schemas.openxmlformats.org/officeDocument/2006/relationships/hyperlink" Target="https://myiipea.com/media/etudiant/photo/WhatsApp_Image_2023-10-26_at_10.59.46.jpeg" TargetMode="External"/><Relationship Id="rId2674" Type="http://schemas.openxmlformats.org/officeDocument/2006/relationships/hyperlink" Target="https://myiipea.com/media/etudiant/photo/WhatsApp_Image_2023-10-03_at_16.42.25.jpeg" TargetMode="External"/><Relationship Id="rId1344" Type="http://schemas.openxmlformats.org/officeDocument/2006/relationships/hyperlink" Target="https://myiipea.com/media/etudiant/photo/WhatsApp_Image_2023-10-17_at_12.30.47.jpeg" TargetMode="External"/><Relationship Id="rId2675" Type="http://schemas.openxmlformats.org/officeDocument/2006/relationships/hyperlink" Target="https://myiipea.com/media/etudiant/photo/WhatsApp_Image_2023-10-05_at_12.50.10.jpeg" TargetMode="External"/><Relationship Id="rId2621" Type="http://schemas.openxmlformats.org/officeDocument/2006/relationships/hyperlink" Target="https://myiipea.com/media/etudiant/photo/WhatsApp_Image_2023-11-07_at_11.17.37.jpeg" TargetMode="External"/><Relationship Id="rId2622" Type="http://schemas.openxmlformats.org/officeDocument/2006/relationships/hyperlink" Target="https://myiipea.com/media/etudiant/photo/WhatsApp_Image_2023-10-02_at_18.12.39.jpeg" TargetMode="External"/><Relationship Id="rId2623" Type="http://schemas.openxmlformats.org/officeDocument/2006/relationships/hyperlink" Target="https://myiipea.com/media/etudiant/photo/WhatsApp_Image_2023-09-26_at_13.22.37.jpeg" TargetMode="External"/><Relationship Id="rId2624" Type="http://schemas.openxmlformats.org/officeDocument/2006/relationships/hyperlink" Target="https://myiipea.com/media/etudiant/photo/NIAMKE.jpg" TargetMode="External"/><Relationship Id="rId2625" Type="http://schemas.openxmlformats.org/officeDocument/2006/relationships/hyperlink" Target="https://myiipea.com/media/etudiant/photo/WhatsApp_Image_2023-10-02_at_7.07.17_PM.jpeg" TargetMode="External"/><Relationship Id="rId2626" Type="http://schemas.openxmlformats.org/officeDocument/2006/relationships/hyperlink" Target="https://myiipea.com/media/etudiant/photo/IIPEA_elKFDke.jpg" TargetMode="External"/><Relationship Id="rId2627" Type="http://schemas.openxmlformats.org/officeDocument/2006/relationships/hyperlink" Target="https://myiipea.com/media/etudiant/photo/WhatsApp_Image_2023-09-18_at_10.44.55.jpeg" TargetMode="External"/><Relationship Id="rId2628" Type="http://schemas.openxmlformats.org/officeDocument/2006/relationships/hyperlink" Target="https://myiipea.com/media/etudiant/photo/WhatsApp_Image_2023-09-26_at_11.33.24.jpeg" TargetMode="External"/><Relationship Id="rId709" Type="http://schemas.openxmlformats.org/officeDocument/2006/relationships/hyperlink" Target="https://myiipea.com/media/etudiant/photo/WhatsApp_Image_2023-10-03_at_13.32.17.jpeg" TargetMode="External"/><Relationship Id="rId2629" Type="http://schemas.openxmlformats.org/officeDocument/2006/relationships/hyperlink" Target="https://myiipea.com/media/etudiant/photo/WhatsApp_Image_2023-09-28_at_17.24.57.jpeg" TargetMode="External"/><Relationship Id="rId708" Type="http://schemas.openxmlformats.org/officeDocument/2006/relationships/hyperlink" Target="https://myiipea.com/media/etudiant/photo/WhatsApp_Image_2023-10-20_at_13.18.39.jpeg" TargetMode="External"/><Relationship Id="rId707" Type="http://schemas.openxmlformats.org/officeDocument/2006/relationships/hyperlink" Target="https://myiipea.com/media/etudiant/photo/WhatsApp_Image_2023-09-15_at_12_resized.png" TargetMode="External"/><Relationship Id="rId706" Type="http://schemas.openxmlformats.org/officeDocument/2006/relationships/hyperlink" Target="https://myiipea.com/media/etudiant/photo/WhatsApp_Image_2023-10-09_at_16.35.44.jpeg" TargetMode="External"/><Relationship Id="rId701" Type="http://schemas.openxmlformats.org/officeDocument/2006/relationships/hyperlink" Target="https://myiipea.com/media/etudiant/photo/WhatsApp_Image_2023-09-25_at_14.32.25.jpeg" TargetMode="External"/><Relationship Id="rId700" Type="http://schemas.openxmlformats.org/officeDocument/2006/relationships/hyperlink" Target="https://myiipea.com/media/etudiant/photo/WhatsApp_Image_2023-10-06_at_11.57.33.jpeg" TargetMode="External"/><Relationship Id="rId705" Type="http://schemas.openxmlformats.org/officeDocument/2006/relationships/hyperlink" Target="https://myiipea.com/media/etudiant/photo/WhatsApp_Image_2023-11-06_at_2.18.20_PM.jpeg" TargetMode="External"/><Relationship Id="rId704" Type="http://schemas.openxmlformats.org/officeDocument/2006/relationships/hyperlink" Target="https://myiipea.com/media/etudiant/photo/WhatsApp_Image_2023-10-06_at_13.52.51.jpeg" TargetMode="External"/><Relationship Id="rId703" Type="http://schemas.openxmlformats.org/officeDocument/2006/relationships/hyperlink" Target="https://myiipea.com/media/etudiant/photo/WhatsApp_Image_2023-09-29_at_17.38.15.jpeg" TargetMode="External"/><Relationship Id="rId702" Type="http://schemas.openxmlformats.org/officeDocument/2006/relationships/hyperlink" Target="https://myiipea.com/media/etudiant/photo/WhatsApp_Image_2023-11-28_at_2.39.49_PM.jpeg" TargetMode="External"/><Relationship Id="rId2620" Type="http://schemas.openxmlformats.org/officeDocument/2006/relationships/hyperlink" Target="https://myiipea.com/media/etudiant/photo/WhatsApp_Image_2023-09-29_at_18.27.07.jpeg" TargetMode="External"/><Relationship Id="rId2610" Type="http://schemas.openxmlformats.org/officeDocument/2006/relationships/hyperlink" Target="https://myiipea.com/media/etudiant/photo/WhatsApp_Image_2023-11-13_at_1.37.00_PM.jpeg" TargetMode="External"/><Relationship Id="rId2611" Type="http://schemas.openxmlformats.org/officeDocument/2006/relationships/hyperlink" Target="https://myiipea.com/media/etudiant/photo/IMG-20231123-WA0020.jpg" TargetMode="External"/><Relationship Id="rId2612" Type="http://schemas.openxmlformats.org/officeDocument/2006/relationships/hyperlink" Target="https://myiipea.com/media/etudiant/photo/WhatsApp_Image_2023-11-10_at_10.58.00.jpeg" TargetMode="External"/><Relationship Id="rId2613" Type="http://schemas.openxmlformats.org/officeDocument/2006/relationships/hyperlink" Target="https://myiipea.com/media/etudiant/photo/IIPEA_KHHQxOf.jpg" TargetMode="External"/><Relationship Id="rId2614" Type="http://schemas.openxmlformats.org/officeDocument/2006/relationships/hyperlink" Target="https://myiipea.com/media/etudiant/photo/WhatsApp_Image_2023-10-05_at_12.57.42.jpeg" TargetMode="External"/><Relationship Id="rId2615" Type="http://schemas.openxmlformats.org/officeDocument/2006/relationships/hyperlink" Target="https://myiipea.com/media/etudiant/photo/WhatsApp_Image_2023-11-29_at_6.13.11_PM.jpeg" TargetMode="External"/><Relationship Id="rId2616" Type="http://schemas.openxmlformats.org/officeDocument/2006/relationships/hyperlink" Target="https://myiipea.com/media/etudiant/photo/WhatsApp_Image_2023-10-16_at_16.26.54.jpeg" TargetMode="External"/><Relationship Id="rId2617" Type="http://schemas.openxmlformats.org/officeDocument/2006/relationships/hyperlink" Target="https://myiipea.com/media/etudiant/photo/WhatsApp_Image_2023-10-30_at_13.16.01.jpeg" TargetMode="External"/><Relationship Id="rId2618" Type="http://schemas.openxmlformats.org/officeDocument/2006/relationships/hyperlink" Target="https://myiipea.com/media/etudiant/photo/WhatsApp_Image_2023-10-30_at_11.25.19.jpeg" TargetMode="External"/><Relationship Id="rId2619" Type="http://schemas.openxmlformats.org/officeDocument/2006/relationships/hyperlink" Target="https://myiipea.com/media/etudiant/photo/WhatsApp_Image_2023-11-30_at_16.15.26_1.jpeg" TargetMode="External"/><Relationship Id="rId1312" Type="http://schemas.openxmlformats.org/officeDocument/2006/relationships/hyperlink" Target="https://myiipea.com/media/etudiant/photo/WhatsApp_Image_2023-10-04_at_14_resized.png" TargetMode="External"/><Relationship Id="rId2643" Type="http://schemas.openxmlformats.org/officeDocument/2006/relationships/hyperlink" Target="https://myiipea.com/media/etudiant/photo/WhatsApp_Image_2023-11-30_at_12.13.56_PM.jpeg" TargetMode="External"/><Relationship Id="rId1313" Type="http://schemas.openxmlformats.org/officeDocument/2006/relationships/hyperlink" Target="https://myiipea.com/media/etudiant/photo/WhatsApp_Image_2023-10-03_at_10.51.03.jpeg" TargetMode="External"/><Relationship Id="rId2644" Type="http://schemas.openxmlformats.org/officeDocument/2006/relationships/hyperlink" Target="https://myiipea.com/media/etudiant/photo/WhatsApp_Image_2023-10-12_at_12.07.34_PM.jpeg" TargetMode="External"/><Relationship Id="rId1314" Type="http://schemas.openxmlformats.org/officeDocument/2006/relationships/hyperlink" Target="https://myiipea.com/media/etudiant/photo/WhatsApp_Image_2023-10-03_at_09.45.32.jpeg" TargetMode="External"/><Relationship Id="rId2645" Type="http://schemas.openxmlformats.org/officeDocument/2006/relationships/hyperlink" Target="https://myiipea.com/media/etudiant/photo/WhatsApp_Image_2023-10-30_at_16.53.09.jpeg" TargetMode="External"/><Relationship Id="rId1315" Type="http://schemas.openxmlformats.org/officeDocument/2006/relationships/hyperlink" Target="https://myiipea.com/media/etudiant/photo/WhatsApp_Image_2023-10-03_at_08.43.14.jpeg" TargetMode="External"/><Relationship Id="rId2646" Type="http://schemas.openxmlformats.org/officeDocument/2006/relationships/hyperlink" Target="https://myiipea.com/media/etudiant/photo/WhatsApp_Image_2023-10-05_at_14.44.30.jpeg" TargetMode="External"/><Relationship Id="rId1316" Type="http://schemas.openxmlformats.org/officeDocument/2006/relationships/hyperlink" Target="https://myiipea.com/media/etudiant/photo/WhatsApp_Image_2023-10-20_at_10.20.20.jpeg" TargetMode="External"/><Relationship Id="rId2647" Type="http://schemas.openxmlformats.org/officeDocument/2006/relationships/hyperlink" Target="https://myiipea.com/media/etudiant/photo/WhatsApp_Image_2023-11-14_at_11.38.22_AM.jpeg" TargetMode="External"/><Relationship Id="rId1317" Type="http://schemas.openxmlformats.org/officeDocument/2006/relationships/hyperlink" Target="https://myiipea.com/media/etudiant/photo/WhatsApp_Image_2023-10-20_at_10.20.04.jpeg" TargetMode="External"/><Relationship Id="rId2648" Type="http://schemas.openxmlformats.org/officeDocument/2006/relationships/hyperlink" Target="https://myiipea.com/media/etudiant/photo/WhatsApp_Image_2023-10-04_at_11.30.41.jpeg" TargetMode="External"/><Relationship Id="rId1318" Type="http://schemas.openxmlformats.org/officeDocument/2006/relationships/hyperlink" Target="https://myiipea.com/media/etudiant/photo/WhatsApp_Image_2023-11-07_at_10.15.31.jpeg" TargetMode="External"/><Relationship Id="rId2649" Type="http://schemas.openxmlformats.org/officeDocument/2006/relationships/hyperlink" Target="https://myiipea.com/media/etudiant/photo/WhatsApp_Image_2023-10-04_at_13.10.44.jpeg" TargetMode="External"/><Relationship Id="rId1319" Type="http://schemas.openxmlformats.org/officeDocument/2006/relationships/hyperlink" Target="https://myiipea.com/media/etudiant/photo/WhatsApp_Image_2023-10-03_at_14.21.53.jpeg" TargetMode="External"/><Relationship Id="rId729" Type="http://schemas.openxmlformats.org/officeDocument/2006/relationships/hyperlink" Target="https://myiipea.com/media/etudiant/photo/WhatsApp_Image_2023-10-05_at_11.32.12.jpeg" TargetMode="External"/><Relationship Id="rId728" Type="http://schemas.openxmlformats.org/officeDocument/2006/relationships/hyperlink" Target="https://myiipea.com/media/etudiant/photo/ee805a7a-bd0f-4cfc-a70e-cbab604ca96a_2UDDEQR_resized.png" TargetMode="External"/><Relationship Id="rId723" Type="http://schemas.openxmlformats.org/officeDocument/2006/relationships/hyperlink" Target="https://myiipea.com/media/etudiant/photo/WhatsApp_Image_2023-09-29_at_15.11.37.jpeg" TargetMode="External"/><Relationship Id="rId722" Type="http://schemas.openxmlformats.org/officeDocument/2006/relationships/hyperlink" Target="https://myiipea.com/media/etudiant/photo/WhatsApp_Image_2023-10-25_at_14.40.30.jpeg" TargetMode="External"/><Relationship Id="rId721" Type="http://schemas.openxmlformats.org/officeDocument/2006/relationships/hyperlink" Target="https://myiipea.com/media/etudiant/photo/WhatsApp_Image_2023-10-03_at_11.14.56_AM_cumII8C.jpeg" TargetMode="External"/><Relationship Id="rId720" Type="http://schemas.openxmlformats.org/officeDocument/2006/relationships/hyperlink" Target="https://myiipea.com/media/etudiant/photo/WhatsApp_Image_2023-10-27_at_17.00.04.jpeg" TargetMode="External"/><Relationship Id="rId727" Type="http://schemas.openxmlformats.org/officeDocument/2006/relationships/hyperlink" Target="https://myiipea.com/media/etudiant/photo/WhatsApp_Image_2023-10-02_at_17.13.39.jpeg" TargetMode="External"/><Relationship Id="rId726" Type="http://schemas.openxmlformats.org/officeDocument/2006/relationships/hyperlink" Target="https://myiipea.com/media/etudiant/photo/WhatsApp_Image_2023-10-13_at_16.49.24.jpeg" TargetMode="External"/><Relationship Id="rId725" Type="http://schemas.openxmlformats.org/officeDocument/2006/relationships/hyperlink" Target="https://myiipea.com/media/etudiant/photo/WhatsApp_Image_2023-10-11_at_16.52.50.jpeg" TargetMode="External"/><Relationship Id="rId724" Type="http://schemas.openxmlformats.org/officeDocument/2006/relationships/hyperlink" Target="https://myiipea.com/media/etudiant/photo/IIPEA_iWZW3WM.png" TargetMode="External"/><Relationship Id="rId2640" Type="http://schemas.openxmlformats.org/officeDocument/2006/relationships/hyperlink" Target="https://myiipea.com/media/etudiant/photo/WhatsApp_Image_2023-09-29_at_16.19.15.jpeg" TargetMode="External"/><Relationship Id="rId1310" Type="http://schemas.openxmlformats.org/officeDocument/2006/relationships/hyperlink" Target="https://myiipea.com/media/etudiant/photo/WhatsApp_Image_2023-10-02_at_17.15.03.jpeg" TargetMode="External"/><Relationship Id="rId2641" Type="http://schemas.openxmlformats.org/officeDocument/2006/relationships/hyperlink" Target="https://myiipea.com/media/etudiant/photo/STELLA.jpg" TargetMode="External"/><Relationship Id="rId1311" Type="http://schemas.openxmlformats.org/officeDocument/2006/relationships/hyperlink" Target="https://myiipea.com/media/etudiant/photo/WhatsApp_Image_2023-09-28_at_15.07.59.jpeg" TargetMode="External"/><Relationship Id="rId2642" Type="http://schemas.openxmlformats.org/officeDocument/2006/relationships/hyperlink" Target="https://myiipea.com/media/etudiant/photo/WhatsApp_Image_2023-11-23_at_09.33.15.jpeg" TargetMode="External"/><Relationship Id="rId1301" Type="http://schemas.openxmlformats.org/officeDocument/2006/relationships/hyperlink" Target="https://myiipea.com/media/etudiant/photo/WhatsApp_Image_2023-10-05_at_10.36.43_VgD0iS8.jpeg" TargetMode="External"/><Relationship Id="rId2632" Type="http://schemas.openxmlformats.org/officeDocument/2006/relationships/hyperlink" Target="https://myiipea.com/media/etudiant/photo/WhatsApp_Image_2023-10-13_at_11.29.47.jpeg" TargetMode="External"/><Relationship Id="rId1302" Type="http://schemas.openxmlformats.org/officeDocument/2006/relationships/hyperlink" Target="https://myiipea.com/media/etudiant/photo/WhatsApp_Image_2023-10-14_at_09.17.27.jpeg" TargetMode="External"/><Relationship Id="rId2633" Type="http://schemas.openxmlformats.org/officeDocument/2006/relationships/hyperlink" Target="https://myiipea.com/media/etudiant/photo/WhatsApp_Image_2023-11-17_at_14.01.58.jpeg" TargetMode="External"/><Relationship Id="rId1303" Type="http://schemas.openxmlformats.org/officeDocument/2006/relationships/hyperlink" Target="https://myiipea.com/media/etudiant/photo/WhatsApp_Image_2023-10-05_at_11.17.52.jpeg" TargetMode="External"/><Relationship Id="rId2634" Type="http://schemas.openxmlformats.org/officeDocument/2006/relationships/hyperlink" Target="https://myiipea.com/media/etudiant/photo/WhatsApp_Image_2023-10-03_at_12.41.58.jpeg" TargetMode="External"/><Relationship Id="rId1304" Type="http://schemas.openxmlformats.org/officeDocument/2006/relationships/hyperlink" Target="https://myiipea.com/media/etudiant/photo/WhatsApp_Image_2023-10-03_at_12.58.58.jpeg" TargetMode="External"/><Relationship Id="rId2635" Type="http://schemas.openxmlformats.org/officeDocument/2006/relationships/hyperlink" Target="https://myiipea.com/media/etudiant/photo/WhatsApp_Image_2023-10-02_at_18.11.56.jpeg" TargetMode="External"/><Relationship Id="rId1305" Type="http://schemas.openxmlformats.org/officeDocument/2006/relationships/hyperlink" Target="https://myiipea.com/media/etudiant/photo/WhatsApp_Image_2023-10-02_at_17.06.23.jpeg" TargetMode="External"/><Relationship Id="rId2636" Type="http://schemas.openxmlformats.org/officeDocument/2006/relationships/hyperlink" Target="https://myiipea.com/media/etudiant/photo/WhatsApp_Image_2023-10-02_at_16.11.53.jpeg" TargetMode="External"/><Relationship Id="rId1306" Type="http://schemas.openxmlformats.org/officeDocument/2006/relationships/hyperlink" Target="https://myiipea.com/media/etudiant/photo/WhatsApp_Image_2023-09-28_at_16.22.38.jpeg" TargetMode="External"/><Relationship Id="rId2637" Type="http://schemas.openxmlformats.org/officeDocument/2006/relationships/hyperlink" Target="https://myiipea.com/media/etudiant/photo/WhatsApp_Image_2023-10-26_at_14.51.53.jpeg" TargetMode="External"/><Relationship Id="rId1307" Type="http://schemas.openxmlformats.org/officeDocument/2006/relationships/hyperlink" Target="https://myiipea.com/media/etudiant/photo/239422487_405915444207421_8131329350063382999_n_awfisyu.jpg" TargetMode="External"/><Relationship Id="rId2638" Type="http://schemas.openxmlformats.org/officeDocument/2006/relationships/hyperlink" Target="https://myiipea.com/media/etudiant/photo/WhatsApp_Image_2023-11-14_at_09.18.01.jpeg" TargetMode="External"/><Relationship Id="rId1308" Type="http://schemas.openxmlformats.org/officeDocument/2006/relationships/hyperlink" Target="https://myiipea.com/media/etudiant/photo/WhatsApp_Image_2023-10-12_at_11.32.29_AM.jpeg" TargetMode="External"/><Relationship Id="rId2639" Type="http://schemas.openxmlformats.org/officeDocument/2006/relationships/hyperlink" Target="https://myiipea.com/media/etudiant/photo/WhatsApp_Image_2023-10-11_at_14.37.27.jpeg" TargetMode="External"/><Relationship Id="rId1309" Type="http://schemas.openxmlformats.org/officeDocument/2006/relationships/hyperlink" Target="https://myiipea.com/media/etudiant/photo/WhatsApp_Image_2023-11-24_at_15.53.54.jpeg" TargetMode="External"/><Relationship Id="rId719" Type="http://schemas.openxmlformats.org/officeDocument/2006/relationships/hyperlink" Target="https://myiipea.com/media/etudiant/photo/WhatsApp_Image_2023-11-03_at_10.55.51.jpeg" TargetMode="External"/><Relationship Id="rId718" Type="http://schemas.openxmlformats.org/officeDocument/2006/relationships/hyperlink" Target="https://myiipea.com/media/etudiant/photo/WhatsApp_Image_2023-10-17_at_18.21.13.jpeg" TargetMode="External"/><Relationship Id="rId717" Type="http://schemas.openxmlformats.org/officeDocument/2006/relationships/hyperlink" Target="https://myiipea.com/media/etudiant/photo/WhatsApp_Image_2023-10-10_at_14.08.41.jpeg" TargetMode="External"/><Relationship Id="rId712" Type="http://schemas.openxmlformats.org/officeDocument/2006/relationships/hyperlink" Target="https://myiipea.com/media/etudiant/photo/WhatsApp_Image_2023-10-04_at_11.37.33.jpeg" TargetMode="External"/><Relationship Id="rId711" Type="http://schemas.openxmlformats.org/officeDocument/2006/relationships/hyperlink" Target="https://myiipea.com/media/etudiant/photo/WhatsApp_Image_2023-10-04_at_10.02.17.jpeg" TargetMode="External"/><Relationship Id="rId710" Type="http://schemas.openxmlformats.org/officeDocument/2006/relationships/hyperlink" Target="https://myiipea.com/media/etudiant/photo/WhatsApp_Image_2023-10-16_at_14.17.24.jpeg" TargetMode="External"/><Relationship Id="rId716" Type="http://schemas.openxmlformats.org/officeDocument/2006/relationships/hyperlink" Target="https://myiipea.com/media/etudiant/photo/CISSE.jpg" TargetMode="External"/><Relationship Id="rId715" Type="http://schemas.openxmlformats.org/officeDocument/2006/relationships/hyperlink" Target="https://myiipea.com/media/etudiant/photo/WhatsApp_Image_2023-10-13_at_14.47.16.jpeg" TargetMode="External"/><Relationship Id="rId714" Type="http://schemas.openxmlformats.org/officeDocument/2006/relationships/hyperlink" Target="https://myiipea.com/media/etudiant/photo/WhatsApp_Image_2023-09-26_at_14.04.14.jpeg" TargetMode="External"/><Relationship Id="rId713" Type="http://schemas.openxmlformats.org/officeDocument/2006/relationships/hyperlink" Target="https://myiipea.com/media/etudiant/photo/WhatsApp_Image_2023-10-13_at_15.35.55.jpeg" TargetMode="External"/><Relationship Id="rId2630" Type="http://schemas.openxmlformats.org/officeDocument/2006/relationships/hyperlink" Target="https://myiipea.com/media/etudiant/photo/WhatsApp_Image_2023-10-26_at_14.17.46.jpeg" TargetMode="External"/><Relationship Id="rId1300" Type="http://schemas.openxmlformats.org/officeDocument/2006/relationships/hyperlink" Target="https://myiipea.com/media/etudiant/photo/WhatsApp_Image_2023-10-02_at_17.05.45.jpeg" TargetMode="External"/><Relationship Id="rId2631" Type="http://schemas.openxmlformats.org/officeDocument/2006/relationships/hyperlink" Target="https://myiipea.com/media/etudiant/photo/WhatsApp_Image_2023-10-03_at_6.52.30_PM.jpeg" TargetMode="External"/><Relationship Id="rId3117" Type="http://schemas.openxmlformats.org/officeDocument/2006/relationships/hyperlink" Target="https://myiipea.com/media/etudiant/photo/WhatsApp_Image_2023-12-01_at_3_resized_fKBWjy0.png" TargetMode="External"/><Relationship Id="rId3116" Type="http://schemas.openxmlformats.org/officeDocument/2006/relationships/hyperlink" Target="https://myiipea.com/media/etudiant/photo/WhatsApp_Image_2023-10-25_at_11.33.54.jpeg" TargetMode="External"/><Relationship Id="rId3119" Type="http://schemas.openxmlformats.org/officeDocument/2006/relationships/hyperlink" Target="https://myiipea.com/media/etudiant/photo/WhatsApp_Image_2023-09-19_at_12.01.33.jpeg" TargetMode="External"/><Relationship Id="rId3118" Type="http://schemas.openxmlformats.org/officeDocument/2006/relationships/hyperlink" Target="https://myiipea.com/media/etudiant/photo/WhatsApp_Image_2023-10-02_at_13.42.04.jpeg" TargetMode="External"/><Relationship Id="rId3111" Type="http://schemas.openxmlformats.org/officeDocument/2006/relationships/hyperlink" Target="https://myiipea.com/media/etudiant/photo/WhatsApp_Image_2023-10-09_at_5.47.51_PM.jpeg" TargetMode="External"/><Relationship Id="rId3110" Type="http://schemas.openxmlformats.org/officeDocument/2006/relationships/hyperlink" Target="https://myiipea.com/media/etudiant/photo/WhatsApp_Image_2023-09-26_at_13.03.24.jpeg" TargetMode="External"/><Relationship Id="rId3113" Type="http://schemas.openxmlformats.org/officeDocument/2006/relationships/hyperlink" Target="https://myiipea.com/media/etudiant/photo/WhatsApp_Image_2023-10-03_at_10.04.19.jpeg" TargetMode="External"/><Relationship Id="rId3112" Type="http://schemas.openxmlformats.org/officeDocument/2006/relationships/hyperlink" Target="https://myiipea.com/media/etudiant/photo/WhatsApp_Image_2023-10-04_at_16.13.02.jpeg" TargetMode="External"/><Relationship Id="rId3115" Type="http://schemas.openxmlformats.org/officeDocument/2006/relationships/hyperlink" Target="https://myiipea.com/media/etudiant/photo/WhatsApp_Image_2023-10-13_at_11.37.45.jpeg" TargetMode="External"/><Relationship Id="rId3114" Type="http://schemas.openxmlformats.org/officeDocument/2006/relationships/hyperlink" Target="https://myiipea.com/media/etudiant/photo/WhatsApp_Image_2023-10-18_at_11.32.21.jpeg" TargetMode="External"/><Relationship Id="rId3106" Type="http://schemas.openxmlformats.org/officeDocument/2006/relationships/hyperlink" Target="https://myiipea.com/media/etudiant/photo/WhatsApp_Image_2023-10-20_at_6.41.56_PM_0h04orb.jpeg" TargetMode="External"/><Relationship Id="rId3105" Type="http://schemas.openxmlformats.org/officeDocument/2006/relationships/hyperlink" Target="https://myiipea.com/media/etudiant/photo/WhatsApp_Image_2023-10-02_at_14.25.15.jpeg" TargetMode="External"/><Relationship Id="rId3108" Type="http://schemas.openxmlformats.org/officeDocument/2006/relationships/hyperlink" Target="https://myiipea.com/media/etudiant/photo/WhatsApp_Image_2023-10-16_at_13.48.03.jpeg" TargetMode="External"/><Relationship Id="rId3107" Type="http://schemas.openxmlformats.org/officeDocument/2006/relationships/hyperlink" Target="https://myiipea.com/media/etudiant/photo/WhatsApp_Image_2023-12-01_at_5_resized.png" TargetMode="External"/><Relationship Id="rId3109" Type="http://schemas.openxmlformats.org/officeDocument/2006/relationships/hyperlink" Target="https://myiipea.com/media/etudiant/photo/WhatsApp_Image_2023-11-27_at_15.59.23.jpeg" TargetMode="External"/><Relationship Id="rId3100" Type="http://schemas.openxmlformats.org/officeDocument/2006/relationships/hyperlink" Target="https://myiipea.com/media/etudiant/photo/WhatsApp_Image_2023-10-07_at_14.00.02.jpeg" TargetMode="External"/><Relationship Id="rId3102" Type="http://schemas.openxmlformats.org/officeDocument/2006/relationships/hyperlink" Target="https://myiipea.com/media/etudiant/photo/WhatsApp_Image_2023-09-28_at_13.13.30.jpeg" TargetMode="External"/><Relationship Id="rId3101" Type="http://schemas.openxmlformats.org/officeDocument/2006/relationships/hyperlink" Target="https://myiipea.com/media/etudiant/photo/WhatsApp_Image_2023-10-24_at_15.13.10.jpeg" TargetMode="External"/><Relationship Id="rId3104" Type="http://schemas.openxmlformats.org/officeDocument/2006/relationships/hyperlink" Target="https://myiipea.com/media/etudiant/photo/WhatsApp_Image_2023-10-04_at_16.14.02.jpeg" TargetMode="External"/><Relationship Id="rId3103" Type="http://schemas.openxmlformats.org/officeDocument/2006/relationships/hyperlink" Target="https://myiipea.com/media/etudiant/photo/WhatsApp_Image_2023-10-02_at_08.01.03.jpeg" TargetMode="External"/><Relationship Id="rId3139" Type="http://schemas.openxmlformats.org/officeDocument/2006/relationships/hyperlink" Target="https://myiipea.com/media/etudiant/photo/WhatsApp_Image_2023-10-05_at_12.17.58.jpeg" TargetMode="External"/><Relationship Id="rId3138" Type="http://schemas.openxmlformats.org/officeDocument/2006/relationships/hyperlink" Target="https://myiipea.com/media/etudiant/photo/WhatsApp_Image_2023-12-01_at_12.06.02_PM.jpeg" TargetMode="External"/><Relationship Id="rId3131" Type="http://schemas.openxmlformats.org/officeDocument/2006/relationships/hyperlink" Target="https://myiipea.com/media/etudiant/photo/WhatsApp_Image_2023-10-06_at_09.27.41.jpeg" TargetMode="External"/><Relationship Id="rId3130" Type="http://schemas.openxmlformats.org/officeDocument/2006/relationships/hyperlink" Target="https://myiipea.com/media/etudiant/photo/WhatsApp_Image_2023-10-20_at_11.19.36_AM.jpeg" TargetMode="External"/><Relationship Id="rId3133" Type="http://schemas.openxmlformats.org/officeDocument/2006/relationships/hyperlink" Target="https://myiipea.com/media/etudiant/photo/239422487_405915444207421_8131329350063382999_n_sZQ3zTd.jpg" TargetMode="External"/><Relationship Id="rId3132" Type="http://schemas.openxmlformats.org/officeDocument/2006/relationships/hyperlink" Target="https://myiipea.com/media/etudiant/photo/WhatsApp_Image_2023-11-03_at_16.30.19.jpeg" TargetMode="External"/><Relationship Id="rId3135" Type="http://schemas.openxmlformats.org/officeDocument/2006/relationships/hyperlink" Target="https://myiipea.com/media/etudiant/photo/IMG_4175_resized.png" TargetMode="External"/><Relationship Id="rId3134" Type="http://schemas.openxmlformats.org/officeDocument/2006/relationships/hyperlink" Target="https://myiipea.com/media/etudiant/photo/WhatsApp_Image_2023-10-13_at_09.13.50.jpeg" TargetMode="External"/><Relationship Id="rId3137" Type="http://schemas.openxmlformats.org/officeDocument/2006/relationships/hyperlink" Target="https://myiipea.com/media/etudiant/photo/WhatsApp_Image_2023-10-10_at_10.23.45.jpeg" TargetMode="External"/><Relationship Id="rId3136" Type="http://schemas.openxmlformats.org/officeDocument/2006/relationships/hyperlink" Target="https://myiipea.com/media/etudiant/photo/WhatsApp_Image_2023-09-28_at_12.38.28.jpeg" TargetMode="External"/><Relationship Id="rId3128" Type="http://schemas.openxmlformats.org/officeDocument/2006/relationships/hyperlink" Target="https://myiipea.com/media/etudiant/photo/IIPEA_Oo3pdUF.png" TargetMode="External"/><Relationship Id="rId3127" Type="http://schemas.openxmlformats.org/officeDocument/2006/relationships/hyperlink" Target="https://myiipea.com/media/etudiant/photo/WhatsApp_Image_2023-09-28_at_14.17.00.jpeg" TargetMode="External"/><Relationship Id="rId3129" Type="http://schemas.openxmlformats.org/officeDocument/2006/relationships/hyperlink" Target="https://myiipea.com/media/etudiant/photo/WhatsApp_Image_2023-11-27_at_14.31.09.jpeg" TargetMode="External"/><Relationship Id="rId3120" Type="http://schemas.openxmlformats.org/officeDocument/2006/relationships/hyperlink" Target="https://myiipea.com/media/etudiant/photo/WhatsApp_Image_2023-10-16_at_14.01.59.jpeg" TargetMode="External"/><Relationship Id="rId3122" Type="http://schemas.openxmlformats.org/officeDocument/2006/relationships/hyperlink" Target="https://myiipea.com/media/etudiant/photo/WhatsApp_Image_2023-10-02_at_08.39.13.jpeg" TargetMode="External"/><Relationship Id="rId3121" Type="http://schemas.openxmlformats.org/officeDocument/2006/relationships/hyperlink" Target="https://myiipea.com/media/etudiant/photo/WhatsApp_Image_2023-10-03_at_10.50.48.jpeg" TargetMode="External"/><Relationship Id="rId3124" Type="http://schemas.openxmlformats.org/officeDocument/2006/relationships/hyperlink" Target="https://myiipea.com/media/etudiant/photo/WhatsApp_Image_2023-10-05_at_12.04.24.jpeg" TargetMode="External"/><Relationship Id="rId3123" Type="http://schemas.openxmlformats.org/officeDocument/2006/relationships/hyperlink" Target="https://myiipea.com/media/etudiant/photo/photo_cR4MISx.jpg" TargetMode="External"/><Relationship Id="rId3126" Type="http://schemas.openxmlformats.org/officeDocument/2006/relationships/hyperlink" Target="https://myiipea.com/media/etudiant/photo/WhatsApp_Image_2023-11-03_at_12.06.32_1.jpeg" TargetMode="External"/><Relationship Id="rId3125" Type="http://schemas.openxmlformats.org/officeDocument/2006/relationships/hyperlink" Target="https://myiipea.com/media/etudiant/photo/WhatsApp_Image_2023-10-13_at_14.21.22.jpeg" TargetMode="External"/><Relationship Id="rId1378" Type="http://schemas.openxmlformats.org/officeDocument/2006/relationships/hyperlink" Target="https://myiipea.com/media/etudiant/photo/WhatsApp_Image_2023-10-18_at_15.05.19.jpeg" TargetMode="External"/><Relationship Id="rId1379" Type="http://schemas.openxmlformats.org/officeDocument/2006/relationships/hyperlink" Target="https://myiipea.com/media/etudiant/photo/WhatsApp_Image_2023-10-04_at_6.21.08_PM.jpeg" TargetMode="External"/><Relationship Id="rId789" Type="http://schemas.openxmlformats.org/officeDocument/2006/relationships/hyperlink" Target="https://myiipea.com/media/etudiant/photo/WhatsApp_Image_2023-10-16_at_18.03.04.jpeg" TargetMode="External"/><Relationship Id="rId788" Type="http://schemas.openxmlformats.org/officeDocument/2006/relationships/hyperlink" Target="https://myiipea.com/media/etudiant/photo/photo_edaNUsl.jpg" TargetMode="External"/><Relationship Id="rId787" Type="http://schemas.openxmlformats.org/officeDocument/2006/relationships/hyperlink" Target="https://myiipea.com/media/etudiant/photo/WhatsApp_Image_2023-10-11_at_12.24.47.jpeg" TargetMode="External"/><Relationship Id="rId786" Type="http://schemas.openxmlformats.org/officeDocument/2006/relationships/hyperlink" Target="https://myiipea.com/media/etudiant/photo/WhatsApp_Image_2023-10-05_at_19.13.54_VxtsU98.jpeg" TargetMode="External"/><Relationship Id="rId781" Type="http://schemas.openxmlformats.org/officeDocument/2006/relationships/hyperlink" Target="https://myiipea.com/media/etudiant/photo/WhatsApp_Image_2023-09-14_at_12.31.51.jpeg" TargetMode="External"/><Relationship Id="rId1370" Type="http://schemas.openxmlformats.org/officeDocument/2006/relationships/hyperlink" Target="https://myiipea.com/media/etudiant/photo/GNAHORE.jpg" TargetMode="External"/><Relationship Id="rId780" Type="http://schemas.openxmlformats.org/officeDocument/2006/relationships/hyperlink" Target="https://myiipea.com/media/etudiant/photo/WhatsApp_Image_2023-10-10_at_10.24.00.jpeg" TargetMode="External"/><Relationship Id="rId1371" Type="http://schemas.openxmlformats.org/officeDocument/2006/relationships/hyperlink" Target="https://myiipea.com/media/etudiant/photo/WhatsApp_Image_2023-10-17_at_11.40.36_AM.jpeg" TargetMode="External"/><Relationship Id="rId1372" Type="http://schemas.openxmlformats.org/officeDocument/2006/relationships/hyperlink" Target="https://myiipea.com/media/etudiant/photo/WhatsApp_Image_2023-10-03_at_12.38.29.jpeg" TargetMode="External"/><Relationship Id="rId1373" Type="http://schemas.openxmlformats.org/officeDocument/2006/relationships/hyperlink" Target="https://myiipea.com/media/etudiant/photo/WhatsApp_Image_2023-10-12_at_15.28.57.jpeg" TargetMode="External"/><Relationship Id="rId785" Type="http://schemas.openxmlformats.org/officeDocument/2006/relationships/hyperlink" Target="https://myiipea.com/media/etudiant/photo/WhatsApp_Image_2023-10-13_at_17.24.58.jpeg" TargetMode="External"/><Relationship Id="rId1374" Type="http://schemas.openxmlformats.org/officeDocument/2006/relationships/hyperlink" Target="https://myiipea.com/media/etudiant/photo/WhatsApp_Image_2023-11-17_at_15.27.21.jpeg" TargetMode="External"/><Relationship Id="rId784" Type="http://schemas.openxmlformats.org/officeDocument/2006/relationships/hyperlink" Target="https://myiipea.com/media/etudiant/photo/WhatsApp_Image_2023-10-12_at_13.58.04.jpeg" TargetMode="External"/><Relationship Id="rId1375" Type="http://schemas.openxmlformats.org/officeDocument/2006/relationships/hyperlink" Target="https://myiipea.com/media/etudiant/photo/WhatsApp_Image_2023-09-25_at_09.23.37.jpeg" TargetMode="External"/><Relationship Id="rId783" Type="http://schemas.openxmlformats.org/officeDocument/2006/relationships/hyperlink" Target="https://myiipea.com/media/etudiant/photo/WhatsApp_Image_2023-11-02_at_12.03.05.jpeg" TargetMode="External"/><Relationship Id="rId1376" Type="http://schemas.openxmlformats.org/officeDocument/2006/relationships/hyperlink" Target="https://myiipea.com/media/etudiant/photo/C1293A19-6FA8-4136-B4C2-5D9B1570A2BE_resized.png" TargetMode="External"/><Relationship Id="rId782" Type="http://schemas.openxmlformats.org/officeDocument/2006/relationships/hyperlink" Target="https://myiipea.com/media/etudiant/photo/WhatsApp_Image_2023-10-23_at_14.28.21.jpeg" TargetMode="External"/><Relationship Id="rId1377" Type="http://schemas.openxmlformats.org/officeDocument/2006/relationships/hyperlink" Target="https://myiipea.com/media/etudiant/photo/WhatsApp_Image_2023-10-23_at_5.00.12_PM.jpeg" TargetMode="External"/><Relationship Id="rId1367" Type="http://schemas.openxmlformats.org/officeDocument/2006/relationships/hyperlink" Target="https://myiipea.com/media/etudiant/photo/WhatsApp_Image_2023-09-29_at_18.01.26.jpeg" TargetMode="External"/><Relationship Id="rId2698" Type="http://schemas.openxmlformats.org/officeDocument/2006/relationships/hyperlink" Target="https://myiipea.com/media/etudiant/photo/WhatsApp_Image_2023-10-16_at_1.06.07_PM.jpeg" TargetMode="External"/><Relationship Id="rId1368" Type="http://schemas.openxmlformats.org/officeDocument/2006/relationships/hyperlink" Target="https://myiipea.com/media/etudiant/photo/WhatsApp_Image_2023-10-13_at_10.40.56.jpeg" TargetMode="External"/><Relationship Id="rId2699" Type="http://schemas.openxmlformats.org/officeDocument/2006/relationships/hyperlink" Target="https://myiipea.com/media/etudiant/photo/WhatsApp_Image_2023-10-03_at_12.55.04.jpeg" TargetMode="External"/><Relationship Id="rId1369" Type="http://schemas.openxmlformats.org/officeDocument/2006/relationships/hyperlink" Target="https://myiipea.com/media/etudiant/photo/WhatsApp_Image_2023-10-11_at_15.54.40.jpeg" TargetMode="External"/><Relationship Id="rId778" Type="http://schemas.openxmlformats.org/officeDocument/2006/relationships/hyperlink" Target="https://myiipea.com/media/etudiant/photo/WhatsApp_Image_2023-10-16_at_09.10.37.jpeg" TargetMode="External"/><Relationship Id="rId777" Type="http://schemas.openxmlformats.org/officeDocument/2006/relationships/hyperlink" Target="https://myiipea.com/media/etudiant/photo/WhatsApp_Image_2023-10-03_at_11.32.32.jpeg" TargetMode="External"/><Relationship Id="rId776" Type="http://schemas.openxmlformats.org/officeDocument/2006/relationships/hyperlink" Target="https://myiipea.com/media/etudiant/photo/WhatsApp_Image_2023-10-16_at_13.10.40.jpeg" TargetMode="External"/><Relationship Id="rId775" Type="http://schemas.openxmlformats.org/officeDocument/2006/relationships/hyperlink" Target="https://myiipea.com/media/etudiant/photo/WhatsApp_Image_2023-10-05_at_11.03.51.jpeg" TargetMode="External"/><Relationship Id="rId779" Type="http://schemas.openxmlformats.org/officeDocument/2006/relationships/hyperlink" Target="https://myiipea.com/media/etudiant/photo/WhatsApp_Image_2023-10-24_at_15.55.46.jpeg" TargetMode="External"/><Relationship Id="rId770" Type="http://schemas.openxmlformats.org/officeDocument/2006/relationships/hyperlink" Target="https://myiipea.com/media/etudiant/photo/WhatsApp_Image_2023-10-09_at_15.43.14.jpeg" TargetMode="External"/><Relationship Id="rId2690" Type="http://schemas.openxmlformats.org/officeDocument/2006/relationships/hyperlink" Target="https://myiipea.com/media/etudiant/photo/WhatsApp_Image_2023-10-20_at_12.35.01.jpeg" TargetMode="External"/><Relationship Id="rId1360" Type="http://schemas.openxmlformats.org/officeDocument/2006/relationships/hyperlink" Target="https://myiipea.com/media/etudiant/photo/WhatsApp_Image_2023-10-09_at_16.57.21.jpeg" TargetMode="External"/><Relationship Id="rId2691" Type="http://schemas.openxmlformats.org/officeDocument/2006/relationships/hyperlink" Target="https://myiipea.com/media/etudiant/photo/WhatsApp_Image_2023-10-23_at_11.39.42.jpeg" TargetMode="External"/><Relationship Id="rId1361" Type="http://schemas.openxmlformats.org/officeDocument/2006/relationships/hyperlink" Target="https://myiipea.com/media/etudiant/photo/WhatsApp_Image_2023-10-04_at_17.50.17.jpeg" TargetMode="External"/><Relationship Id="rId2692" Type="http://schemas.openxmlformats.org/officeDocument/2006/relationships/hyperlink" Target="https://myiipea.com/media/etudiant/photo/WhatsApp_Image_2023-10-05_at_6.15.14_PM.jpeg" TargetMode="External"/><Relationship Id="rId1362" Type="http://schemas.openxmlformats.org/officeDocument/2006/relationships/hyperlink" Target="https://myiipea.com/media/etudiant/photo/WhatsApp_Image_2023-11-20_at_10.40.22.jpeg" TargetMode="External"/><Relationship Id="rId2693" Type="http://schemas.openxmlformats.org/officeDocument/2006/relationships/hyperlink" Target="https://myiipea.com/media/etudiant/photo/WhatsApp_Image_2023-10-19_at_14.11.49.jpeg" TargetMode="External"/><Relationship Id="rId774" Type="http://schemas.openxmlformats.org/officeDocument/2006/relationships/hyperlink" Target="https://myiipea.com/media/etudiant/photo/WhatsApp_Image_2023-10-02_at_08_resized.png" TargetMode="External"/><Relationship Id="rId1363" Type="http://schemas.openxmlformats.org/officeDocument/2006/relationships/hyperlink" Target="https://myiipea.com/media/etudiant/photo/WhatsApp_Image_2023-10-10_at_13.37.29_XVzmBDW.jpeg" TargetMode="External"/><Relationship Id="rId2694" Type="http://schemas.openxmlformats.org/officeDocument/2006/relationships/hyperlink" Target="https://myiipea.com/media/etudiant/photo/WhatsApp_Image_2023-10-09_at_10_resized.png" TargetMode="External"/><Relationship Id="rId773" Type="http://schemas.openxmlformats.org/officeDocument/2006/relationships/hyperlink" Target="https://myiipea.com/media/etudiant/photo/WhatsApp_Image_2023-10-10_at_11.31.37.jpeg" TargetMode="External"/><Relationship Id="rId1364" Type="http://schemas.openxmlformats.org/officeDocument/2006/relationships/hyperlink" Target="https://myiipea.com/media/etudiant/photo/WhatsApp_Image_2023-11-23_at_4.47.57_PM.jpeg" TargetMode="External"/><Relationship Id="rId2695" Type="http://schemas.openxmlformats.org/officeDocument/2006/relationships/hyperlink" Target="https://myiipea.com/media/etudiant/photo/WhatsApp_Image_2023-10-05_at_11.33.58.jpeg" TargetMode="External"/><Relationship Id="rId772" Type="http://schemas.openxmlformats.org/officeDocument/2006/relationships/hyperlink" Target="https://myiipea.com/media/etudiant/photo/WhatsApp_Image_2023-10-04_at_15.49.23.jpeg" TargetMode="External"/><Relationship Id="rId1365" Type="http://schemas.openxmlformats.org/officeDocument/2006/relationships/hyperlink" Target="https://myiipea.com/media/etudiant/photo/WhatsApp_Image_2023-11-23_at_3.39.52_PM.jpeg" TargetMode="External"/><Relationship Id="rId2696" Type="http://schemas.openxmlformats.org/officeDocument/2006/relationships/hyperlink" Target="https://myiipea.com/media/etudiant/photo/WhatsApp_Image_2023-11-27_at_11.09.41.jpeg" TargetMode="External"/><Relationship Id="rId771" Type="http://schemas.openxmlformats.org/officeDocument/2006/relationships/hyperlink" Target="https://myiipea.com/media/etudiant/photo/WhatsApp_Image_2023-10-05_at_10.52.18_mQKfPrl.jpeg" TargetMode="External"/><Relationship Id="rId1366" Type="http://schemas.openxmlformats.org/officeDocument/2006/relationships/hyperlink" Target="https://myiipea.com/media/etudiant/photo/WhatsApp_Image_2023-10-10_at_16.59.13.jpeg" TargetMode="External"/><Relationship Id="rId2697" Type="http://schemas.openxmlformats.org/officeDocument/2006/relationships/hyperlink" Target="https://myiipea.com/media/etudiant/photo/WhatsApp_Image_2023-10-12_at_14.31.05.jpeg" TargetMode="External"/><Relationship Id="rId1390" Type="http://schemas.openxmlformats.org/officeDocument/2006/relationships/hyperlink" Target="https://myiipea.com/media/etudiant/photo/WhatsApp_Image_2023-11-09_at_12.33.34.jpeg" TargetMode="External"/><Relationship Id="rId1391" Type="http://schemas.openxmlformats.org/officeDocument/2006/relationships/hyperlink" Target="https://myiipea.com/media/etudiant/photo/0fa9140e-768c-4df9-bf17-ba2fd734d1fc-removebg-preview.png" TargetMode="External"/><Relationship Id="rId1392" Type="http://schemas.openxmlformats.org/officeDocument/2006/relationships/hyperlink" Target="https://myiipea.com/media/etudiant/photo/WhatsApp_Image_2023-10-27_at_3.31.57_PM.jpeg" TargetMode="External"/><Relationship Id="rId1393" Type="http://schemas.openxmlformats.org/officeDocument/2006/relationships/hyperlink" Target="https://myiipea.com/media/etudiant/photo/WhatsApp_Image_2023-10-16_at_18.16.08_7AJ3SEb.jpeg" TargetMode="External"/><Relationship Id="rId1394" Type="http://schemas.openxmlformats.org/officeDocument/2006/relationships/hyperlink" Target="https://myiipea.com/media/etudiant/photo/8a90a030-d240-49b1-94be-89e47afc2c37-removebg-preview.png" TargetMode="External"/><Relationship Id="rId1395" Type="http://schemas.openxmlformats.org/officeDocument/2006/relationships/hyperlink" Target="https://myiipea.com/media/etudiant/photo/WhatsApp_Image_2023-09-28_at_10.49.55.jpeg" TargetMode="External"/><Relationship Id="rId1396" Type="http://schemas.openxmlformats.org/officeDocument/2006/relationships/hyperlink" Target="https://myiipea.com/media/etudiant/photo/WhatsApp_Image_2023-10-26_at_15.17.34.jpeg" TargetMode="External"/><Relationship Id="rId1397" Type="http://schemas.openxmlformats.org/officeDocument/2006/relationships/hyperlink" Target="https://myiipea.com/media/etudiant/photo/WhatsApp_Image_2023-10-13_at_17.09.03.jpeg" TargetMode="External"/><Relationship Id="rId1398" Type="http://schemas.openxmlformats.org/officeDocument/2006/relationships/hyperlink" Target="https://myiipea.com/media/etudiant/photo/WhatsApp_Image_2023-10-16_at_16.59.23.jpeg" TargetMode="External"/><Relationship Id="rId1399" Type="http://schemas.openxmlformats.org/officeDocument/2006/relationships/hyperlink" Target="https://myiipea.com/media/etudiant/photo/WhatsApp_Image_2023-10-05_at_12.21.37.jpeg" TargetMode="External"/><Relationship Id="rId1389" Type="http://schemas.openxmlformats.org/officeDocument/2006/relationships/hyperlink" Target="https://myiipea.com/media/etudiant/photo/WhatsApp_Image_2023-11-17_at_1.25.24_PM.jpeg" TargetMode="External"/><Relationship Id="rId799" Type="http://schemas.openxmlformats.org/officeDocument/2006/relationships/hyperlink" Target="https://myiipea.com/media/etudiant/photo/WhatsApp_Image_2023-10-23_at_09.57.29.jpeg" TargetMode="External"/><Relationship Id="rId798" Type="http://schemas.openxmlformats.org/officeDocument/2006/relationships/hyperlink" Target="https://myiipea.com/media/etudiant/photo/WhatsApp_Image_2023-09-22_at_14.53.24.jpeg" TargetMode="External"/><Relationship Id="rId797" Type="http://schemas.openxmlformats.org/officeDocument/2006/relationships/hyperlink" Target="https://myiipea.com/media/etudiant/photo/WhatsApp_Image_2023-10-09_at_14.03.23.jpeg" TargetMode="External"/><Relationship Id="rId1380" Type="http://schemas.openxmlformats.org/officeDocument/2006/relationships/hyperlink" Target="https://myiipea.com/media/etudiant/photo/WhatsApp_Image_2023-10-26_at_16.24.54.jpeg" TargetMode="External"/><Relationship Id="rId792" Type="http://schemas.openxmlformats.org/officeDocument/2006/relationships/hyperlink" Target="https://myiipea.com/media/etudiant/photo/WhatsApp_Image_2023-11-07_at_12.40.00.jpeg" TargetMode="External"/><Relationship Id="rId1381" Type="http://schemas.openxmlformats.org/officeDocument/2006/relationships/hyperlink" Target="https://myiipea.com/media/etudiant/photo/WhatsApp_Image_2023-10-04_at_11.39.21.jpeg" TargetMode="External"/><Relationship Id="rId791" Type="http://schemas.openxmlformats.org/officeDocument/2006/relationships/hyperlink" Target="https://myiipea.com/media/etudiant/photo/WhatsApp_Image_2023-10-05_at_17_resized.png" TargetMode="External"/><Relationship Id="rId1382" Type="http://schemas.openxmlformats.org/officeDocument/2006/relationships/hyperlink" Target="https://myiipea.com/media/etudiant/photo/WhatsApp_Image_2023-10-03_at_13.40.16.jpeg" TargetMode="External"/><Relationship Id="rId790" Type="http://schemas.openxmlformats.org/officeDocument/2006/relationships/hyperlink" Target="https://myiipea.com/media/etudiant/photo/WhatsApp_Image_2023-10-04_at_10.43.51.jpeg" TargetMode="External"/><Relationship Id="rId1383" Type="http://schemas.openxmlformats.org/officeDocument/2006/relationships/hyperlink" Target="https://myiipea.com/media/etudiant/photo/WhatsApp_Image_2023-10-03_at_13.39.54.jpeg" TargetMode="External"/><Relationship Id="rId1384" Type="http://schemas.openxmlformats.org/officeDocument/2006/relationships/hyperlink" Target="https://myiipea.com/media/etudiant/photo/unnamed-2_YMuFtS0.png" TargetMode="External"/><Relationship Id="rId796" Type="http://schemas.openxmlformats.org/officeDocument/2006/relationships/hyperlink" Target="https://myiipea.com/media/etudiant/photo/WhatsApp_Image_2023-10-25_at_15.00.22.jpeg" TargetMode="External"/><Relationship Id="rId1385" Type="http://schemas.openxmlformats.org/officeDocument/2006/relationships/hyperlink" Target="https://myiipea.com/media/etudiant/photo/ee805a7a-bd0f-4cfc-a70e-cbab604ca96a_N2nnAQQ.jpeg" TargetMode="External"/><Relationship Id="rId795" Type="http://schemas.openxmlformats.org/officeDocument/2006/relationships/hyperlink" Target="https://myiipea.com/media/etudiant/photo/WhatsApp_Image_2023-09-28_at_15.28.59.jpeg" TargetMode="External"/><Relationship Id="rId1386" Type="http://schemas.openxmlformats.org/officeDocument/2006/relationships/hyperlink" Target="https://myiipea.com/media/etudiant/photo/WhatsApp_Image_2023-11-02_at_16.04.48_yiTPu1f.jpeg" TargetMode="External"/><Relationship Id="rId794" Type="http://schemas.openxmlformats.org/officeDocument/2006/relationships/hyperlink" Target="https://myiipea.com/media/etudiant/photo/COULIBALY_TENIN.jpg" TargetMode="External"/><Relationship Id="rId1387" Type="http://schemas.openxmlformats.org/officeDocument/2006/relationships/hyperlink" Target="https://myiipea.com/media/etudiant/photo/Logo_EMATECH_cY3q65D.png" TargetMode="External"/><Relationship Id="rId793" Type="http://schemas.openxmlformats.org/officeDocument/2006/relationships/hyperlink" Target="https://myiipea.com/media/etudiant/photo/WhatsApp_Image_2023-09-29_at_10_resized.png" TargetMode="External"/><Relationship Id="rId1388" Type="http://schemas.openxmlformats.org/officeDocument/2006/relationships/hyperlink" Target="https://myiipea.com/media/etudiant/photo/WhatsApp_Image_2023-11-10_at_4.36.17_PM.jpeg" TargetMode="External"/><Relationship Id="rId3191" Type="http://schemas.openxmlformats.org/officeDocument/2006/relationships/hyperlink" Target="https://myiipea.com/media/etudiant/photo/WhatsApp_Image_2023-11-07_at_5.53.30_PM.jpeg" TargetMode="External"/><Relationship Id="rId3190" Type="http://schemas.openxmlformats.org/officeDocument/2006/relationships/hyperlink" Target="https://myiipea.com/media/etudiant/photo/WhatsApp_Image_2023-10-02_at_12.52.37.jpeg" TargetMode="External"/><Relationship Id="rId3193" Type="http://schemas.openxmlformats.org/officeDocument/2006/relationships/hyperlink" Target="https://myiipea.com/media/etudiant/photo/WhatsApp_Image_2023-11-21_at_12.14.51.jpeg" TargetMode="External"/><Relationship Id="rId3192" Type="http://schemas.openxmlformats.org/officeDocument/2006/relationships/hyperlink" Target="https://myiipea.com/media/etudiant/photo/WhatsApp_Image_2023-10-11_at_12.47.57.jpeg" TargetMode="External"/><Relationship Id="rId3195" Type="http://schemas.openxmlformats.org/officeDocument/2006/relationships/hyperlink" Target="https://myiipea.com/media/etudiant/photo/WhatsApp_Image_2023-10-03_at_15.39.59.jpeg" TargetMode="External"/><Relationship Id="rId3194" Type="http://schemas.openxmlformats.org/officeDocument/2006/relationships/hyperlink" Target="https://myiipea.com/media/etudiant/photo/WhatsApp_Image_2023-10-16_at_7.03.39_PM.jpeg" TargetMode="External"/><Relationship Id="rId3197" Type="http://schemas.openxmlformats.org/officeDocument/2006/relationships/hyperlink" Target="https://myiipea.com/media/etudiant/photo/WhatsApp_Image_2023-10-12_at_15.19.02_1.jpeg" TargetMode="External"/><Relationship Id="rId3196" Type="http://schemas.openxmlformats.org/officeDocument/2006/relationships/hyperlink" Target="https://myiipea.com/media/etudiant/photo/WhatsApp_Image_2023-10-13_at_17.37.32.jpeg" TargetMode="External"/><Relationship Id="rId3199" Type="http://schemas.openxmlformats.org/officeDocument/2006/relationships/hyperlink" Target="https://myiipea.com/media/etudiant/photo/WhatsApp_Image_2023-11-13_at_12.06.46.jpeg" TargetMode="External"/><Relationship Id="rId3198" Type="http://schemas.openxmlformats.org/officeDocument/2006/relationships/hyperlink" Target="https://myiipea.com/media/etudiant/photo/WhatsApp_Image_2023-10-18_at_11.41.20.jpeg" TargetMode="External"/><Relationship Id="rId3180" Type="http://schemas.openxmlformats.org/officeDocument/2006/relationships/hyperlink" Target="https://myiipea.com/media/etudiant/photo/WhatsApp_Image_2023-10-13_at_6.55.34_PM.jpeg" TargetMode="External"/><Relationship Id="rId3182" Type="http://schemas.openxmlformats.org/officeDocument/2006/relationships/hyperlink" Target="https://myiipea.com/media/etudiant/photo/WhatsApp_Image_2023-10-02_at_14.35.26.jpeg" TargetMode="External"/><Relationship Id="rId3181" Type="http://schemas.openxmlformats.org/officeDocument/2006/relationships/hyperlink" Target="https://myiipea.com/media/etudiant/photo/WhatsApp_Image_2023-10-10_at_14.55.25_1.jpeg" TargetMode="External"/><Relationship Id="rId3184" Type="http://schemas.openxmlformats.org/officeDocument/2006/relationships/hyperlink" Target="https://myiipea.com/media/etudiant/photo/WhatsApp_Image_2023-11-17_at_11_resized.png" TargetMode="External"/><Relationship Id="rId3183" Type="http://schemas.openxmlformats.org/officeDocument/2006/relationships/hyperlink" Target="https://myiipea.com/media/etudiant/photo/WhatsApp_Image_2023-10-10_at_3.09.49_PM.jpeg" TargetMode="External"/><Relationship Id="rId3186" Type="http://schemas.openxmlformats.org/officeDocument/2006/relationships/hyperlink" Target="https://myiipea.com/media/etudiant/photo/WhatsApp_Image_2023-10-24_at_17.21.38.jpeg" TargetMode="External"/><Relationship Id="rId3185" Type="http://schemas.openxmlformats.org/officeDocument/2006/relationships/hyperlink" Target="https://myiipea.com/media/etudiant/photo/WhatsApp_Image_2023-10-05_at_12.20.03.jpeg" TargetMode="External"/><Relationship Id="rId3188" Type="http://schemas.openxmlformats.org/officeDocument/2006/relationships/hyperlink" Target="https://myiipea.com/media/etudiant/photo/WhatsApp_Image_2023-10-11_at_5.53.15_PM.jpeg" TargetMode="External"/><Relationship Id="rId3187" Type="http://schemas.openxmlformats.org/officeDocument/2006/relationships/hyperlink" Target="https://myiipea.com/media/etudiant/photo/WhatsApp_Image_2023-10-05_at_11.57.52.jpeg" TargetMode="External"/><Relationship Id="rId3189" Type="http://schemas.openxmlformats.org/officeDocument/2006/relationships/hyperlink" Target="https://myiipea.com/media/etudiant/photo/WhatsApp_Image_2023-10-06_at_14.25.22.jpeg" TargetMode="External"/><Relationship Id="rId3151" Type="http://schemas.openxmlformats.org/officeDocument/2006/relationships/hyperlink" Target="https://myiipea.com/media/etudiant/photo/A89B4D64-AA03-4D5F-B9C7-7502068B4AD9_resized.png" TargetMode="External"/><Relationship Id="rId3150" Type="http://schemas.openxmlformats.org/officeDocument/2006/relationships/hyperlink" Target="https://myiipea.com/media/etudiant/photo/WhatsApp_Image_2023-10-05_at_09.34.33.jpeg" TargetMode="External"/><Relationship Id="rId3153" Type="http://schemas.openxmlformats.org/officeDocument/2006/relationships/hyperlink" Target="https://myiipea.com/media/etudiant/photo/WhatsApp_Image_2023-10-12_at_09.23.41.jpeg" TargetMode="External"/><Relationship Id="rId3152" Type="http://schemas.openxmlformats.org/officeDocument/2006/relationships/hyperlink" Target="https://myiipea.com/media/etudiant/photo/WhatsApp_Image_2023-10-04_at_11.02.44.jpeg" TargetMode="External"/><Relationship Id="rId3155" Type="http://schemas.openxmlformats.org/officeDocument/2006/relationships/hyperlink" Target="https://myiipea.com/media/etudiant/photo/WhatsApp_Image_2023-09-26_at_11.05.14.jpeg" TargetMode="External"/><Relationship Id="rId3154" Type="http://schemas.openxmlformats.org/officeDocument/2006/relationships/hyperlink" Target="https://myiipea.com/media/etudiant/photo/WhatsApp_Image_2023-10-25_at_11.33.35.jpeg" TargetMode="External"/><Relationship Id="rId3157" Type="http://schemas.openxmlformats.org/officeDocument/2006/relationships/hyperlink" Target="https://myiipea.com/media/etudiant/photo/WhatsApp_Image_2023-10-13_at_15.07.02.jpeg" TargetMode="External"/><Relationship Id="rId3156" Type="http://schemas.openxmlformats.org/officeDocument/2006/relationships/hyperlink" Target="https://myiipea.com/media/etudiant/photo/ee805a7a-bd0f-4cfc-a70e-cbab604ca96a_UPhIAcg.jpeg" TargetMode="External"/><Relationship Id="rId3159" Type="http://schemas.openxmlformats.org/officeDocument/2006/relationships/hyperlink" Target="https://myiipea.com/media/etudiant/photo/WhatsApp_Image_2023-10-02_at_13.14.12.jpeg" TargetMode="External"/><Relationship Id="rId3158" Type="http://schemas.openxmlformats.org/officeDocument/2006/relationships/hyperlink" Target="https://myiipea.com/media/etudiant/photo/WhatsApp_Image_2023-09-21_at_15.14.43.jpeg" TargetMode="External"/><Relationship Id="rId3149" Type="http://schemas.openxmlformats.org/officeDocument/2006/relationships/hyperlink" Target="https://myiipea.com/media/etudiant/photo/WhatsApp_Image_2023-10-12_at_12.19.04.jpeg" TargetMode="External"/><Relationship Id="rId3140" Type="http://schemas.openxmlformats.org/officeDocument/2006/relationships/hyperlink" Target="https://myiipea.com/media/etudiant/photo/WhatsApp_Image_2023-11-03_at_12.06.44.jpeg" TargetMode="External"/><Relationship Id="rId3142" Type="http://schemas.openxmlformats.org/officeDocument/2006/relationships/hyperlink" Target="https://myiipea.com/media/etudiant/photo/WhatsApp_Image_2023-09-29_at_11.34.57.jpeg" TargetMode="External"/><Relationship Id="rId3141" Type="http://schemas.openxmlformats.org/officeDocument/2006/relationships/hyperlink" Target="https://myiipea.com/media/etudiant/photo/WhatsApp_Image_2023-10-18_at_11.45.26_AM.jpeg" TargetMode="External"/><Relationship Id="rId3144" Type="http://schemas.openxmlformats.org/officeDocument/2006/relationships/hyperlink" Target="https://myiipea.com/media/etudiant/photo/WhatsApp_Image_2023-10-11_at_15.33.08.jpeg" TargetMode="External"/><Relationship Id="rId3143" Type="http://schemas.openxmlformats.org/officeDocument/2006/relationships/hyperlink" Target="https://myiipea.com/media/etudiant/photo/ee805a7a-bd0f-4cfc-a70e-cbab604ca96a_MJu2jtI.jpeg" TargetMode="External"/><Relationship Id="rId3146" Type="http://schemas.openxmlformats.org/officeDocument/2006/relationships/hyperlink" Target="https://myiipea.com/media/etudiant/photo/WhatsApp_Image_2023-10-05_at_12.57.57.jpeg" TargetMode="External"/><Relationship Id="rId3145" Type="http://schemas.openxmlformats.org/officeDocument/2006/relationships/hyperlink" Target="https://myiipea.com/media/etudiant/photo/WhatsApp_Image_2023-09-25_at_16_resized.png" TargetMode="External"/><Relationship Id="rId3148" Type="http://schemas.openxmlformats.org/officeDocument/2006/relationships/hyperlink" Target="https://myiipea.com/media/etudiant/photo/WhatsApp_Image_2023-09-20_at_11.38.47.jpeg" TargetMode="External"/><Relationship Id="rId3147" Type="http://schemas.openxmlformats.org/officeDocument/2006/relationships/hyperlink" Target="https://myiipea.com/media/etudiant/photo/WhatsApp_Image_2023-11-24_at_12.44.55.jpeg" TargetMode="External"/><Relationship Id="rId3171" Type="http://schemas.openxmlformats.org/officeDocument/2006/relationships/hyperlink" Target="https://myiipea.com/media/etudiant/photo/WhatsApp_Image_2023-11-20_at_11.30.16_AM.jpeg" TargetMode="External"/><Relationship Id="rId3170" Type="http://schemas.openxmlformats.org/officeDocument/2006/relationships/hyperlink" Target="https://myiipea.com/media/etudiant/photo/WhatsApp_Image_2023-10-19_at_12.16.34.jpeg" TargetMode="External"/><Relationship Id="rId3173" Type="http://schemas.openxmlformats.org/officeDocument/2006/relationships/hyperlink" Target="https://myiipea.com/media/etudiant/photo/WhatsApp_Image_2023-10-17_at_11.26.10.jpeg" TargetMode="External"/><Relationship Id="rId3172" Type="http://schemas.openxmlformats.org/officeDocument/2006/relationships/hyperlink" Target="https://myiipea.com/media/etudiant/photo/WhatsApp_Image_2023-09-20_at_11.27.18.jpeg" TargetMode="External"/><Relationship Id="rId3175" Type="http://schemas.openxmlformats.org/officeDocument/2006/relationships/hyperlink" Target="https://myiipea.com/media/etudiant/photo/WhatsApp_Image_2023-11-08_at_12.40.05_1.jpeg" TargetMode="External"/><Relationship Id="rId3174" Type="http://schemas.openxmlformats.org/officeDocument/2006/relationships/hyperlink" Target="https://myiipea.com/media/etudiant/photo/WhatsApp_Image_2023-10-04_at_14.36.45.jpeg" TargetMode="External"/><Relationship Id="rId3177" Type="http://schemas.openxmlformats.org/officeDocument/2006/relationships/hyperlink" Target="https://myiipea.com/media/etudiant/photo/WhatsApp_Image_2023-10-10_at_13.30.09.jpeg" TargetMode="External"/><Relationship Id="rId3176" Type="http://schemas.openxmlformats.org/officeDocument/2006/relationships/hyperlink" Target="https://myiipea.com/media/etudiant/photo/WhatsApp_Image_2023-11-21_at_3.54.19_PM.jpeg" TargetMode="External"/><Relationship Id="rId3179" Type="http://schemas.openxmlformats.org/officeDocument/2006/relationships/hyperlink" Target="https://myiipea.com/media/etudiant/photo/WhatsApp_Image_2023-10-12_at_11.58.22.jpeg" TargetMode="External"/><Relationship Id="rId3178" Type="http://schemas.openxmlformats.org/officeDocument/2006/relationships/hyperlink" Target="https://myiipea.com/media/etudiant/photo/WhatsApp_Image_2023-11-22_at_14.58.08.jpeg" TargetMode="External"/><Relationship Id="rId3160" Type="http://schemas.openxmlformats.org/officeDocument/2006/relationships/hyperlink" Target="https://myiipea.com/media/etudiant/photo/WhatsApp_Image_2023-10-03_at_16.20.21.jpeg" TargetMode="External"/><Relationship Id="rId3162" Type="http://schemas.openxmlformats.org/officeDocument/2006/relationships/hyperlink" Target="https://myiipea.com/media/etudiant/photo/WhatsApp_Image_2023-10-09_at_14.23.20.jpeg" TargetMode="External"/><Relationship Id="rId3161" Type="http://schemas.openxmlformats.org/officeDocument/2006/relationships/hyperlink" Target="https://myiipea.com/media/etudiant/photo/SERME.jpg" TargetMode="External"/><Relationship Id="rId3164" Type="http://schemas.openxmlformats.org/officeDocument/2006/relationships/hyperlink" Target="https://myiipea.com/media/etudiant/photo/WhatsApp_Image_2023-10-04_at_13.16.36.jpeg" TargetMode="External"/><Relationship Id="rId3163" Type="http://schemas.openxmlformats.org/officeDocument/2006/relationships/hyperlink" Target="https://myiipea.com/media/etudiant/photo/WhatsApp_Image_2023-10-17_at_13.45.46.jpeg" TargetMode="External"/><Relationship Id="rId3166" Type="http://schemas.openxmlformats.org/officeDocument/2006/relationships/hyperlink" Target="https://myiipea.com/media/etudiant/photo/WhatsApp_Image_2023-11-02_at_16.09.50.jpeg" TargetMode="External"/><Relationship Id="rId3165" Type="http://schemas.openxmlformats.org/officeDocument/2006/relationships/hyperlink" Target="https://myiipea.com/media/etudiant/photo/WhatsApp_Image_2023-10-11_at_12.29.30.jpeg" TargetMode="External"/><Relationship Id="rId3168" Type="http://schemas.openxmlformats.org/officeDocument/2006/relationships/hyperlink" Target="https://myiipea.com/media/etudiant/photo/WhatsApp_Image_2023-10-03_at_17.34.50.jpeg" TargetMode="External"/><Relationship Id="rId3167" Type="http://schemas.openxmlformats.org/officeDocument/2006/relationships/hyperlink" Target="https://myiipea.com/media/etudiant/photo/WhatsApp_Image_2023-10-17_at_12.35.53.jpeg" TargetMode="External"/><Relationship Id="rId3169" Type="http://schemas.openxmlformats.org/officeDocument/2006/relationships/hyperlink" Target="https://myiipea.com/media/etudiant/photo/IMG_1668_resized.png" TargetMode="External"/><Relationship Id="rId2700" Type="http://schemas.openxmlformats.org/officeDocument/2006/relationships/hyperlink" Target="https://myiipea.com/media/etudiant/photo/WhatsApp_Image_2023-10-09_at_17.57.26.jpeg" TargetMode="External"/><Relationship Id="rId2701" Type="http://schemas.openxmlformats.org/officeDocument/2006/relationships/hyperlink" Target="https://myiipea.com/media/etudiant/photo/WhatsApp_Image_2023-10-16_at_14.17.09.jpeg" TargetMode="External"/><Relationship Id="rId2702" Type="http://schemas.openxmlformats.org/officeDocument/2006/relationships/hyperlink" Target="https://myiipea.com/media/etudiant/photo/WhatsApp_Image_2023-09-28_at_18.03.23.jpeg" TargetMode="External"/><Relationship Id="rId2703" Type="http://schemas.openxmlformats.org/officeDocument/2006/relationships/hyperlink" Target="https://myiipea.com/media/etudiant/photo/239422487_405915444207421_8131329350063382999_n_aw4Mjai.jpg" TargetMode="External"/><Relationship Id="rId2704" Type="http://schemas.openxmlformats.org/officeDocument/2006/relationships/hyperlink" Target="https://myiipea.com/media/etudiant/photo/WhatsApp_Image_2023-10-25_at_12.41.01.jpeg" TargetMode="External"/><Relationship Id="rId2705" Type="http://schemas.openxmlformats.org/officeDocument/2006/relationships/hyperlink" Target="https://myiipea.com/media/etudiant/photo/WhatsApp_Image_2023-10-25_at_12.08.37.jpeg" TargetMode="External"/><Relationship Id="rId2706" Type="http://schemas.openxmlformats.org/officeDocument/2006/relationships/hyperlink" Target="https://myiipea.com/media/etudiant/photo/WhatsApp_Image_2023-09-26_%C3%A0_13.23.41.jpg" TargetMode="External"/><Relationship Id="rId2707" Type="http://schemas.openxmlformats.org/officeDocument/2006/relationships/hyperlink" Target="https://myiipea.com/media/etudiant/photo/WhatsApp_Image_2023-10-02_at_13.02.54.jpeg" TargetMode="External"/><Relationship Id="rId2708" Type="http://schemas.openxmlformats.org/officeDocument/2006/relationships/hyperlink" Target="https://myiipea.com/media/etudiant/photo/WhatsApp_Image_2023-10-16_at_14.16.25_1.jpeg" TargetMode="External"/><Relationship Id="rId2709" Type="http://schemas.openxmlformats.org/officeDocument/2006/relationships/hyperlink" Target="https://myiipea.com/media/etudiant/photo/WhatsApp_Image_2023-10-04_at_16_resized.png" TargetMode="External"/><Relationship Id="rId2720" Type="http://schemas.openxmlformats.org/officeDocument/2006/relationships/hyperlink" Target="https://myiipea.com/media/etudiant/photo/WhatsApp_Image_2023-11-14_at_09.36.10.jpeg" TargetMode="External"/><Relationship Id="rId2721" Type="http://schemas.openxmlformats.org/officeDocument/2006/relationships/hyperlink" Target="https://myiipea.com/media/etudiant/photo/WhatsApp_Image_2023-10-05_at_14.59.36.jpeg" TargetMode="External"/><Relationship Id="rId2722" Type="http://schemas.openxmlformats.org/officeDocument/2006/relationships/hyperlink" Target="https://myiipea.com/media/etudiant/photo/IIPEA_OvbdYdi.jpg" TargetMode="External"/><Relationship Id="rId2723" Type="http://schemas.openxmlformats.org/officeDocument/2006/relationships/hyperlink" Target="https://myiipea.com/media/etudiant/photo/WhatsApp_Image_2023-11-24_at_12_resized.png" TargetMode="External"/><Relationship Id="rId2724" Type="http://schemas.openxmlformats.org/officeDocument/2006/relationships/hyperlink" Target="https://myiipea.com/media/etudiant/photo/WhatsApp_Image_2023-10-04_at_14.00.22.jpeg" TargetMode="External"/><Relationship Id="rId2725" Type="http://schemas.openxmlformats.org/officeDocument/2006/relationships/hyperlink" Target="https://myiipea.com/media/etudiant/photo/WhatsApp_Image_2023-11-20_at_11.30.15_AM.jpeg" TargetMode="External"/><Relationship Id="rId2726" Type="http://schemas.openxmlformats.org/officeDocument/2006/relationships/hyperlink" Target="https://myiipea.com/media/etudiant/photo/WhatsApp_Image_2023-11-20_at_11.33.34.jpeg" TargetMode="External"/><Relationship Id="rId2727" Type="http://schemas.openxmlformats.org/officeDocument/2006/relationships/hyperlink" Target="https://myiipea.com/media/etudiant/photo/WhatsApp_Image_2023-10-06_at_10.03.17.jpeg" TargetMode="External"/><Relationship Id="rId2728" Type="http://schemas.openxmlformats.org/officeDocument/2006/relationships/hyperlink" Target="https://myiipea.com/media/etudiant/photo/WhatsApp_Image_2023-10-25_at_12.32.08.jpeg" TargetMode="External"/><Relationship Id="rId2729" Type="http://schemas.openxmlformats.org/officeDocument/2006/relationships/hyperlink" Target="https://myiipea.com/media/etudiant/photo/WhatsApp_Image_2023-09-26_at_11.59.39.jpeg" TargetMode="External"/><Relationship Id="rId2710" Type="http://schemas.openxmlformats.org/officeDocument/2006/relationships/hyperlink" Target="https://myiipea.com/media/etudiant/photo/WhatsApp_Image_2023-10-05_at_11.18.32.jpeg" TargetMode="External"/><Relationship Id="rId2711" Type="http://schemas.openxmlformats.org/officeDocument/2006/relationships/hyperlink" Target="https://myiipea.com/media/etudiant/photo/WhatsApp_Image_2023-09-28_at_11.08.08.jpeg" TargetMode="External"/><Relationship Id="rId2712" Type="http://schemas.openxmlformats.org/officeDocument/2006/relationships/hyperlink" Target="https://myiipea.com/media/etudiant/photo/WhatsApp_Image_2023-10-05_at_13.09.57_NYk5X14.jpeg" TargetMode="External"/><Relationship Id="rId2713" Type="http://schemas.openxmlformats.org/officeDocument/2006/relationships/hyperlink" Target="https://myiipea.com/media/etudiant/photo/WhatsApp_Image_2023-10-30_at_10.44.50.jpeg" TargetMode="External"/><Relationship Id="rId2714" Type="http://schemas.openxmlformats.org/officeDocument/2006/relationships/hyperlink" Target="https://myiipea.com/media/etudiant/photo/WhatsApp_Image_2023-10-31_at_10.54.03_7JIAtUO.jpeg" TargetMode="External"/><Relationship Id="rId2715" Type="http://schemas.openxmlformats.org/officeDocument/2006/relationships/hyperlink" Target="https://myiipea.com/media/etudiant/photo/WhatsApp_Image_2023-10-12_at_14.24.38.jpeg" TargetMode="External"/><Relationship Id="rId2716" Type="http://schemas.openxmlformats.org/officeDocument/2006/relationships/hyperlink" Target="https://myiipea.com/media/etudiant/photo/WhatsApp_Image_2023-10-12_at_13.29.17.jpeg" TargetMode="External"/><Relationship Id="rId2717" Type="http://schemas.openxmlformats.org/officeDocument/2006/relationships/hyperlink" Target="https://myiipea.com/media/etudiant/photo/FARELLE.jpg" TargetMode="External"/><Relationship Id="rId2718" Type="http://schemas.openxmlformats.org/officeDocument/2006/relationships/hyperlink" Target="https://myiipea.com/media/etudiant/photo/WhatsApp_Image_2023-10-09_at_13.55.43.jpeg" TargetMode="External"/><Relationship Id="rId2719" Type="http://schemas.openxmlformats.org/officeDocument/2006/relationships/hyperlink" Target="https://myiipea.com/media/etudiant/photo/WhatsApp_Image_2023-10-27_at_4.13.51_PM.jpeg" TargetMode="External"/><Relationship Id="rId1455" Type="http://schemas.openxmlformats.org/officeDocument/2006/relationships/hyperlink" Target="https://myiipea.com/media/etudiant/photo/WhatsApp_Image_2023-09-28_%C3%A0_11.35.28.jpg" TargetMode="External"/><Relationship Id="rId2786" Type="http://schemas.openxmlformats.org/officeDocument/2006/relationships/hyperlink" Target="https://myiipea.com/media/etudiant/photo/WhatsApp_Image_2023-10-04_at_13.32.55.jpeg" TargetMode="External"/><Relationship Id="rId1456" Type="http://schemas.openxmlformats.org/officeDocument/2006/relationships/hyperlink" Target="https://myiipea.com/media/etudiant/photo/WhatsApp_Image_2023-10-04_at_15.06.44.jpeg" TargetMode="External"/><Relationship Id="rId2787" Type="http://schemas.openxmlformats.org/officeDocument/2006/relationships/hyperlink" Target="https://myiipea.com/media/etudiant/photo/WhatsApp_Image_2023-10-12_at_4.29.46_PM.jpeg" TargetMode="External"/><Relationship Id="rId1457" Type="http://schemas.openxmlformats.org/officeDocument/2006/relationships/hyperlink" Target="https://myiipea.com/media/etudiant/photo/WhatsApp_Image_2023-10-16_at_15.46.53.jpeg" TargetMode="External"/><Relationship Id="rId2788" Type="http://schemas.openxmlformats.org/officeDocument/2006/relationships/hyperlink" Target="https://myiipea.com/media/etudiant/photo/WhatsApp_Image_2023-11-24_at_5.42.10_PM.jpeg" TargetMode="External"/><Relationship Id="rId1458" Type="http://schemas.openxmlformats.org/officeDocument/2006/relationships/hyperlink" Target="https://myiipea.com/media/etudiant/photo/WhatsApp_Image_2023-11-13_at_12.27.13.jpeg" TargetMode="External"/><Relationship Id="rId2789" Type="http://schemas.openxmlformats.org/officeDocument/2006/relationships/hyperlink" Target="https://myiipea.com/media/etudiant/photo/WhatsApp_Image_2023-10-02_at_10.43.39.jpeg" TargetMode="External"/><Relationship Id="rId1459" Type="http://schemas.openxmlformats.org/officeDocument/2006/relationships/hyperlink" Target="https://myiipea.com/media/etudiant/photo/WhatsApp_Image_2023-10-26_at_12_resized.png" TargetMode="External"/><Relationship Id="rId629" Type="http://schemas.openxmlformats.org/officeDocument/2006/relationships/hyperlink" Target="https://myiipea.com/media/etudiant/photo/WhatsApp_Image_2023-10-17_at_16.21.45.jpeg" TargetMode="External"/><Relationship Id="rId624" Type="http://schemas.openxmlformats.org/officeDocument/2006/relationships/hyperlink" Target="https://myiipea.com/media/etudiant/photo/WhatsApp_Image_2023-10-16_at_16.54.37.jpeg" TargetMode="External"/><Relationship Id="rId623" Type="http://schemas.openxmlformats.org/officeDocument/2006/relationships/hyperlink" Target="https://myiipea.com/media/etudiant/photo/BOESSRO.jpg" TargetMode="External"/><Relationship Id="rId622" Type="http://schemas.openxmlformats.org/officeDocument/2006/relationships/hyperlink" Target="https://myiipea.com/media/etudiant/photo/WhatsApp_Image_2023-10-02_at_10.38.34.jpeg" TargetMode="External"/><Relationship Id="rId621" Type="http://schemas.openxmlformats.org/officeDocument/2006/relationships/hyperlink" Target="https://myiipea.com/media/etudiant/photo/WhatsApp_Image_2023-10-31_at_17.10.13.jpeg" TargetMode="External"/><Relationship Id="rId628" Type="http://schemas.openxmlformats.org/officeDocument/2006/relationships/hyperlink" Target="https://myiipea.com/media/etudiant/photo/WhatsApp_Image_2023-11-27_at_12.25.19_PM.jpeg" TargetMode="External"/><Relationship Id="rId627" Type="http://schemas.openxmlformats.org/officeDocument/2006/relationships/hyperlink" Target="https://myiipea.com/media/etudiant/photo/WhatsApp_Image_2023-09-28_at_11.30.43.jpeg" TargetMode="External"/><Relationship Id="rId626" Type="http://schemas.openxmlformats.org/officeDocument/2006/relationships/hyperlink" Target="https://myiipea.com/media/etudiant/photo/WhatsApp_Image_2023-11-07_at_6.49.37_PM.jpeg" TargetMode="External"/><Relationship Id="rId625" Type="http://schemas.openxmlformats.org/officeDocument/2006/relationships/hyperlink" Target="https://myiipea.com/media/etudiant/photo/WhatsApp_Image_2023-10-02_at_14.33.37.jpeg" TargetMode="External"/><Relationship Id="rId2780" Type="http://schemas.openxmlformats.org/officeDocument/2006/relationships/hyperlink" Target="https://myiipea.com/media/etudiant/photo/WhatsApp_Image_2023-09-26_at_15.23.15.jpeg" TargetMode="External"/><Relationship Id="rId1450" Type="http://schemas.openxmlformats.org/officeDocument/2006/relationships/hyperlink" Target="https://myiipea.com/media/etudiant/photo/WhatsApp_Image_2023-10-03_at_16.49.10.jpeg" TargetMode="External"/><Relationship Id="rId2781" Type="http://schemas.openxmlformats.org/officeDocument/2006/relationships/hyperlink" Target="https://myiipea.com/media/etudiant/photo/WhatsApp_Image_2023-10-04_at_2_resized_lnQrcGh.png" TargetMode="External"/><Relationship Id="rId620" Type="http://schemas.openxmlformats.org/officeDocument/2006/relationships/hyperlink" Target="https://myiipea.com/media/etudiant/photo/WhatsApp_Image_2023-09-22_at_09.28.16.jpeg" TargetMode="External"/><Relationship Id="rId1451" Type="http://schemas.openxmlformats.org/officeDocument/2006/relationships/hyperlink" Target="https://myiipea.com/media/etudiant/photo/WhatsApp_Image_2023-10-12_at_11.05.38.jpeg" TargetMode="External"/><Relationship Id="rId2782" Type="http://schemas.openxmlformats.org/officeDocument/2006/relationships/hyperlink" Target="https://myiipea.com/media/etudiant/photo/WhatsApp_Image_2023-10-02_at_6.09.36_PM.jpeg" TargetMode="External"/><Relationship Id="rId1452" Type="http://schemas.openxmlformats.org/officeDocument/2006/relationships/hyperlink" Target="https://myiipea.com/media/etudiant/photo/WhatsApp_Image_2023-10-06_at_5_resized.png" TargetMode="External"/><Relationship Id="rId2783" Type="http://schemas.openxmlformats.org/officeDocument/2006/relationships/hyperlink" Target="https://myiipea.com/media/etudiant/photo/WhatsApp_Image_2023-09-19_at_12.22.30.jpeg" TargetMode="External"/><Relationship Id="rId1453" Type="http://schemas.openxmlformats.org/officeDocument/2006/relationships/hyperlink" Target="https://myiipea.com/media/etudiant/photo/WhatsApp_Image_2023-10-20_at_13.45.32.jpeg" TargetMode="External"/><Relationship Id="rId2784" Type="http://schemas.openxmlformats.org/officeDocument/2006/relationships/hyperlink" Target="https://myiipea.com/media/etudiant/photo/WhatsApp_Image_2023-11-23_at_11.13.47_AM.jpeg" TargetMode="External"/><Relationship Id="rId1454" Type="http://schemas.openxmlformats.org/officeDocument/2006/relationships/hyperlink" Target="https://myiipea.com/media/etudiant/photo/WhatsApp_Image_2023-11-20_at_12.14.44.jpeg" TargetMode="External"/><Relationship Id="rId2785" Type="http://schemas.openxmlformats.org/officeDocument/2006/relationships/hyperlink" Target="https://myiipea.com/media/etudiant/photo/WhatsApp_Image_2023-10-13_at_11_resized.png" TargetMode="External"/><Relationship Id="rId1444" Type="http://schemas.openxmlformats.org/officeDocument/2006/relationships/hyperlink" Target="https://myiipea.com/media/etudiant/photo/WhatsApp_Image_2023-10-03_at_11.35.09_AM.jpeg" TargetMode="External"/><Relationship Id="rId2775" Type="http://schemas.openxmlformats.org/officeDocument/2006/relationships/hyperlink" Target="https://myiipea.com/media/etudiant/photo/WhatsApp_Image_2023-10-10_at_16.32.13.jpeg" TargetMode="External"/><Relationship Id="rId1445" Type="http://schemas.openxmlformats.org/officeDocument/2006/relationships/hyperlink" Target="https://myiipea.com/media/etudiant/photo/WhatsApp_Image_2023-10-03_at_12.23.22.jpeg" TargetMode="External"/><Relationship Id="rId2776" Type="http://schemas.openxmlformats.org/officeDocument/2006/relationships/hyperlink" Target="https://myiipea.com/media/etudiant/photo/WhatsApp_Image_2023-10-03_at_16.19.28.jpeg" TargetMode="External"/><Relationship Id="rId1446" Type="http://schemas.openxmlformats.org/officeDocument/2006/relationships/hyperlink" Target="https://myiipea.com/media/etudiant/photo/WhatsApp_Image_2023-10-25_at_14.17.47.jpeg" TargetMode="External"/><Relationship Id="rId2777" Type="http://schemas.openxmlformats.org/officeDocument/2006/relationships/hyperlink" Target="https://myiipea.com/media/etudiant/photo/WhatsApp_Image_2023-10-03_at_16.59.02.jpeg" TargetMode="External"/><Relationship Id="rId1447" Type="http://schemas.openxmlformats.org/officeDocument/2006/relationships/hyperlink" Target="https://myiipea.com/media/etudiant/photo/WhatsApp_Image_2023-10-12_at_13.07.08.jpeg" TargetMode="External"/><Relationship Id="rId2778" Type="http://schemas.openxmlformats.org/officeDocument/2006/relationships/hyperlink" Target="https://myiipea.com/media/etudiant/photo/WhatsApp_Image_2023-10-05_at_16.29.33.jpeg" TargetMode="External"/><Relationship Id="rId1448" Type="http://schemas.openxmlformats.org/officeDocument/2006/relationships/hyperlink" Target="https://myiipea.com/media/etudiant/photo/WhatsApp_Image_2023-09-14_at_14.17.12.jpeg" TargetMode="External"/><Relationship Id="rId2779" Type="http://schemas.openxmlformats.org/officeDocument/2006/relationships/hyperlink" Target="https://myiipea.com/media/etudiant/photo/WhatsApp_Image_2023-11-16_at_13.20.07.jpeg" TargetMode="External"/><Relationship Id="rId1449" Type="http://schemas.openxmlformats.org/officeDocument/2006/relationships/hyperlink" Target="https://myiipea.com/media/etudiant/photo/WhatsApp_Image_2023-10-02_at_18.37.56.jpeg" TargetMode="External"/><Relationship Id="rId619" Type="http://schemas.openxmlformats.org/officeDocument/2006/relationships/hyperlink" Target="https://myiipea.com/media/etudiant/photo/WhatsApp_Image_2023-10-09_at_17.38.54.jpeg" TargetMode="External"/><Relationship Id="rId618" Type="http://schemas.openxmlformats.org/officeDocument/2006/relationships/hyperlink" Target="https://myiipea.com/media/etudiant/photo/WhatsApp_Image_2023-11-07_at_12.40.44.jpeg" TargetMode="External"/><Relationship Id="rId613" Type="http://schemas.openxmlformats.org/officeDocument/2006/relationships/hyperlink" Target="https://myiipea.com/media/etudiant/photo/WhatsApp_Image_2023-10-06_at_1.39.02_PM.jpeg" TargetMode="External"/><Relationship Id="rId612" Type="http://schemas.openxmlformats.org/officeDocument/2006/relationships/hyperlink" Target="https://myiipea.com/media/etudiant/photo/WhatsApp_Image_2023-10-26_at_10.39.23.jpeg" TargetMode="External"/><Relationship Id="rId611" Type="http://schemas.openxmlformats.org/officeDocument/2006/relationships/hyperlink" Target="https://myiipea.com/media/etudiant/photo/WhatsApp_Image_2023-10-02_at_10.38.57.jpeg" TargetMode="External"/><Relationship Id="rId610" Type="http://schemas.openxmlformats.org/officeDocument/2006/relationships/hyperlink" Target="https://myiipea.com/media/etudiant/photo/WhatsApp_Image_2023-10-03_at_16.23.56.jpeg" TargetMode="External"/><Relationship Id="rId617" Type="http://schemas.openxmlformats.org/officeDocument/2006/relationships/hyperlink" Target="https://myiipea.com/media/etudiant/photo/WhatsApp_Image_2023-10-17_at_15.53.07.jpeg" TargetMode="External"/><Relationship Id="rId616" Type="http://schemas.openxmlformats.org/officeDocument/2006/relationships/hyperlink" Target="https://myiipea.com/media/etudiant/photo/IIPEA_FTR3GyL.jpg" TargetMode="External"/><Relationship Id="rId615" Type="http://schemas.openxmlformats.org/officeDocument/2006/relationships/hyperlink" Target="https://myiipea.com/media/etudiant/photo/WhatsApp_Image_2023-10-13_at_6.55.07_PM.jpeg" TargetMode="External"/><Relationship Id="rId614" Type="http://schemas.openxmlformats.org/officeDocument/2006/relationships/hyperlink" Target="https://myiipea.com/media/etudiant/photo/WhatsApp_Image_2023-10-06_at_10.47.01.jpeg" TargetMode="External"/><Relationship Id="rId2770" Type="http://schemas.openxmlformats.org/officeDocument/2006/relationships/hyperlink" Target="https://myiipea.com/media/etudiant/photo/WhatsApp_Image_2023-10-20_at_13.05.13.jpeg" TargetMode="External"/><Relationship Id="rId1440" Type="http://schemas.openxmlformats.org/officeDocument/2006/relationships/hyperlink" Target="https://myiipea.com/media/etudiant/photo/WhatsApp_Image_2023-09-28_at_16.49.54.jpeg" TargetMode="External"/><Relationship Id="rId2771" Type="http://schemas.openxmlformats.org/officeDocument/2006/relationships/hyperlink" Target="https://myiipea.com/media/etudiant/photo/WhatsApp_Image_2023-09-22_at_12.39.34.jpeg" TargetMode="External"/><Relationship Id="rId1441" Type="http://schemas.openxmlformats.org/officeDocument/2006/relationships/hyperlink" Target="https://myiipea.com/media/etudiant/photo/WhatsApp_Image_2023-11-21_at_11.18.08.jpeg" TargetMode="External"/><Relationship Id="rId2772" Type="http://schemas.openxmlformats.org/officeDocument/2006/relationships/hyperlink" Target="https://myiipea.com/media/etudiant/photo/WhatsApp_Image_2023-11-29_at_1.47.37_PM.jpeg" TargetMode="External"/><Relationship Id="rId1442" Type="http://schemas.openxmlformats.org/officeDocument/2006/relationships/hyperlink" Target="https://myiipea.com/media/etudiant/photo/WhatsApp_Image_2023-10-24_at_10.02.29.jpeg" TargetMode="External"/><Relationship Id="rId2773" Type="http://schemas.openxmlformats.org/officeDocument/2006/relationships/hyperlink" Target="https://myiipea.com/media/etudiant/photo/WhatsApp_Image_2023-10-03_at_08.42.12.jpeg" TargetMode="External"/><Relationship Id="rId1443" Type="http://schemas.openxmlformats.org/officeDocument/2006/relationships/hyperlink" Target="https://myiipea.com/media/etudiant/photo/WhatsApp_Image_2023-10-16_at_13.18.28.jpeg" TargetMode="External"/><Relationship Id="rId2774" Type="http://schemas.openxmlformats.org/officeDocument/2006/relationships/hyperlink" Target="https://myiipea.com/media/etudiant/photo/WhatsApp_Image_2023-11-23_at_1.13.37_PM.jpeg" TargetMode="External"/><Relationship Id="rId1477" Type="http://schemas.openxmlformats.org/officeDocument/2006/relationships/hyperlink" Target="https://myiipea.com/media/etudiant/photo/WhatsApp_Image_2023-10-10_at_09.18.57.jpeg" TargetMode="External"/><Relationship Id="rId1478" Type="http://schemas.openxmlformats.org/officeDocument/2006/relationships/hyperlink" Target="https://myiipea.com/media/etudiant/photo/WhatsApp_Image_2023-10-05_at_14.12.42.jpeg" TargetMode="External"/><Relationship Id="rId1479" Type="http://schemas.openxmlformats.org/officeDocument/2006/relationships/hyperlink" Target="https://myiipea.com/media/etudiant/photo/WhatsApp_Image_2023-10-04_at_11.31.43_AM.jpeg" TargetMode="External"/><Relationship Id="rId646" Type="http://schemas.openxmlformats.org/officeDocument/2006/relationships/hyperlink" Target="https://myiipea.com/media/etudiant/photo/WhatsApp_Image_2023-10-11_at_19.43.05.jpeg" TargetMode="External"/><Relationship Id="rId645" Type="http://schemas.openxmlformats.org/officeDocument/2006/relationships/hyperlink" Target="https://myiipea.com/media/etudiant/photo/WhatsApp_Image_2023-10-12_at_09.42.11.jpeg" TargetMode="External"/><Relationship Id="rId644" Type="http://schemas.openxmlformats.org/officeDocument/2006/relationships/hyperlink" Target="https://myiipea.com/media/etudiant/photo/WhatsApp_Image_2023-10-03_at_17.32.04.jpeg" TargetMode="External"/><Relationship Id="rId643" Type="http://schemas.openxmlformats.org/officeDocument/2006/relationships/hyperlink" Target="https://myiipea.com/media/etudiant/photo/WhatsApp_Image_2023-09-29_at_14.47.17.jpeg" TargetMode="External"/><Relationship Id="rId649" Type="http://schemas.openxmlformats.org/officeDocument/2006/relationships/hyperlink" Target="https://myiipea.com/media/etudiant/photo/WhatsApp_Image_2023-10-26_at_11.29.47.jpeg" TargetMode="External"/><Relationship Id="rId648" Type="http://schemas.openxmlformats.org/officeDocument/2006/relationships/hyperlink" Target="https://myiipea.com/media/etudiant/photo/WhatsApp_Image_2023-11-22_at_11.07.37_AM.jpeg" TargetMode="External"/><Relationship Id="rId647" Type="http://schemas.openxmlformats.org/officeDocument/2006/relationships/hyperlink" Target="https://myiipea.com/media/etudiant/photo/WhatsApp_Image_2023-09-26_at_10.12.32.jpeg" TargetMode="External"/><Relationship Id="rId1470" Type="http://schemas.openxmlformats.org/officeDocument/2006/relationships/hyperlink" Target="https://myiipea.com/media/etudiant/photo/WhatsApp_Image_2023-10-09_at_12.04.17_PM.jpeg" TargetMode="External"/><Relationship Id="rId1471" Type="http://schemas.openxmlformats.org/officeDocument/2006/relationships/hyperlink" Target="https://myiipea.com/media/etudiant/photo/WhatsApp_Image_2023-11-30_at_3.39.08_PM.jpeg" TargetMode="External"/><Relationship Id="rId1472" Type="http://schemas.openxmlformats.org/officeDocument/2006/relationships/hyperlink" Target="https://myiipea.com/media/etudiant/photo/WhatsApp_Image_2023-10-03_at_14.20.40.jpeg" TargetMode="External"/><Relationship Id="rId642" Type="http://schemas.openxmlformats.org/officeDocument/2006/relationships/hyperlink" Target="https://myiipea.com/media/etudiant/photo/239422487_405915444207421_8131329350063382999_n_6QDVYF8.jpg" TargetMode="External"/><Relationship Id="rId1473" Type="http://schemas.openxmlformats.org/officeDocument/2006/relationships/hyperlink" Target="https://myiipea.com/media/etudiant/photo/WhatsApp_Image_2023-11-04_at_10.33.27.jpeg" TargetMode="External"/><Relationship Id="rId641" Type="http://schemas.openxmlformats.org/officeDocument/2006/relationships/hyperlink" Target="https://myiipea.com/media/etudiant/photo/WhatsApp_Image_2023-11-20_at_1.17.09_PM.jpeg" TargetMode="External"/><Relationship Id="rId1474" Type="http://schemas.openxmlformats.org/officeDocument/2006/relationships/hyperlink" Target="https://myiipea.com/media/etudiant/photo/WhatsApp_Image_2023-11-27_at_16.51.43.jpeg" TargetMode="External"/><Relationship Id="rId640" Type="http://schemas.openxmlformats.org/officeDocument/2006/relationships/hyperlink" Target="https://myiipea.com/media/etudiant/photo/WhatsApp_Image_2023-10-09_at_12_resized.png" TargetMode="External"/><Relationship Id="rId1475" Type="http://schemas.openxmlformats.org/officeDocument/2006/relationships/hyperlink" Target="https://myiipea.com/media/etudiant/photo/WhatsApp_Image_2023-10-24_at_14.10.24.jpeg" TargetMode="External"/><Relationship Id="rId1476" Type="http://schemas.openxmlformats.org/officeDocument/2006/relationships/hyperlink" Target="https://myiipea.com/media/etudiant/photo/WhatsApp_Image_2023-11-02_at_6.18.13_PM.jpeg" TargetMode="External"/><Relationship Id="rId1466" Type="http://schemas.openxmlformats.org/officeDocument/2006/relationships/hyperlink" Target="https://myiipea.com/media/etudiant/photo/WhatsApp_Image_2023-09-29_at_13.47.09.jpeg" TargetMode="External"/><Relationship Id="rId2797" Type="http://schemas.openxmlformats.org/officeDocument/2006/relationships/hyperlink" Target="https://myiipea.com/media/etudiant/photo/WhatsApp_Image_2023-11-30_at_09.25.20.jpeg" TargetMode="External"/><Relationship Id="rId1467" Type="http://schemas.openxmlformats.org/officeDocument/2006/relationships/hyperlink" Target="https://myiipea.com/media/etudiant/photo/VALENTINE.jpg" TargetMode="External"/><Relationship Id="rId2798" Type="http://schemas.openxmlformats.org/officeDocument/2006/relationships/hyperlink" Target="https://myiipea.com/media/etudiant/photo/IIPEA2_b1pZVv1.jpeg" TargetMode="External"/><Relationship Id="rId1468" Type="http://schemas.openxmlformats.org/officeDocument/2006/relationships/hyperlink" Target="https://myiipea.com/media/etudiant/photo/WhatsApp_Image_2023-10-20_at_4.37.54_PM.jpeg" TargetMode="External"/><Relationship Id="rId2799" Type="http://schemas.openxmlformats.org/officeDocument/2006/relationships/hyperlink" Target="https://myiipea.com/media/etudiant/photo/WhatsApp_Image_2023-10-02_at_18.11.38.jpeg" TargetMode="External"/><Relationship Id="rId1469" Type="http://schemas.openxmlformats.org/officeDocument/2006/relationships/hyperlink" Target="https://myiipea.com/media/etudiant/photo/WhatsApp_Image_2023-11-06_at_1.18.20_PM.jpeg" TargetMode="External"/><Relationship Id="rId635" Type="http://schemas.openxmlformats.org/officeDocument/2006/relationships/hyperlink" Target="https://myiipea.com/media/etudiant/photo/WhatsApp_Image_2023-10-12_at_13.09.46.jpeg" TargetMode="External"/><Relationship Id="rId634" Type="http://schemas.openxmlformats.org/officeDocument/2006/relationships/hyperlink" Target="https://myiipea.com/media/etudiant/photo/2d0ca259-a2d5-4543-bc71-fcdeeeb7e0ab-removebg-preview.png" TargetMode="External"/><Relationship Id="rId633" Type="http://schemas.openxmlformats.org/officeDocument/2006/relationships/hyperlink" Target="https://myiipea.com/media/etudiant/photo/21A29BFD-9335-434E-A777-95ED7762F30A_resized.png" TargetMode="External"/><Relationship Id="rId632" Type="http://schemas.openxmlformats.org/officeDocument/2006/relationships/hyperlink" Target="https://myiipea.com/media/etudiant/photo/WhatsApp_Image_2023-10-13_at_19.31.12.jpeg" TargetMode="External"/><Relationship Id="rId639" Type="http://schemas.openxmlformats.org/officeDocument/2006/relationships/hyperlink" Target="https://myiipea.com/media/etudiant/photo/WhatsApp_Image_2023-10-05_at_16.37.04.jpeg" TargetMode="External"/><Relationship Id="rId638" Type="http://schemas.openxmlformats.org/officeDocument/2006/relationships/hyperlink" Target="https://myiipea.com/media/etudiant/photo/WhatsApp_Image_2023-10-19_at_17_resized.png" TargetMode="External"/><Relationship Id="rId637" Type="http://schemas.openxmlformats.org/officeDocument/2006/relationships/hyperlink" Target="https://myiipea.com/media/etudiant/photo/WhatsApp_Image_2023-10-03_at_17.52.09.jpeg" TargetMode="External"/><Relationship Id="rId636" Type="http://schemas.openxmlformats.org/officeDocument/2006/relationships/hyperlink" Target="https://myiipea.com/media/etudiant/photo/WhatsApp_Image_2023-09-28_at_10.02.56.jpeg" TargetMode="External"/><Relationship Id="rId2790" Type="http://schemas.openxmlformats.org/officeDocument/2006/relationships/hyperlink" Target="https://myiipea.com/media/etudiant/photo/WhatsApp_Image_2023-10-23_at_15.42.55.jpeg" TargetMode="External"/><Relationship Id="rId1460" Type="http://schemas.openxmlformats.org/officeDocument/2006/relationships/hyperlink" Target="https://myiipea.com/media/etudiant/photo/WhatsApp_Image_2023-09-29_at_09.50.20.jpeg" TargetMode="External"/><Relationship Id="rId2791" Type="http://schemas.openxmlformats.org/officeDocument/2006/relationships/hyperlink" Target="https://myiipea.com/media/etudiant/photo/WhatsApp_Image_2023-09-28_at_10.32.08.jpeg" TargetMode="External"/><Relationship Id="rId1461" Type="http://schemas.openxmlformats.org/officeDocument/2006/relationships/hyperlink" Target="https://myiipea.com/media/etudiant/photo/WhatsApp_Image_2023-11-16_at_14.13.30.jpeg" TargetMode="External"/><Relationship Id="rId2792" Type="http://schemas.openxmlformats.org/officeDocument/2006/relationships/hyperlink" Target="https://myiipea.com/media/etudiant/photo/WhatsApp_Image_2023-10-16_at_17.01.17.jpeg" TargetMode="External"/><Relationship Id="rId631" Type="http://schemas.openxmlformats.org/officeDocument/2006/relationships/hyperlink" Target="https://myiipea.com/media/etudiant/photo/WhatsApp_Image_2023-10-03_at_11.59.03.jpeg" TargetMode="External"/><Relationship Id="rId1462" Type="http://schemas.openxmlformats.org/officeDocument/2006/relationships/hyperlink" Target="https://myiipea.com/media/etudiant/photo/WhatsApp_Image_2023-11-06_at_11.06.13.jpeg" TargetMode="External"/><Relationship Id="rId2793" Type="http://schemas.openxmlformats.org/officeDocument/2006/relationships/hyperlink" Target="https://myiipea.com/media/etudiant/photo/WhatsApp_Image_2023-11-06_at_10.49.35.jpeg" TargetMode="External"/><Relationship Id="rId630" Type="http://schemas.openxmlformats.org/officeDocument/2006/relationships/hyperlink" Target="https://myiipea.com/media/etudiant/photo/WhatsApp_Image_2023-10-09_at_15.42.58.jpeg" TargetMode="External"/><Relationship Id="rId1463" Type="http://schemas.openxmlformats.org/officeDocument/2006/relationships/hyperlink" Target="https://myiipea.com/media/etudiant/photo/WhatsApp_Image_2023-09-26_at_13.59.37.jpeg" TargetMode="External"/><Relationship Id="rId2794" Type="http://schemas.openxmlformats.org/officeDocument/2006/relationships/hyperlink" Target="https://myiipea.com/media/etudiant/photo/WhatsApp_Image_2023-09-28_at_12.32.05.jpeg" TargetMode="External"/><Relationship Id="rId1464" Type="http://schemas.openxmlformats.org/officeDocument/2006/relationships/hyperlink" Target="https://myiipea.com/media/etudiant/photo/WhatsApp_Image_2023-11-28_at_12.05.38.jpeg" TargetMode="External"/><Relationship Id="rId2795" Type="http://schemas.openxmlformats.org/officeDocument/2006/relationships/hyperlink" Target="https://myiipea.com/media/etudiant/photo/WhatsApp_Image_2023-10-02_at_18.38.21.jpeg" TargetMode="External"/><Relationship Id="rId1465" Type="http://schemas.openxmlformats.org/officeDocument/2006/relationships/hyperlink" Target="https://myiipea.com/media/etudiant/photo/WhatsApp_Image_2023-11-06_at_16.49.49.jpeg" TargetMode="External"/><Relationship Id="rId2796" Type="http://schemas.openxmlformats.org/officeDocument/2006/relationships/hyperlink" Target="https://myiipea.com/media/etudiant/photo/WhatsApp_Image_2023-11-06_at_14.39.41.jpeg" TargetMode="External"/><Relationship Id="rId1411" Type="http://schemas.openxmlformats.org/officeDocument/2006/relationships/hyperlink" Target="https://myiipea.com/media/etudiant/photo/WhatsApp_Image_2023-10-02_at_3_resized.png" TargetMode="External"/><Relationship Id="rId2742" Type="http://schemas.openxmlformats.org/officeDocument/2006/relationships/hyperlink" Target="https://myiipea.com/media/etudiant/photo/WhatsApp_Image_2023-09-28_at_11_resized_GanKo1G.png" TargetMode="External"/><Relationship Id="rId1412" Type="http://schemas.openxmlformats.org/officeDocument/2006/relationships/hyperlink" Target="https://myiipea.com/media/etudiant/photo/WhatsApp_Image_2023-10-24_at_12.51.23.jpeg" TargetMode="External"/><Relationship Id="rId2743" Type="http://schemas.openxmlformats.org/officeDocument/2006/relationships/hyperlink" Target="https://myiipea.com/media/etudiant/photo/WhatsApp_Image_2023-11-07_at_12.23.08_PM.jpeg" TargetMode="External"/><Relationship Id="rId1413" Type="http://schemas.openxmlformats.org/officeDocument/2006/relationships/hyperlink" Target="https://myiipea.com/media/etudiant/photo/WhatsApp_Image_2023-10-02_at_14.11.56.jpeg" TargetMode="External"/><Relationship Id="rId2744" Type="http://schemas.openxmlformats.org/officeDocument/2006/relationships/hyperlink" Target="https://myiipea.com/media/etudiant/photo/WhatsApp_Image_2023-11-02_at_15.18.48.jpeg" TargetMode="External"/><Relationship Id="rId1414" Type="http://schemas.openxmlformats.org/officeDocument/2006/relationships/hyperlink" Target="https://myiipea.com/media/etudiant/photo/WhatsApp_Image_2023-10-17_at_13.54.52.jpeg" TargetMode="External"/><Relationship Id="rId2745" Type="http://schemas.openxmlformats.org/officeDocument/2006/relationships/hyperlink" Target="https://myiipea.com/media/etudiant/photo/WhatsApp_Image_2023-10-13_at_17.43.02.jpeg" TargetMode="External"/><Relationship Id="rId1415" Type="http://schemas.openxmlformats.org/officeDocument/2006/relationships/hyperlink" Target="https://myiipea.com/media/etudiant/photo/WhatsApp_Image_2023-10-03_at_15.53.11.jpeg" TargetMode="External"/><Relationship Id="rId2746" Type="http://schemas.openxmlformats.org/officeDocument/2006/relationships/hyperlink" Target="https://myiipea.com/media/etudiant/photo/WhatsApp_Image_2023-10-12_at_11.48.24.jpeg" TargetMode="External"/><Relationship Id="rId1416" Type="http://schemas.openxmlformats.org/officeDocument/2006/relationships/hyperlink" Target="https://myiipea.com/media/etudiant/photo/WhatsApp_Image_2023-10-02_at_15.26.47.jpeg" TargetMode="External"/><Relationship Id="rId2747" Type="http://schemas.openxmlformats.org/officeDocument/2006/relationships/hyperlink" Target="https://myiipea.com/media/etudiant/photo/WhatsApp_Image_2023-10-03_at_11.14.56_AM_HWLThDn.jpeg" TargetMode="External"/><Relationship Id="rId1417" Type="http://schemas.openxmlformats.org/officeDocument/2006/relationships/hyperlink" Target="https://myiipea.com/media/etudiant/photo/WhatsApp_Image_2023-10-16_at_15.38.05.jpeg" TargetMode="External"/><Relationship Id="rId2748" Type="http://schemas.openxmlformats.org/officeDocument/2006/relationships/hyperlink" Target="https://myiipea.com/media/etudiant/photo/WhatsApp_Image_2023-10-23_at_11.12.34.jpeg" TargetMode="External"/><Relationship Id="rId1418" Type="http://schemas.openxmlformats.org/officeDocument/2006/relationships/hyperlink" Target="https://myiipea.com/media/etudiant/photo/WhatsApp_Image_2023-10-02_at_5.17.54_PM.jpeg" TargetMode="External"/><Relationship Id="rId2749" Type="http://schemas.openxmlformats.org/officeDocument/2006/relationships/hyperlink" Target="https://myiipea.com/media/etudiant/photo/WhatsApp_Image_2023-10-04_at_15.54.01.jpeg" TargetMode="External"/><Relationship Id="rId1419" Type="http://schemas.openxmlformats.org/officeDocument/2006/relationships/hyperlink" Target="https://myiipea.com/media/etudiant/photo/WhatsApp_Image_2023-10-30_at_16.07.27.jpeg" TargetMode="External"/><Relationship Id="rId2740" Type="http://schemas.openxmlformats.org/officeDocument/2006/relationships/hyperlink" Target="https://myiipea.com/media/etudiant/photo/WhatsApp_Image_2023-10-13_at_7.38.24_PM.jpeg" TargetMode="External"/><Relationship Id="rId1410" Type="http://schemas.openxmlformats.org/officeDocument/2006/relationships/hyperlink" Target="https://myiipea.com/media/etudiant/photo/WhatsApp_Image_2023-10-26_at_11.51.55.jpeg" TargetMode="External"/><Relationship Id="rId2741" Type="http://schemas.openxmlformats.org/officeDocument/2006/relationships/hyperlink" Target="https://myiipea.com/media/etudiant/photo/WhatsApp_Image_2023-09-29_at_14.18.34.jpeg" TargetMode="External"/><Relationship Id="rId1400" Type="http://schemas.openxmlformats.org/officeDocument/2006/relationships/hyperlink" Target="https://myiipea.com/media/etudiant/photo/WhatsApp_Image_2023-10-30_at_14.37.00.jpeg" TargetMode="External"/><Relationship Id="rId2731" Type="http://schemas.openxmlformats.org/officeDocument/2006/relationships/hyperlink" Target="https://myiipea.com/media/etudiant/photo/WhatsApp_Image_2023-10-03_at_10.50.26.jpeg" TargetMode="External"/><Relationship Id="rId1401" Type="http://schemas.openxmlformats.org/officeDocument/2006/relationships/hyperlink" Target="https://myiipea.com/media/etudiant/photo/WhatsApp_Image_2023-10-05_at_13_resized_okBPuWR.png" TargetMode="External"/><Relationship Id="rId2732" Type="http://schemas.openxmlformats.org/officeDocument/2006/relationships/hyperlink" Target="https://myiipea.com/media/etudiant/photo/WhatsApp_Image_2023-10-02_at_08.37.02.jpeg" TargetMode="External"/><Relationship Id="rId1402" Type="http://schemas.openxmlformats.org/officeDocument/2006/relationships/hyperlink" Target="https://myiipea.com/media/etudiant/photo/WhatsApp_Image_2023-11-29_at_12.19.00_PM.jpeg" TargetMode="External"/><Relationship Id="rId2733" Type="http://schemas.openxmlformats.org/officeDocument/2006/relationships/hyperlink" Target="https://myiipea.com/media/etudiant/photo/WhatsApp_Image_2023-11-23_at_12.03.30.jpeg" TargetMode="External"/><Relationship Id="rId1403" Type="http://schemas.openxmlformats.org/officeDocument/2006/relationships/hyperlink" Target="https://myiipea.com/media/etudiant/photo/WhatsApp_Image_2023-10-19_at_13.13.25.jpeg" TargetMode="External"/><Relationship Id="rId2734" Type="http://schemas.openxmlformats.org/officeDocument/2006/relationships/hyperlink" Target="https://myiipea.com/media/etudiant/photo/WhatsApp_Image_2023-10-06_at_12.44.48.jpeg" TargetMode="External"/><Relationship Id="rId1404" Type="http://schemas.openxmlformats.org/officeDocument/2006/relationships/hyperlink" Target="https://myiipea.com/media/etudiant/photo/WhatsApp_Image_2023-10-02_at_19.06.41.jpeg" TargetMode="External"/><Relationship Id="rId2735" Type="http://schemas.openxmlformats.org/officeDocument/2006/relationships/hyperlink" Target="https://myiipea.com/media/etudiant/photo/WhatsApp_Image_2023-10-09_at_5_resized.png" TargetMode="External"/><Relationship Id="rId1405" Type="http://schemas.openxmlformats.org/officeDocument/2006/relationships/hyperlink" Target="https://myiipea.com/media/etudiant/photo/WhatsApp_Image_2023-11-06_at_11.48.53.jpeg" TargetMode="External"/><Relationship Id="rId2736" Type="http://schemas.openxmlformats.org/officeDocument/2006/relationships/hyperlink" Target="https://myiipea.com/media/etudiant/photo/WhatsApp_Image_2023-10-02_at_14.41.30.jpeg" TargetMode="External"/><Relationship Id="rId1406" Type="http://schemas.openxmlformats.org/officeDocument/2006/relationships/hyperlink" Target="https://myiipea.com/media/etudiant/photo/WhatsApp_Image_2023-10-20_at_11.12.32.jpeg" TargetMode="External"/><Relationship Id="rId2737" Type="http://schemas.openxmlformats.org/officeDocument/2006/relationships/hyperlink" Target="https://myiipea.com/media/etudiant/photo/t%C3%A9l%C3%A9chargement_2.jpg" TargetMode="External"/><Relationship Id="rId1407" Type="http://schemas.openxmlformats.org/officeDocument/2006/relationships/hyperlink" Target="https://myiipea.com/media/etudiant/photo/WhatsApp_Image_2023-11-17_at_12.39.55_PM.jpeg" TargetMode="External"/><Relationship Id="rId2738" Type="http://schemas.openxmlformats.org/officeDocument/2006/relationships/hyperlink" Target="https://myiipea.com/media/etudiant/photo/WhatsApp_Image_2023-10-16_at_10.36.36.jpeg" TargetMode="External"/><Relationship Id="rId1408" Type="http://schemas.openxmlformats.org/officeDocument/2006/relationships/hyperlink" Target="https://myiipea.com/media/etudiant/photo/83f486cf-60ee-48d8-b51b-b3c6a654c5f3-removebg-preview.png" TargetMode="External"/><Relationship Id="rId2739" Type="http://schemas.openxmlformats.org/officeDocument/2006/relationships/hyperlink" Target="https://myiipea.com/media/etudiant/photo/WhatsApp_Image_2023-10-03_at_11.40.44_AM.jpeg" TargetMode="External"/><Relationship Id="rId1409" Type="http://schemas.openxmlformats.org/officeDocument/2006/relationships/hyperlink" Target="https://myiipea.com/media/etudiant/photo/WhatsApp_Image_2023-10-24_at_14.29.35.jpeg" TargetMode="External"/><Relationship Id="rId2730" Type="http://schemas.openxmlformats.org/officeDocument/2006/relationships/hyperlink" Target="https://myiipea.com/media/etudiant/photo/WhatsApp_Image_2023-10-02_at_17.12.00.jpeg" TargetMode="External"/><Relationship Id="rId1433" Type="http://schemas.openxmlformats.org/officeDocument/2006/relationships/hyperlink" Target="https://myiipea.com/media/etudiant/photo/WhatsApp_Image_2023-10-02_at_15.23.18.jpeg" TargetMode="External"/><Relationship Id="rId2764" Type="http://schemas.openxmlformats.org/officeDocument/2006/relationships/hyperlink" Target="https://myiipea.com/media/etudiant/photo/WhatsApp_Image_2023-10-31_at_3.30.15_PM.jpeg" TargetMode="External"/><Relationship Id="rId1434" Type="http://schemas.openxmlformats.org/officeDocument/2006/relationships/hyperlink" Target="https://myiipea.com/media/etudiant/photo/WhatsApp_Image_2023-10-04_at_13.57.02.jpeg" TargetMode="External"/><Relationship Id="rId2765" Type="http://schemas.openxmlformats.org/officeDocument/2006/relationships/hyperlink" Target="https://myiipea.com/media/etudiant/photo/WhatsApp_Image_2023-10-05_at_10.58.23.jpeg" TargetMode="External"/><Relationship Id="rId1435" Type="http://schemas.openxmlformats.org/officeDocument/2006/relationships/hyperlink" Target="https://myiipea.com/media/etudiant/photo/WhatsApp_Image_2023-10-09_at_15.05.07.jpeg" TargetMode="External"/><Relationship Id="rId2766" Type="http://schemas.openxmlformats.org/officeDocument/2006/relationships/hyperlink" Target="https://myiipea.com/media/etudiant/photo/IIPEA_W3mzc5I.png" TargetMode="External"/><Relationship Id="rId1436" Type="http://schemas.openxmlformats.org/officeDocument/2006/relationships/hyperlink" Target="https://myiipea.com/media/etudiant/photo/WhatsApp_Image_2023-10-13_at_15.06.44_PR8QFSq.jpeg" TargetMode="External"/><Relationship Id="rId2767" Type="http://schemas.openxmlformats.org/officeDocument/2006/relationships/hyperlink" Target="https://myiipea.com/media/etudiant/photo/WhatsApp_Image_2023-10-06_at_09.46.15.jpeg" TargetMode="External"/><Relationship Id="rId1437" Type="http://schemas.openxmlformats.org/officeDocument/2006/relationships/hyperlink" Target="https://myiipea.com/media/etudiant/photo/WhatsApp_Image_2023-09-26_at_16.47.59.jpeg" TargetMode="External"/><Relationship Id="rId2768" Type="http://schemas.openxmlformats.org/officeDocument/2006/relationships/hyperlink" Target="https://myiipea.com/media/etudiant/photo/WhatsApp_Image_2023-11-16_at_13.37.47.jpeg" TargetMode="External"/><Relationship Id="rId1438" Type="http://schemas.openxmlformats.org/officeDocument/2006/relationships/hyperlink" Target="https://myiipea.com/media/etudiant/photo/WhatsApp_Image_2023-10-05_at_19.25.36.jpeg" TargetMode="External"/><Relationship Id="rId2769" Type="http://schemas.openxmlformats.org/officeDocument/2006/relationships/hyperlink" Target="https://myiipea.com/media/etudiant/photo/WhatsApp_Image_2023-10-20_at_16.53.15.jpeg" TargetMode="External"/><Relationship Id="rId1439" Type="http://schemas.openxmlformats.org/officeDocument/2006/relationships/hyperlink" Target="https://myiipea.com/media/etudiant/photo/WhatsApp_Image_2023-10-04_at_09.07.32.jpeg" TargetMode="External"/><Relationship Id="rId609" Type="http://schemas.openxmlformats.org/officeDocument/2006/relationships/hyperlink" Target="https://myiipea.com/media/etudiant/photo/WhatsApp_Image_2023-09-21_at_15.11.48.jpeg" TargetMode="External"/><Relationship Id="rId608" Type="http://schemas.openxmlformats.org/officeDocument/2006/relationships/hyperlink" Target="https://myiipea.com/media/etudiant/photo/WhatsApp_Image_2023-10-16_at_11.29.49_AM.jpeg" TargetMode="External"/><Relationship Id="rId607" Type="http://schemas.openxmlformats.org/officeDocument/2006/relationships/hyperlink" Target="https://myiipea.com/media/etudiant/photo/WhatsApp_Image_2023-10-31_at_15.56.31.jpeg" TargetMode="External"/><Relationship Id="rId602" Type="http://schemas.openxmlformats.org/officeDocument/2006/relationships/hyperlink" Target="https://myiipea.com/media/etudiant/photo/WhatsApp_Image_2023-11-02_at_09.24.28.jpeg" TargetMode="External"/><Relationship Id="rId601" Type="http://schemas.openxmlformats.org/officeDocument/2006/relationships/hyperlink" Target="https://myiipea.com/media/etudiant/photo/WhatsApp_Image_2023-10-10_at_16.10.53.jpeg" TargetMode="External"/><Relationship Id="rId600" Type="http://schemas.openxmlformats.org/officeDocument/2006/relationships/hyperlink" Target="https://myiipea.com/media/etudiant/photo/WhatsApp_Image_2023-11-27_at_12.43.39.jpeg" TargetMode="External"/><Relationship Id="rId606" Type="http://schemas.openxmlformats.org/officeDocument/2006/relationships/hyperlink" Target="https://myiipea.com/media/etudiant/photo/WhatsApp_Image_2023-11-13_at_10.05.21.jpeg" TargetMode="External"/><Relationship Id="rId605" Type="http://schemas.openxmlformats.org/officeDocument/2006/relationships/hyperlink" Target="https://myiipea.com/media/etudiant/photo/WhatsApp_Image_2023-10-03_at_09.38.33.jpeg" TargetMode="External"/><Relationship Id="rId604" Type="http://schemas.openxmlformats.org/officeDocument/2006/relationships/hyperlink" Target="https://myiipea.com/media/etudiant/photo/WhatsApp_Image_2023-09-21_at_11.31.45.jpeg" TargetMode="External"/><Relationship Id="rId603" Type="http://schemas.openxmlformats.org/officeDocument/2006/relationships/hyperlink" Target="https://myiipea.com/media/etudiant/photo/WhatsApp_Image_2023-10-16_at_11.11.08.jpeg" TargetMode="External"/><Relationship Id="rId2760" Type="http://schemas.openxmlformats.org/officeDocument/2006/relationships/hyperlink" Target="https://myiipea.com/media/etudiant/photo/WhatsApp_Image_2023-10-30_at_16.38.22.jpeg" TargetMode="External"/><Relationship Id="rId1430" Type="http://schemas.openxmlformats.org/officeDocument/2006/relationships/hyperlink" Target="https://myiipea.com/media/etudiant/photo/WhatsApp_Image_2023-09-28_at_16.26.08.jpeg" TargetMode="External"/><Relationship Id="rId2761" Type="http://schemas.openxmlformats.org/officeDocument/2006/relationships/hyperlink" Target="https://myiipea.com/media/etudiant/photo/WhatsApp_Image_2023-11-10_at_1.54.38_PM.jpeg" TargetMode="External"/><Relationship Id="rId1431" Type="http://schemas.openxmlformats.org/officeDocument/2006/relationships/hyperlink" Target="https://myiipea.com/media/etudiant/photo/WhatsApp_Image_2023-09-25_at_15.09.43.jpeg" TargetMode="External"/><Relationship Id="rId2762" Type="http://schemas.openxmlformats.org/officeDocument/2006/relationships/hyperlink" Target="https://myiipea.com/media/etudiant/photo/WhatsApp_Image_2023-10-20_at_08.30.12.jpeg" TargetMode="External"/><Relationship Id="rId1432" Type="http://schemas.openxmlformats.org/officeDocument/2006/relationships/hyperlink" Target="https://myiipea.com/media/etudiant/photo/WhatsApp_Image_2023-09-29_at_14.28.37.jpeg" TargetMode="External"/><Relationship Id="rId2763" Type="http://schemas.openxmlformats.org/officeDocument/2006/relationships/hyperlink" Target="https://myiipea.com/media/etudiant/photo/WhatsApp_Image_2023-11-20_at_13.15.28.jpeg" TargetMode="External"/><Relationship Id="rId1422" Type="http://schemas.openxmlformats.org/officeDocument/2006/relationships/hyperlink" Target="https://myiipea.com/media/etudiant/photo/WhatsApp_Image_2023-10-18_at_14.21.19.jpeg" TargetMode="External"/><Relationship Id="rId2753" Type="http://schemas.openxmlformats.org/officeDocument/2006/relationships/hyperlink" Target="https://myiipea.com/media/etudiant/photo/WhatsApp_Image_2023-10-28_at_13.59.34.jpeg" TargetMode="External"/><Relationship Id="rId1423" Type="http://schemas.openxmlformats.org/officeDocument/2006/relationships/hyperlink" Target="https://myiipea.com/media/etudiant/photo/WhatsApp_Image_2023-10-04_at_10.34.08.jpeg" TargetMode="External"/><Relationship Id="rId2754" Type="http://schemas.openxmlformats.org/officeDocument/2006/relationships/hyperlink" Target="https://myiipea.com/media/etudiant/photo/WhatsApp_Image_2023-09-28_at_13.06.45.jpeg" TargetMode="External"/><Relationship Id="rId1424" Type="http://schemas.openxmlformats.org/officeDocument/2006/relationships/hyperlink" Target="https://myiipea.com/media/etudiant/photo/WhatsApp_Image_2023-10-23_at_14.44.55_55ZFdXm.jpeg" TargetMode="External"/><Relationship Id="rId2755" Type="http://schemas.openxmlformats.org/officeDocument/2006/relationships/hyperlink" Target="https://myiipea.com/media/etudiant/photo/WhatsApp_Image_2023-11-02_at_10.52.18.jpeg" TargetMode="External"/><Relationship Id="rId1425" Type="http://schemas.openxmlformats.org/officeDocument/2006/relationships/hyperlink" Target="https://myiipea.com/media/etudiant/photo/WhatsApp_Image_2023-10-30_at_11.56.25.jpeg" TargetMode="External"/><Relationship Id="rId2756" Type="http://schemas.openxmlformats.org/officeDocument/2006/relationships/hyperlink" Target="https://myiipea.com/media/etudiant/photo/WhatsApp_Image_2023-11-29_at_11.51.58_AM.jpeg" TargetMode="External"/><Relationship Id="rId1426" Type="http://schemas.openxmlformats.org/officeDocument/2006/relationships/hyperlink" Target="https://myiipea.com/media/etudiant/photo/WhatsApp_Image_2023-10-11_at_11.35.26.jpeg" TargetMode="External"/><Relationship Id="rId2757" Type="http://schemas.openxmlformats.org/officeDocument/2006/relationships/hyperlink" Target="https://myiipea.com/media/etudiant/photo/WhatsApp_Image_2023-10-03_at_12.28.49.jpeg" TargetMode="External"/><Relationship Id="rId1427" Type="http://schemas.openxmlformats.org/officeDocument/2006/relationships/hyperlink" Target="https://myiipea.com/media/etudiant/photo/WhatsApp_Image_2023-11-22_at_4.08.16_PM.jpeg" TargetMode="External"/><Relationship Id="rId2758" Type="http://schemas.openxmlformats.org/officeDocument/2006/relationships/hyperlink" Target="https://myiipea.com/media/etudiant/photo/WhatsApp_Image_2023-10-05_at_16_resized.png" TargetMode="External"/><Relationship Id="rId1428" Type="http://schemas.openxmlformats.org/officeDocument/2006/relationships/hyperlink" Target="https://myiipea.com/media/etudiant/photo/WhatsApp_Image_2023-11-16_at_13.19.44.jpeg" TargetMode="External"/><Relationship Id="rId2759" Type="http://schemas.openxmlformats.org/officeDocument/2006/relationships/hyperlink" Target="https://myiipea.com/media/etudiant/photo/WhatsApp_Image_2023-11-27_at_5.17.36_PM.jpeg" TargetMode="External"/><Relationship Id="rId1429" Type="http://schemas.openxmlformats.org/officeDocument/2006/relationships/hyperlink" Target="https://myiipea.com/media/etudiant/photo/WhatsApp_Image_2023-11-07_at_10.43.34.jpeg" TargetMode="External"/><Relationship Id="rId2750" Type="http://schemas.openxmlformats.org/officeDocument/2006/relationships/hyperlink" Target="https://myiipea.com/media/etudiant/photo/WhatsApp_Image_2023-09-29_at_16.44.58.jpeg" TargetMode="External"/><Relationship Id="rId1420" Type="http://schemas.openxmlformats.org/officeDocument/2006/relationships/hyperlink" Target="https://myiipea.com/media/etudiant/photo/WhatsApp_Image_2023-10-11_at_14.32.09.jpeg" TargetMode="External"/><Relationship Id="rId2751" Type="http://schemas.openxmlformats.org/officeDocument/2006/relationships/hyperlink" Target="https://myiipea.com/media/etudiant/photo/WhatsApp_Image_2023-10-02_at_6.12.30_PM.jpeg" TargetMode="External"/><Relationship Id="rId1421" Type="http://schemas.openxmlformats.org/officeDocument/2006/relationships/hyperlink" Target="https://myiipea.com/media/etudiant/photo/t%C3%A9l%C3%A9chargement_IlIKRDZ.png" TargetMode="External"/><Relationship Id="rId2752" Type="http://schemas.openxmlformats.org/officeDocument/2006/relationships/hyperlink" Target="https://myiipea.com/media/etudiant/photo/WhatsApp_Image_2023-11-07_at_5.54.03_PM.jpeg" TargetMode="External"/><Relationship Id="rId3238" Type="http://schemas.openxmlformats.org/officeDocument/2006/relationships/hyperlink" Target="https://myiipea.com/media/etudiant/photo/WhatsApp_Image_2023-11-02_at_4.18.33_PM.jpeg" TargetMode="External"/><Relationship Id="rId3237" Type="http://schemas.openxmlformats.org/officeDocument/2006/relationships/hyperlink" Target="https://myiipea.com/media/etudiant/photo/WhatsApp_Image_2023-10-27_at_17.30.22.jpeg" TargetMode="External"/><Relationship Id="rId3239" Type="http://schemas.openxmlformats.org/officeDocument/2006/relationships/hyperlink" Target="https://myiipea.com/media/etudiant/photo/WhatsApp_Image_2023-10-03_at_14.00.29.jpeg" TargetMode="External"/><Relationship Id="rId3230" Type="http://schemas.openxmlformats.org/officeDocument/2006/relationships/hyperlink" Target="https://myiipea.com/media/etudiant/photo/WhatsApp_Image_2023-09-22_at_09.53.42.jpeg" TargetMode="External"/><Relationship Id="rId3232" Type="http://schemas.openxmlformats.org/officeDocument/2006/relationships/hyperlink" Target="https://myiipea.com/media/etudiant/photo/WhatsApp_Image_2023-10-04_at_10.19.26.jpeg" TargetMode="External"/><Relationship Id="rId3231" Type="http://schemas.openxmlformats.org/officeDocument/2006/relationships/hyperlink" Target="https://myiipea.com/media/etudiant/photo/WhatsApp_Image_2023-10-04_at_08.38.07.jpeg" TargetMode="External"/><Relationship Id="rId3234" Type="http://schemas.openxmlformats.org/officeDocument/2006/relationships/hyperlink" Target="https://myiipea.com/media/etudiant/photo/WhatsApp_Image_2023-10-12_at_15.29.22.jpeg" TargetMode="External"/><Relationship Id="rId3233" Type="http://schemas.openxmlformats.org/officeDocument/2006/relationships/hyperlink" Target="https://myiipea.com/media/etudiant/photo/WhatsApp_Image_2023-10-25_at_13.40.11.jpeg" TargetMode="External"/><Relationship Id="rId3236" Type="http://schemas.openxmlformats.org/officeDocument/2006/relationships/hyperlink" Target="https://myiipea.com/media/etudiant/photo/WhatsApp_Image_2023-10-18_at_11.40.59.jpeg" TargetMode="External"/><Relationship Id="rId3235" Type="http://schemas.openxmlformats.org/officeDocument/2006/relationships/hyperlink" Target="https://myiipea.com/media/etudiant/photo/WhatsApp_Image_2023-11-08_at_3.36.26_PM.jpeg" TargetMode="External"/><Relationship Id="rId3227" Type="http://schemas.openxmlformats.org/officeDocument/2006/relationships/hyperlink" Target="https://myiipea.com/media/etudiant/photo/WhatsApp_Image_2023-11-06_at_10.07.13.jpeg" TargetMode="External"/><Relationship Id="rId3226" Type="http://schemas.openxmlformats.org/officeDocument/2006/relationships/hyperlink" Target="https://myiipea.com/media/etudiant/photo/WhatsApp_Image_2023-11-06_at_18.10.01.jpeg" TargetMode="External"/><Relationship Id="rId3229" Type="http://schemas.openxmlformats.org/officeDocument/2006/relationships/hyperlink" Target="https://myiipea.com/media/etudiant/photo/WhatsApp_Image_2023-10-06_at_13_resized_cep2Kdx.png" TargetMode="External"/><Relationship Id="rId3228" Type="http://schemas.openxmlformats.org/officeDocument/2006/relationships/hyperlink" Target="https://myiipea.com/media/etudiant/photo/WhatsApp_Image_2023-10-24_at_16.51.27.jpeg" TargetMode="External"/><Relationship Id="rId699" Type="http://schemas.openxmlformats.org/officeDocument/2006/relationships/hyperlink" Target="https://myiipea.com/media/etudiant/photo/WhatsApp_Image_2023-10-13_at_13.46.20.jpeg" TargetMode="External"/><Relationship Id="rId698" Type="http://schemas.openxmlformats.org/officeDocument/2006/relationships/hyperlink" Target="https://myiipea.com/media/etudiant/photo/WhatsApp_Image_2023-10-05_at_12_resized.png" TargetMode="External"/><Relationship Id="rId693" Type="http://schemas.openxmlformats.org/officeDocument/2006/relationships/hyperlink" Target="https://myiipea.com/media/etudiant/photo/WhatsApp_Image_2023-10-10_at_12.39.26.jpeg" TargetMode="External"/><Relationship Id="rId692" Type="http://schemas.openxmlformats.org/officeDocument/2006/relationships/hyperlink" Target="https://myiipea.com/media/etudiant/photo/WhatsApp_Image_2023-10-05_at_12.41.25.jpeg" TargetMode="External"/><Relationship Id="rId691" Type="http://schemas.openxmlformats.org/officeDocument/2006/relationships/hyperlink" Target="https://myiipea.com/media/etudiant/photo/WhatsApp_Image_2023-10-03_at_16.02.05.jpeg" TargetMode="External"/><Relationship Id="rId3221" Type="http://schemas.openxmlformats.org/officeDocument/2006/relationships/hyperlink" Target="https://myiipea.com/media/etudiant/photo/WhatsApp_Image_2023-10-09_at_13.51.20.jpeg" TargetMode="External"/><Relationship Id="rId690" Type="http://schemas.openxmlformats.org/officeDocument/2006/relationships/hyperlink" Target="https://myiipea.com/media/etudiant/photo/WhatsApp_Image_2023-10-16_at_17.00.09.jpeg" TargetMode="External"/><Relationship Id="rId3220" Type="http://schemas.openxmlformats.org/officeDocument/2006/relationships/hyperlink" Target="https://myiipea.com/media/etudiant/photo/WhatsApp_Image_2023-10-24_at_15.26.04.jpeg" TargetMode="External"/><Relationship Id="rId697" Type="http://schemas.openxmlformats.org/officeDocument/2006/relationships/hyperlink" Target="https://myiipea.com/media/etudiant/photo/WhatsApp_Image_2023-09-26_at_11.27.06.jpeg" TargetMode="External"/><Relationship Id="rId3223" Type="http://schemas.openxmlformats.org/officeDocument/2006/relationships/hyperlink" Target="https://myiipea.com/media/etudiant/photo/WhatsApp_Image_2023-11-06_at_11.06.29.jpeg" TargetMode="External"/><Relationship Id="rId696" Type="http://schemas.openxmlformats.org/officeDocument/2006/relationships/hyperlink" Target="https://myiipea.com/media/etudiant/photo/BROU.jpg" TargetMode="External"/><Relationship Id="rId3222" Type="http://schemas.openxmlformats.org/officeDocument/2006/relationships/hyperlink" Target="https://myiipea.com/media/etudiant/photo/WhatsApp_Image_2023-09-28_at_11.18.37.jpeg" TargetMode="External"/><Relationship Id="rId695" Type="http://schemas.openxmlformats.org/officeDocument/2006/relationships/hyperlink" Target="https://myiipea.com/media/etudiant/photo/WhatsApp_Image_2023-11-08_at_13.12.19_1.jpeg" TargetMode="External"/><Relationship Id="rId3225" Type="http://schemas.openxmlformats.org/officeDocument/2006/relationships/hyperlink" Target="https://myiipea.com/media/etudiant/photo/WhatsApp_Image_2023-10-12_at_15.51.57.jpeg" TargetMode="External"/><Relationship Id="rId694" Type="http://schemas.openxmlformats.org/officeDocument/2006/relationships/hyperlink" Target="https://myiipea.com/media/etudiant/photo/WhatsApp_Image_2023-10-02_at_14.13.58.jpeg" TargetMode="External"/><Relationship Id="rId3224" Type="http://schemas.openxmlformats.org/officeDocument/2006/relationships/hyperlink" Target="https://myiipea.com/media/etudiant/photo/WhatsApp_Image_2023-10-26_at_11.46.31.jpeg" TargetMode="External"/><Relationship Id="rId3259" Type="http://schemas.openxmlformats.org/officeDocument/2006/relationships/hyperlink" Target="https://myiipea.com/media/etudiant/photo/WhatsApp_Image_2023-10-12_at_13.51.28.jpeg" TargetMode="External"/><Relationship Id="rId3250" Type="http://schemas.openxmlformats.org/officeDocument/2006/relationships/hyperlink" Target="https://myiipea.com/media/etudiant/photo/WhatsApp_Image_2023-10-31_at_15.25.08.jpeg" TargetMode="External"/><Relationship Id="rId3252" Type="http://schemas.openxmlformats.org/officeDocument/2006/relationships/hyperlink" Target="https://myiipea.com/media/etudiant/photo/WhatsApp_Image_2023-10-26_at_13_resized.png" TargetMode="External"/><Relationship Id="rId3251" Type="http://schemas.openxmlformats.org/officeDocument/2006/relationships/hyperlink" Target="https://myiipea.com/media/etudiant/photo/WhatsApp_Image_2023-11-14_at_12.04.04.jpeg" TargetMode="External"/><Relationship Id="rId3254" Type="http://schemas.openxmlformats.org/officeDocument/2006/relationships/hyperlink" Target="https://myiipea.com/media/etudiant/photo/WhatsApp_Image_2023-09-26_at_17.30.48.jpeg" TargetMode="External"/><Relationship Id="rId3253" Type="http://schemas.openxmlformats.org/officeDocument/2006/relationships/hyperlink" Target="https://myiipea.com/media/etudiant/photo/photo_RVzvdrJ.jpg" TargetMode="External"/><Relationship Id="rId3256" Type="http://schemas.openxmlformats.org/officeDocument/2006/relationships/hyperlink" Target="https://myiipea.com/media/etudiant/photo/WhatsApp_Image_2023-10-26_at_11.29.22.jpeg" TargetMode="External"/><Relationship Id="rId3255" Type="http://schemas.openxmlformats.org/officeDocument/2006/relationships/hyperlink" Target="https://myiipea.com/media/etudiant/photo/WhatsApp_Image_2023-09-29_at_10_resized_TxzeiXC.png" TargetMode="External"/><Relationship Id="rId3258" Type="http://schemas.openxmlformats.org/officeDocument/2006/relationships/hyperlink" Target="https://myiipea.com/media/etudiant/photo/WhatsApp_Image_2023-09-22_at_10.43.54.jpeg" TargetMode="External"/><Relationship Id="rId3257" Type="http://schemas.openxmlformats.org/officeDocument/2006/relationships/hyperlink" Target="https://myiipea.com/media/etudiant/photo/WhatsApp_Image_2023-11-23_at_14.38.38.jpeg" TargetMode="External"/><Relationship Id="rId3249" Type="http://schemas.openxmlformats.org/officeDocument/2006/relationships/hyperlink" Target="https://myiipea.com/media/etudiant/photo/WhatsApp_Image_2023-10-05_at_3.04.38_PM.jpeg" TargetMode="External"/><Relationship Id="rId3248" Type="http://schemas.openxmlformats.org/officeDocument/2006/relationships/hyperlink" Target="https://myiipea.com/media/etudiant/photo/WhatsApp_Image_2023-09-18_at_09.28.10.jpeg" TargetMode="External"/><Relationship Id="rId3241" Type="http://schemas.openxmlformats.org/officeDocument/2006/relationships/hyperlink" Target="https://myiipea.com/media/etudiant/photo/WhatsApp_Image_2023-10-19_at_16.38.03.jpeg" TargetMode="External"/><Relationship Id="rId3240" Type="http://schemas.openxmlformats.org/officeDocument/2006/relationships/hyperlink" Target="https://myiipea.com/media/etudiant/photo/WhatsApp_Image_2023-10-16_at_17.46.21.jpeg" TargetMode="External"/><Relationship Id="rId3243" Type="http://schemas.openxmlformats.org/officeDocument/2006/relationships/hyperlink" Target="https://myiipea.com/media/etudiant/photo/WhatsApp_Image_2023-10-24_at_12_resized.png" TargetMode="External"/><Relationship Id="rId3242" Type="http://schemas.openxmlformats.org/officeDocument/2006/relationships/hyperlink" Target="https://myiipea.com/media/etudiant/photo/WhatsApp_Image_2023-10-16_at_17.46.36.jpeg" TargetMode="External"/><Relationship Id="rId3245" Type="http://schemas.openxmlformats.org/officeDocument/2006/relationships/hyperlink" Target="https://myiipea.com/media/etudiant/photo/WhatsApp_Image_2023-10-31_at_11.44.20.jpeg" TargetMode="External"/><Relationship Id="rId3244" Type="http://schemas.openxmlformats.org/officeDocument/2006/relationships/hyperlink" Target="https://myiipea.com/media/etudiant/photo/WhatsApp_Image_2023-10-13_at_13.58.42.jpeg" TargetMode="External"/><Relationship Id="rId3247" Type="http://schemas.openxmlformats.org/officeDocument/2006/relationships/hyperlink" Target="https://myiipea.com/media/etudiant/photo/WhatsApp_Image_2023-10-20_at_18.06.01_1.jpeg" TargetMode="External"/><Relationship Id="rId3246" Type="http://schemas.openxmlformats.org/officeDocument/2006/relationships/hyperlink" Target="https://myiipea.com/media/etudiant/photo/WhatsApp_Image_2023-10-02_at_16.13.15.jpeg" TargetMode="External"/><Relationship Id="rId1499" Type="http://schemas.openxmlformats.org/officeDocument/2006/relationships/hyperlink" Target="https://myiipea.com/media/etudiant/photo/WhatsApp_Image_2023-09-28_at_18.23.12.jpeg" TargetMode="External"/><Relationship Id="rId668" Type="http://schemas.openxmlformats.org/officeDocument/2006/relationships/hyperlink" Target="https://myiipea.com/media/etudiant/photo/WhatsApp_Image_2023-10-06_at_16_resized.png" TargetMode="External"/><Relationship Id="rId667" Type="http://schemas.openxmlformats.org/officeDocument/2006/relationships/hyperlink" Target="https://myiipea.com/media/etudiant/photo/WhatsApp_Image_2023-10-04_at_10.01.33.jpeg" TargetMode="External"/><Relationship Id="rId666" Type="http://schemas.openxmlformats.org/officeDocument/2006/relationships/hyperlink" Target="https://myiipea.com/media/etudiant/photo/WhatsApp_Image_2023-10-30_at_13.51.32.jpeg" TargetMode="External"/><Relationship Id="rId665" Type="http://schemas.openxmlformats.org/officeDocument/2006/relationships/hyperlink" Target="https://myiipea.com/media/etudiant/photo/WhatsApp_Image_2023-11-21_at_12.14.50.jpeg" TargetMode="External"/><Relationship Id="rId669" Type="http://schemas.openxmlformats.org/officeDocument/2006/relationships/hyperlink" Target="https://myiipea.com/media/etudiant/photo/WhatsApp_Image_2023-10-06_at_15_resized.png" TargetMode="External"/><Relationship Id="rId1490" Type="http://schemas.openxmlformats.org/officeDocument/2006/relationships/hyperlink" Target="https://myiipea.com/media/etudiant/photo/WhatsApp_Image_2023-10-09_at_11.50.32_AM.jpeg" TargetMode="External"/><Relationship Id="rId660" Type="http://schemas.openxmlformats.org/officeDocument/2006/relationships/hyperlink" Target="https://myiipea.com/media/etudiant/photo/WhatsApp_Image_2023-11-06_at_13.07.23.jpeg" TargetMode="External"/><Relationship Id="rId1491" Type="http://schemas.openxmlformats.org/officeDocument/2006/relationships/hyperlink" Target="https://myiipea.com/media/etudiant/photo/WhatsApp_Image_2023-09-28_at_14.50.23.jpeg" TargetMode="External"/><Relationship Id="rId1492" Type="http://schemas.openxmlformats.org/officeDocument/2006/relationships/hyperlink" Target="https://myiipea.com/media/etudiant/photo/WhatsApp_Image_2023-10-10_at_09.51.47.jpeg" TargetMode="External"/><Relationship Id="rId1493" Type="http://schemas.openxmlformats.org/officeDocument/2006/relationships/hyperlink" Target="https://myiipea.com/media/etudiant/photo/WhatsApp_Image_2023-10-27_at_13.06.38.jpeg" TargetMode="External"/><Relationship Id="rId1494" Type="http://schemas.openxmlformats.org/officeDocument/2006/relationships/hyperlink" Target="https://myiipea.com/media/etudiant/photo/WhatsApp_Image_2023-10-07_at_12.55.16.jpeg" TargetMode="External"/><Relationship Id="rId664" Type="http://schemas.openxmlformats.org/officeDocument/2006/relationships/hyperlink" Target="https://myiipea.com/media/etudiant/photo/WhatsApp_Image_2023-10-05_at_17.06.48.jpeg" TargetMode="External"/><Relationship Id="rId1495" Type="http://schemas.openxmlformats.org/officeDocument/2006/relationships/hyperlink" Target="https://myiipea.com/media/etudiant/photo/WhatsApp_Image_2023-10-19_at_11.13.39.jpeg" TargetMode="External"/><Relationship Id="rId663" Type="http://schemas.openxmlformats.org/officeDocument/2006/relationships/hyperlink" Target="https://myiipea.com/media/etudiant/photo/WhatsApp_Image_2023-11-16_at_12.02.21_PM.jpeg" TargetMode="External"/><Relationship Id="rId1496" Type="http://schemas.openxmlformats.org/officeDocument/2006/relationships/hyperlink" Target="https://myiipea.com/media/etudiant/photo/WhatsApp_Image_2023-10-12_at_16.58.04.jpeg" TargetMode="External"/><Relationship Id="rId662" Type="http://schemas.openxmlformats.org/officeDocument/2006/relationships/hyperlink" Target="https://myiipea.com/media/etudiant/photo/WhatsApp_Image_2023-09-14_at_13.02.29.jpeg" TargetMode="External"/><Relationship Id="rId1497" Type="http://schemas.openxmlformats.org/officeDocument/2006/relationships/hyperlink" Target="https://myiipea.com/media/etudiant/photo/WhatsApp_Image_2023-10-20_at_1.09.10_PM.jpeg" TargetMode="External"/><Relationship Id="rId661" Type="http://schemas.openxmlformats.org/officeDocument/2006/relationships/hyperlink" Target="https://myiipea.com/media/etudiant/photo/WhatsApp_Image_2023-10-06_at_09.00.45.jpeg" TargetMode="External"/><Relationship Id="rId1498" Type="http://schemas.openxmlformats.org/officeDocument/2006/relationships/hyperlink" Target="https://myiipea.com/media/etudiant/photo/photo_v9qwzQZ.jpg" TargetMode="External"/><Relationship Id="rId1488" Type="http://schemas.openxmlformats.org/officeDocument/2006/relationships/hyperlink" Target="https://myiipea.com/media/etudiant/photo/WhatsApp_Image_2023-10-03_at_08.44.30.jpeg" TargetMode="External"/><Relationship Id="rId1489" Type="http://schemas.openxmlformats.org/officeDocument/2006/relationships/hyperlink" Target="https://myiipea.com/media/etudiant/photo/WhatsApp_Image_2023-10-04_at_13.19.43.jpeg" TargetMode="External"/><Relationship Id="rId657" Type="http://schemas.openxmlformats.org/officeDocument/2006/relationships/hyperlink" Target="https://myiipea.com/media/etudiant/photo/WhatsApp_Image_2023-09-26_%C3%A0_16.23.07.jpg" TargetMode="External"/><Relationship Id="rId656" Type="http://schemas.openxmlformats.org/officeDocument/2006/relationships/hyperlink" Target="https://myiipea.com/media/etudiant/photo/WhatsApp_Image_2023-10-10_at_12.50.06.jpeg" TargetMode="External"/><Relationship Id="rId655" Type="http://schemas.openxmlformats.org/officeDocument/2006/relationships/hyperlink" Target="https://myiipea.com/media/etudiant/photo/WhatsApp_Image_2023-11-13_at_11.53.42.jpeg" TargetMode="External"/><Relationship Id="rId654" Type="http://schemas.openxmlformats.org/officeDocument/2006/relationships/hyperlink" Target="https://myiipea.com/media/etudiant/photo/WhatsApp_Image_2023-10-12_at_11.41.50.jpeg" TargetMode="External"/><Relationship Id="rId659" Type="http://schemas.openxmlformats.org/officeDocument/2006/relationships/hyperlink" Target="https://myiipea.com/media/etudiant/photo/WhatsApp_Image_2023-10-13_at_18.46.02.jpeg" TargetMode="External"/><Relationship Id="rId658" Type="http://schemas.openxmlformats.org/officeDocument/2006/relationships/hyperlink" Target="https://myiipea.com/media/etudiant/photo/WhatsApp_Image_2023-11-17_at_14.00.39.jpeg" TargetMode="External"/><Relationship Id="rId1480" Type="http://schemas.openxmlformats.org/officeDocument/2006/relationships/hyperlink" Target="https://myiipea.com/media/etudiant/photo/WhatsApp_Image_2023-10-10_at_14.50.58.jpeg" TargetMode="External"/><Relationship Id="rId1481" Type="http://schemas.openxmlformats.org/officeDocument/2006/relationships/hyperlink" Target="https://myiipea.com/media/etudiant/photo/WhatsApp_Image_2023-09-26_at_15.09.40.jpeg" TargetMode="External"/><Relationship Id="rId1482" Type="http://schemas.openxmlformats.org/officeDocument/2006/relationships/hyperlink" Target="https://myiipea.com/media/etudiant/photo/AMOS.jpg" TargetMode="External"/><Relationship Id="rId1483" Type="http://schemas.openxmlformats.org/officeDocument/2006/relationships/hyperlink" Target="https://myiipea.com/media/etudiant/photo/WhatsApp_Image_2023-10-02_at_09.56.07.jpeg" TargetMode="External"/><Relationship Id="rId653" Type="http://schemas.openxmlformats.org/officeDocument/2006/relationships/hyperlink" Target="https://myiipea.com/media/etudiant/photo/WhatsApp_Image_2023-10-03_at_13.49.07.jpeg" TargetMode="External"/><Relationship Id="rId1484" Type="http://schemas.openxmlformats.org/officeDocument/2006/relationships/hyperlink" Target="https://myiipea.com/media/etudiant/photo/WhatsApp_Image_2023-09-29_at_17.08.01.jpeg" TargetMode="External"/><Relationship Id="rId652" Type="http://schemas.openxmlformats.org/officeDocument/2006/relationships/hyperlink" Target="https://myiipea.com/media/etudiant/photo/WhatsApp_Image_2023-10-30_at_15.52.27.jpeg" TargetMode="External"/><Relationship Id="rId1485" Type="http://schemas.openxmlformats.org/officeDocument/2006/relationships/hyperlink" Target="https://myiipea.com/media/etudiant/photo/WhatsApp_Image_2023-10-03_at_10.39.29.jpeg" TargetMode="External"/><Relationship Id="rId651" Type="http://schemas.openxmlformats.org/officeDocument/2006/relationships/hyperlink" Target="https://myiipea.com/media/etudiant/photo/WhatsApp_Image_2023-10-02_at_19.04.46.jpeg" TargetMode="External"/><Relationship Id="rId1486" Type="http://schemas.openxmlformats.org/officeDocument/2006/relationships/hyperlink" Target="https://myiipea.com/media/etudiant/photo/WhatsApp_Image_2023-10-30_at_11.24.39.jpeg" TargetMode="External"/><Relationship Id="rId650" Type="http://schemas.openxmlformats.org/officeDocument/2006/relationships/hyperlink" Target="https://myiipea.com/media/etudiant/photo/WhatsApp_Image_2023-11-06_at_7.10.20_PM.jpeg" TargetMode="External"/><Relationship Id="rId1487" Type="http://schemas.openxmlformats.org/officeDocument/2006/relationships/hyperlink" Target="https://myiipea.com/media/etudiant/photo/WhatsApp_Image_2023-10-23_at_10.00.05.jpeg" TargetMode="External"/><Relationship Id="rId3216" Type="http://schemas.openxmlformats.org/officeDocument/2006/relationships/hyperlink" Target="https://myiipea.com/media/etudiant/photo/WhatsApp_Image_2023-11-06_at_17.58.47.jpeg" TargetMode="External"/><Relationship Id="rId3215" Type="http://schemas.openxmlformats.org/officeDocument/2006/relationships/hyperlink" Target="https://myiipea.com/media/etudiant/photo/WhatsApp_Image_2023-11-06_at_12.28.22.jpeg" TargetMode="External"/><Relationship Id="rId3218" Type="http://schemas.openxmlformats.org/officeDocument/2006/relationships/hyperlink" Target="https://myiipea.com/media/etudiant/photo/WhatsApp_Image_2023-10-17_at_12.54.51.jpeg" TargetMode="External"/><Relationship Id="rId3217" Type="http://schemas.openxmlformats.org/officeDocument/2006/relationships/hyperlink" Target="https://myiipea.com/media/etudiant/photo/WhatsApp_Image_2023-10-17_at_13.54.38.jpeg" TargetMode="External"/><Relationship Id="rId3219" Type="http://schemas.openxmlformats.org/officeDocument/2006/relationships/hyperlink" Target="https://myiipea.com/media/etudiant/photo/WhatsApp_Image_2023-10-02_at_17.10.31.jpeg" TargetMode="External"/><Relationship Id="rId689" Type="http://schemas.openxmlformats.org/officeDocument/2006/relationships/hyperlink" Target="https://myiipea.com/media/etudiant/photo/WhatsApp_Image_2023-12-01_at_3_resized_uThQseI.png" TargetMode="External"/><Relationship Id="rId688" Type="http://schemas.openxmlformats.org/officeDocument/2006/relationships/hyperlink" Target="https://myiipea.com/media/etudiant/photo/WhatsApp_Image_2023-10-09_at_13.05.47.jpeg" TargetMode="External"/><Relationship Id="rId687" Type="http://schemas.openxmlformats.org/officeDocument/2006/relationships/hyperlink" Target="https://myiipea.com/media/etudiant/photo/WhatsApp_Image_2023-12-01_at_1_resized.png" TargetMode="External"/><Relationship Id="rId682" Type="http://schemas.openxmlformats.org/officeDocument/2006/relationships/hyperlink" Target="https://myiipea.com/media/etudiant/photo/WhatsApp_Image_2023-10-12_at_17.46.58.jpeg" TargetMode="External"/><Relationship Id="rId681" Type="http://schemas.openxmlformats.org/officeDocument/2006/relationships/hyperlink" Target="https://myiipea.com/media/etudiant/photo/WhatsApp_Image_2023-10-13_at_12.53.22.jpeg" TargetMode="External"/><Relationship Id="rId680" Type="http://schemas.openxmlformats.org/officeDocument/2006/relationships/hyperlink" Target="https://myiipea.com/media/etudiant/photo/WhatsApp_Image_2023-10-05_at_18.15.43.jpeg" TargetMode="External"/><Relationship Id="rId3210" Type="http://schemas.openxmlformats.org/officeDocument/2006/relationships/hyperlink" Target="https://myiipea.com/media/etudiant/photo/WhatsApp_Image_2023-09-19_at_11.07.20.jpeg" TargetMode="External"/><Relationship Id="rId686" Type="http://schemas.openxmlformats.org/officeDocument/2006/relationships/hyperlink" Target="https://myiipea.com/media/etudiant/photo/WhatsApp_Image_2023-10-11_at_17.33.12.jpeg" TargetMode="External"/><Relationship Id="rId3212" Type="http://schemas.openxmlformats.org/officeDocument/2006/relationships/hyperlink" Target="https://myiipea.com/media/etudiant/photo/WhatsApp_Image_2023-10-10_at_11.08.33.jpeg" TargetMode="External"/><Relationship Id="rId685" Type="http://schemas.openxmlformats.org/officeDocument/2006/relationships/hyperlink" Target="https://myiipea.com/media/etudiant/photo/WhatsApp_Image_2023-10-10_at_16.07.09.jpeg" TargetMode="External"/><Relationship Id="rId3211" Type="http://schemas.openxmlformats.org/officeDocument/2006/relationships/hyperlink" Target="https://myiipea.com/media/etudiant/photo/WhatsApp_Image_2023-10-02_at_15.24.54.jpeg" TargetMode="External"/><Relationship Id="rId684" Type="http://schemas.openxmlformats.org/officeDocument/2006/relationships/hyperlink" Target="https://myiipea.com/media/etudiant/photo/WhatsApp_Image_2023-10-16_at_13.37.32.jpeg" TargetMode="External"/><Relationship Id="rId3214" Type="http://schemas.openxmlformats.org/officeDocument/2006/relationships/hyperlink" Target="https://myiipea.com/media/etudiant/photo/WhatsApp_Image_2023-09-18_at_14.33.00.jpeg" TargetMode="External"/><Relationship Id="rId683" Type="http://schemas.openxmlformats.org/officeDocument/2006/relationships/hyperlink" Target="https://myiipea.com/media/etudiant/photo/WhatsApp_Image_2023-10-10_at_09.28.44.jpeg" TargetMode="External"/><Relationship Id="rId3213" Type="http://schemas.openxmlformats.org/officeDocument/2006/relationships/hyperlink" Target="https://myiipea.com/media/etudiant/photo/WhatsApp_Image_2023-09-28_at_15.28.21.jpeg" TargetMode="External"/><Relationship Id="rId3205" Type="http://schemas.openxmlformats.org/officeDocument/2006/relationships/hyperlink" Target="https://myiipea.com/media/etudiant/photo/WhatsApp_Image_2023-11-21_at_09.50.57.jpeg" TargetMode="External"/><Relationship Id="rId3204" Type="http://schemas.openxmlformats.org/officeDocument/2006/relationships/hyperlink" Target="https://myiipea.com/media/etudiant/photo/WhatsApp_Image_2023-10-23_at_10.53.57.jpeg" TargetMode="External"/><Relationship Id="rId3207" Type="http://schemas.openxmlformats.org/officeDocument/2006/relationships/hyperlink" Target="https://myiipea.com/media/etudiant/photo/WhatsApp_Image_2023-10-13_at_16.12.43.jpeg" TargetMode="External"/><Relationship Id="rId3206" Type="http://schemas.openxmlformats.org/officeDocument/2006/relationships/hyperlink" Target="https://myiipea.com/media/etudiant/photo/WhatsApp_Image_2023-09-28_at_17.48.17.jpeg" TargetMode="External"/><Relationship Id="rId3209" Type="http://schemas.openxmlformats.org/officeDocument/2006/relationships/hyperlink" Target="https://myiipea.com/media/etudiant/photo/WhatsApp_Image_2023-10-10_at_15.38.25.jpeg" TargetMode="External"/><Relationship Id="rId3208" Type="http://schemas.openxmlformats.org/officeDocument/2006/relationships/hyperlink" Target="https://myiipea.com/media/etudiant/photo/WhatsApp_Image_2023-09-28_at_10.06.26.jpeg" TargetMode="External"/><Relationship Id="rId679" Type="http://schemas.openxmlformats.org/officeDocument/2006/relationships/hyperlink" Target="https://myiipea.com/media/etudiant/photo/WhatsApp_Image_2023-11-13_at_1.46.25_PM.jpeg" TargetMode="External"/><Relationship Id="rId678" Type="http://schemas.openxmlformats.org/officeDocument/2006/relationships/hyperlink" Target="https://myiipea.com/media/etudiant/photo/WhatsApp_Image_2023-09-29_at_10.49.54.jpeg" TargetMode="External"/><Relationship Id="rId677" Type="http://schemas.openxmlformats.org/officeDocument/2006/relationships/hyperlink" Target="https://myiipea.com/media/etudiant/photo/WhatsApp_Image_2023-11-09_at_12.34.23.jpeg" TargetMode="External"/><Relationship Id="rId676" Type="http://schemas.openxmlformats.org/officeDocument/2006/relationships/hyperlink" Target="https://myiipea.com/media/etudiant/photo/WhatsApp_Image_2023-10-25_at_16.55.01.jpeg" TargetMode="External"/><Relationship Id="rId671" Type="http://schemas.openxmlformats.org/officeDocument/2006/relationships/hyperlink" Target="https://myiipea.com/media/etudiant/photo/WhatsApp_Image_2023-11-14_at_14.38.14.jpeg" TargetMode="External"/><Relationship Id="rId670" Type="http://schemas.openxmlformats.org/officeDocument/2006/relationships/hyperlink" Target="https://myiipea.com/media/etudiant/photo/WhatsApp_Image_2023-10-03_at_6.16.55_PM.jpeg" TargetMode="External"/><Relationship Id="rId675" Type="http://schemas.openxmlformats.org/officeDocument/2006/relationships/hyperlink" Target="https://myiipea.com/media/etudiant/photo/WhatsApp_Image_2023-10-03_at_15.29.51.jpeg" TargetMode="External"/><Relationship Id="rId3201" Type="http://schemas.openxmlformats.org/officeDocument/2006/relationships/hyperlink" Target="https://myiipea.com/media/etudiant/photo/ee805a7a-bd0f-4cfc-a70e-cbab604ca96a_47Y6Fvk.jpeg" TargetMode="External"/><Relationship Id="rId674" Type="http://schemas.openxmlformats.org/officeDocument/2006/relationships/hyperlink" Target="https://myiipea.com/media/etudiant/photo/WhatsApp_Image_2023-10-12_at_15.17.17.jpeg" TargetMode="External"/><Relationship Id="rId3200" Type="http://schemas.openxmlformats.org/officeDocument/2006/relationships/hyperlink" Target="https://myiipea.com/media/etudiant/photo/WhatsApp_Image_2023-11-09_at_11.14.49.jpeg" TargetMode="External"/><Relationship Id="rId673" Type="http://schemas.openxmlformats.org/officeDocument/2006/relationships/hyperlink" Target="https://myiipea.com/media/etudiant/photo/WhatsApp_Image_2023-11-21_at_15.47.35.jpeg" TargetMode="External"/><Relationship Id="rId3203" Type="http://schemas.openxmlformats.org/officeDocument/2006/relationships/hyperlink" Target="https://myiipea.com/media/etudiant/photo/WhatsApp_Image_2023-09-28_at_14.28.57.jpeg" TargetMode="External"/><Relationship Id="rId672" Type="http://schemas.openxmlformats.org/officeDocument/2006/relationships/hyperlink" Target="https://myiipea.com/media/etudiant/photo/photo_eQqw30o.jpg" TargetMode="External"/><Relationship Id="rId3202" Type="http://schemas.openxmlformats.org/officeDocument/2006/relationships/hyperlink" Target="https://myiipea.com/media/etudiant/photo/WhatsApp_Image_2023-10-05_at_13.15.22.jpeg" TargetMode="External"/><Relationship Id="rId190" Type="http://schemas.openxmlformats.org/officeDocument/2006/relationships/hyperlink" Target="https://myiipea.com/media/etudiant/photo/WhatsApp_Image_2023-10-03_at_10.38.54.jpeg" TargetMode="External"/><Relationship Id="rId194" Type="http://schemas.openxmlformats.org/officeDocument/2006/relationships/hyperlink" Target="https://myiipea.com/media/etudiant/photo/WhatsApp_Image_2023-10-05_at_11.52.00.jpeg" TargetMode="External"/><Relationship Id="rId193" Type="http://schemas.openxmlformats.org/officeDocument/2006/relationships/hyperlink" Target="https://myiipea.com/media/etudiant/photo/WhatsApp_Image_2023-10-06_at_09.37.31.jpeg" TargetMode="External"/><Relationship Id="rId192" Type="http://schemas.openxmlformats.org/officeDocument/2006/relationships/hyperlink" Target="https://myiipea.com/media/etudiant/photo/WhatsApp_Image_2023-09-22_at_11.52.17.jpeg" TargetMode="External"/><Relationship Id="rId191" Type="http://schemas.openxmlformats.org/officeDocument/2006/relationships/hyperlink" Target="https://myiipea.com/media/etudiant/photo/WhatsApp_Image_2023-09-22_at_11.52.45.jpeg" TargetMode="External"/><Relationship Id="rId187" Type="http://schemas.openxmlformats.org/officeDocument/2006/relationships/hyperlink" Target="https://myiipea.com/media/etudiant/photo/WhatsApp_Image_2023-10-16_at_16.40.55.jpeg" TargetMode="External"/><Relationship Id="rId186" Type="http://schemas.openxmlformats.org/officeDocument/2006/relationships/hyperlink" Target="https://myiipea.com/media/etudiant/photo/WhatsApp_Image_2023-11-16_at_2.02.17_PM.jpeg" TargetMode="External"/><Relationship Id="rId185" Type="http://schemas.openxmlformats.org/officeDocument/2006/relationships/hyperlink" Target="https://myiipea.com/media/etudiant/photo/WhatsApp_Image_2023-09-29_at_18.16.37.jpeg" TargetMode="External"/><Relationship Id="rId184" Type="http://schemas.openxmlformats.org/officeDocument/2006/relationships/hyperlink" Target="https://myiipea.com/media/etudiant/photo/WhatsApp_Image_2023-09-29_at_16.27.42.jpeg" TargetMode="External"/><Relationship Id="rId189" Type="http://schemas.openxmlformats.org/officeDocument/2006/relationships/hyperlink" Target="https://myiipea.com/media/etudiant/photo/WhatsApp_Image_2023-10-23_at_11.55.45_AM.jpeg" TargetMode="External"/><Relationship Id="rId188" Type="http://schemas.openxmlformats.org/officeDocument/2006/relationships/hyperlink" Target="https://myiipea.com/media/etudiant/photo/WhatsApp_Image_2023-10-16_at_17.05.27.jpeg" TargetMode="External"/><Relationship Id="rId183" Type="http://schemas.openxmlformats.org/officeDocument/2006/relationships/hyperlink" Target="https://myiipea.com/media/etudiant/photo/WhatsApp_Image_2023-11-16_at_1.56.33_PM.jpeg" TargetMode="External"/><Relationship Id="rId182" Type="http://schemas.openxmlformats.org/officeDocument/2006/relationships/hyperlink" Target="https://myiipea.com/media/etudiant/photo/WhatsApp_Image_2023-10-05_at_10.45.24.jpeg" TargetMode="External"/><Relationship Id="rId181" Type="http://schemas.openxmlformats.org/officeDocument/2006/relationships/hyperlink" Target="https://myiipea.com/media/etudiant/photo/239422487_405915444207421_8131329350063382999_n_XVMRfhI.jpg" TargetMode="External"/><Relationship Id="rId180" Type="http://schemas.openxmlformats.org/officeDocument/2006/relationships/hyperlink" Target="https://myiipea.com/media/etudiant/photo/WhatsApp_Image_2023-10-03_at_11.14.56_AM_DhMmAsX.jpeg" TargetMode="External"/><Relationship Id="rId176" Type="http://schemas.openxmlformats.org/officeDocument/2006/relationships/hyperlink" Target="https://myiipea.com/media/etudiant/photo/WhatsApp_Image_2023-10-04_at_16.37.46.jpeg" TargetMode="External"/><Relationship Id="rId175" Type="http://schemas.openxmlformats.org/officeDocument/2006/relationships/hyperlink" Target="https://myiipea.com/media/etudiant/photo/WhatsApp_Image_2023-10-10_at_14.26.53.jpeg" TargetMode="External"/><Relationship Id="rId174" Type="http://schemas.openxmlformats.org/officeDocument/2006/relationships/hyperlink" Target="https://myiipea.com/media/etudiant/photo/727f3f1b-8c63-4225-90cb-c5153cd8f668-removebg-preview.png" TargetMode="External"/><Relationship Id="rId173" Type="http://schemas.openxmlformats.org/officeDocument/2006/relationships/hyperlink" Target="https://myiipea.com/media/etudiant/photo/WhatsApp_Image_2023-11-20_at_3.34.49_PM.jpeg" TargetMode="External"/><Relationship Id="rId179" Type="http://schemas.openxmlformats.org/officeDocument/2006/relationships/hyperlink" Target="https://myiipea.com/media/etudiant/photo/WhatsApp_Image_2023-11-13_at_1.23.28_PM.jpeg" TargetMode="External"/><Relationship Id="rId178" Type="http://schemas.openxmlformats.org/officeDocument/2006/relationships/hyperlink" Target="https://myiipea.com/media/etudiant/photo/WhatsApp_Image_2023-10-17_at_12.02.13.jpeg" TargetMode="External"/><Relationship Id="rId177" Type="http://schemas.openxmlformats.org/officeDocument/2006/relationships/hyperlink" Target="https://myiipea.com/media/etudiant/photo/WhatsApp_Image_2023-10-10_at_5.08.36_PM.jpeg" TargetMode="External"/><Relationship Id="rId198" Type="http://schemas.openxmlformats.org/officeDocument/2006/relationships/hyperlink" Target="https://myiipea.com/media/etudiant/photo/WhatsApp_Image_2023-09-20_%C3%A0_16.18.22.jpg" TargetMode="External"/><Relationship Id="rId197" Type="http://schemas.openxmlformats.org/officeDocument/2006/relationships/hyperlink" Target="https://myiipea.com/media/etudiant/photo/WhatsApp_Image_2023-10-27_at_15.14.15.jpeg" TargetMode="External"/><Relationship Id="rId196" Type="http://schemas.openxmlformats.org/officeDocument/2006/relationships/hyperlink" Target="https://myiipea.com/media/etudiant/photo/WhatsApp_Image_2023-11-17_at_11.39.53.jpeg" TargetMode="External"/><Relationship Id="rId195" Type="http://schemas.openxmlformats.org/officeDocument/2006/relationships/hyperlink" Target="https://myiipea.com/media/etudiant/photo/WhatsApp_Image_2023-10-27_at_16.35.56.jpeg" TargetMode="External"/><Relationship Id="rId199" Type="http://schemas.openxmlformats.org/officeDocument/2006/relationships/hyperlink" Target="https://myiipea.com/media/etudiant/photo/WhatsApp_Image_2023-10-19_at_10.23.58.jpeg" TargetMode="External"/><Relationship Id="rId150" Type="http://schemas.openxmlformats.org/officeDocument/2006/relationships/hyperlink" Target="https://myiipea.com/media/etudiant/photo/YVES.jpg" TargetMode="External"/><Relationship Id="rId149" Type="http://schemas.openxmlformats.org/officeDocument/2006/relationships/hyperlink" Target="https://myiipea.com/media/etudiant/photo/WhatsApp_Image_2023-09-28_at_11.35.46.jpeg" TargetMode="External"/><Relationship Id="rId148" Type="http://schemas.openxmlformats.org/officeDocument/2006/relationships/hyperlink" Target="https://myiipea.com/media/etudiant/photo/WhatsApp_Image_2023-10-04_at_10.23.15.jpeg" TargetMode="External"/><Relationship Id="rId3270" Type="http://schemas.openxmlformats.org/officeDocument/2006/relationships/hyperlink" Target="https://myiipea.com/media/etudiant/photo/WhatsApp_Image_2023-09-28_at_16.09.55.jpeg" TargetMode="External"/><Relationship Id="rId3272" Type="http://schemas.openxmlformats.org/officeDocument/2006/relationships/hyperlink" Target="https://myiipea.com/media/etudiant/photo/WhatsApp_Image_2023-10-24_at_15.27.43.jpeg" TargetMode="External"/><Relationship Id="rId3271" Type="http://schemas.openxmlformats.org/officeDocument/2006/relationships/hyperlink" Target="https://myiipea.com/media/etudiant/photo/WhatsApp_Image_2023-10-03_at_13.55.00.jpeg" TargetMode="External"/><Relationship Id="rId143" Type="http://schemas.openxmlformats.org/officeDocument/2006/relationships/hyperlink" Target="https://myiipea.com/media/etudiant/photo/WhatsApp_Image_2023-10-10_at_09.52.57.jpeg" TargetMode="External"/><Relationship Id="rId3274" Type="http://schemas.openxmlformats.org/officeDocument/2006/relationships/hyperlink" Target="https://myiipea.com/media/etudiant/photo/WhatsApp_Image_2023-10-09_at_14.02.07.jpeg" TargetMode="External"/><Relationship Id="rId142" Type="http://schemas.openxmlformats.org/officeDocument/2006/relationships/hyperlink" Target="https://myiipea.com/media/etudiant/photo/WhatsApp_Image_2023-10-26_at_5.09.02_PM.jpeg" TargetMode="External"/><Relationship Id="rId3273" Type="http://schemas.openxmlformats.org/officeDocument/2006/relationships/hyperlink" Target="https://myiipea.com/media/etudiant/photo/WhatsApp_Image_2023-10-13_at_18.04.07.jpeg" TargetMode="External"/><Relationship Id="rId141" Type="http://schemas.openxmlformats.org/officeDocument/2006/relationships/hyperlink" Target="https://myiipea.com/media/etudiant/photo/WhatsApp_Image_2023-10-04_at_14.06.39.jpeg" TargetMode="External"/><Relationship Id="rId3276" Type="http://schemas.openxmlformats.org/officeDocument/2006/relationships/hyperlink" Target="https://myiipea.com/media/etudiant/photo/WhatsApp_Image_2023-10-03_at_15.36.37.jpeg" TargetMode="External"/><Relationship Id="rId140" Type="http://schemas.openxmlformats.org/officeDocument/2006/relationships/hyperlink" Target="https://myiipea.com/media/etudiant/photo/WhatsApp_Image_2023-10-27_at_09.13.45.jpeg" TargetMode="External"/><Relationship Id="rId3275" Type="http://schemas.openxmlformats.org/officeDocument/2006/relationships/hyperlink" Target="https://myiipea.com/media/etudiant/photo/WhatsApp_Image_2023-09-28_at_12.14.24.jpeg" TargetMode="External"/><Relationship Id="rId147" Type="http://schemas.openxmlformats.org/officeDocument/2006/relationships/hyperlink" Target="https://myiipea.com/media/etudiant/photo/WhatsApp_Image_2023-10-31_at_15.03.16.jpeg" TargetMode="External"/><Relationship Id="rId3278" Type="http://schemas.openxmlformats.org/officeDocument/2006/relationships/hyperlink" Target="https://myiipea.com/media/etudiant/photo/WhatsApp_Image_2023-11-21_at_4.47.16_PM.jpeg" TargetMode="External"/><Relationship Id="rId146" Type="http://schemas.openxmlformats.org/officeDocument/2006/relationships/hyperlink" Target="https://myiipea.com/media/etudiant/photo/WhatsApp_Image_2023-11-16_at_14.03.24.jpeg" TargetMode="External"/><Relationship Id="rId3277" Type="http://schemas.openxmlformats.org/officeDocument/2006/relationships/hyperlink" Target="https://myiipea.com/media/etudiant/photo/IMG_2962_resized.png" TargetMode="External"/><Relationship Id="rId145" Type="http://schemas.openxmlformats.org/officeDocument/2006/relationships/hyperlink" Target="https://myiipea.com/media/etudiant/photo/WhatsApp_Image_2023-10-19_at_16.10.25.jpeg" TargetMode="External"/><Relationship Id="rId144" Type="http://schemas.openxmlformats.org/officeDocument/2006/relationships/hyperlink" Target="https://myiipea.com/media/etudiant/photo/WhatsApp_Image_2023-09-28_at_08.16.14.jpeg" TargetMode="External"/><Relationship Id="rId3279" Type="http://schemas.openxmlformats.org/officeDocument/2006/relationships/hyperlink" Target="https://myiipea.com/media/etudiant/photo/WhatsApp_Image_2023-10-17_at_1.27.41_PM.jpeg" TargetMode="External"/><Relationship Id="rId139" Type="http://schemas.openxmlformats.org/officeDocument/2006/relationships/hyperlink" Target="https://myiipea.com/media/etudiant/photo/WhatsApp_Image_2023-09-29_at_13.08.56.jpeg" TargetMode="External"/><Relationship Id="rId138" Type="http://schemas.openxmlformats.org/officeDocument/2006/relationships/hyperlink" Target="https://myiipea.com/media/etudiant/photo/WhatsApp_Image_2023-10-03_at_12.00.55.jpeg" TargetMode="External"/><Relationship Id="rId137" Type="http://schemas.openxmlformats.org/officeDocument/2006/relationships/hyperlink" Target="https://myiipea.com/media/etudiant/photo/WhatsApp_Image_2023-10-04_at_14.27.09.jpeg" TargetMode="External"/><Relationship Id="rId3261" Type="http://schemas.openxmlformats.org/officeDocument/2006/relationships/hyperlink" Target="https://myiipea.com/media/etudiant/photo/WhatsApp_Image_2023-10-03_at_16.48.18.jpeg" TargetMode="External"/><Relationship Id="rId3260" Type="http://schemas.openxmlformats.org/officeDocument/2006/relationships/hyperlink" Target="https://myiipea.com/media/etudiant/photo/WhatsApp_Image_2023-10-03_at_12.02.19.jpeg" TargetMode="External"/><Relationship Id="rId132" Type="http://schemas.openxmlformats.org/officeDocument/2006/relationships/hyperlink" Target="https://myiipea.com/media/etudiant/photo/WhatsApp_Image_2023-10-23_at_16.21.24.jpeg" TargetMode="External"/><Relationship Id="rId3263" Type="http://schemas.openxmlformats.org/officeDocument/2006/relationships/hyperlink" Target="https://myiipea.com/media/etudiant/photo/WhatsApp_Image_2023-10-31_at_11.06.43.jpeg" TargetMode="External"/><Relationship Id="rId131" Type="http://schemas.openxmlformats.org/officeDocument/2006/relationships/hyperlink" Target="https://myiipea.com/media/etudiant/photo/WhatsApp_Image_2023-09-18_at_11.37.59.jpeg" TargetMode="External"/><Relationship Id="rId3262" Type="http://schemas.openxmlformats.org/officeDocument/2006/relationships/hyperlink" Target="https://myiipea.com/media/etudiant/photo/WhatsApp_Image_2023-11-07_at_3.18.19_PM.jpeg" TargetMode="External"/><Relationship Id="rId130" Type="http://schemas.openxmlformats.org/officeDocument/2006/relationships/hyperlink" Target="https://myiipea.com/media/etudiant/photo/WhatsApp_Image_2023-10-12_at_1.31.15_PM.jpeg" TargetMode="External"/><Relationship Id="rId3265" Type="http://schemas.openxmlformats.org/officeDocument/2006/relationships/hyperlink" Target="https://myiipea.com/media/etudiant/photo/WhatsApp_Image_2023-10-04_at_14.40.28.jpeg" TargetMode="External"/><Relationship Id="rId3264" Type="http://schemas.openxmlformats.org/officeDocument/2006/relationships/hyperlink" Target="https://myiipea.com/media/etudiant/photo/WhatsApp_Image_2023-10-02_at_15.47.38.jpeg" TargetMode="External"/><Relationship Id="rId136" Type="http://schemas.openxmlformats.org/officeDocument/2006/relationships/hyperlink" Target="https://myiipea.com/media/etudiant/photo/WhatsApp_Image_2023-10-05_at_12.41.41.jpeg" TargetMode="External"/><Relationship Id="rId3267" Type="http://schemas.openxmlformats.org/officeDocument/2006/relationships/hyperlink" Target="https://myiipea.com/media/etudiant/photo/WhatsApp_Image_2023-10-30_at_14.15.44.jpeg" TargetMode="External"/><Relationship Id="rId135" Type="http://schemas.openxmlformats.org/officeDocument/2006/relationships/hyperlink" Target="https://myiipea.com/media/etudiant/photo/WhatsApp_Image_2023-10-02_at_14.31.14.jpeg" TargetMode="External"/><Relationship Id="rId3266" Type="http://schemas.openxmlformats.org/officeDocument/2006/relationships/hyperlink" Target="https://myiipea.com/media/etudiant/photo/WhatsApp_Image_2023-10-06_at_14.56.50.jpeg" TargetMode="External"/><Relationship Id="rId134" Type="http://schemas.openxmlformats.org/officeDocument/2006/relationships/hyperlink" Target="https://myiipea.com/media/etudiant/photo/WhatsApp_Image_2023-10-27_at_09.58.03.jpeg" TargetMode="External"/><Relationship Id="rId3269" Type="http://schemas.openxmlformats.org/officeDocument/2006/relationships/hyperlink" Target="https://myiipea.com/media/etudiant/photo/WhatsApp_Image_2023-09-18_at_14.33.43.jpeg" TargetMode="External"/><Relationship Id="rId133" Type="http://schemas.openxmlformats.org/officeDocument/2006/relationships/hyperlink" Target="https://myiipea.com/media/etudiant/photo/WhatsApp_Image_2023-10-16_at_16.47.19.jpeg" TargetMode="External"/><Relationship Id="rId3268" Type="http://schemas.openxmlformats.org/officeDocument/2006/relationships/hyperlink" Target="https://myiipea.com/media/etudiant/photo/WhatsApp_Image_2023-11-03_at_16.30.34.jpeg" TargetMode="External"/><Relationship Id="rId172" Type="http://schemas.openxmlformats.org/officeDocument/2006/relationships/hyperlink" Target="https://myiipea.com/media/etudiant/photo/WhatsApp_Image_2023-10-04_at_19.52.10.jpeg" TargetMode="External"/><Relationship Id="rId171" Type="http://schemas.openxmlformats.org/officeDocument/2006/relationships/hyperlink" Target="https://myiipea.com/media/etudiant/photo/WhatsApp_Image_2023-10-03_at_1.29.43_PM.jpeg" TargetMode="External"/><Relationship Id="rId170" Type="http://schemas.openxmlformats.org/officeDocument/2006/relationships/hyperlink" Target="https://myiipea.com/media/etudiant/photo/WhatsApp_Image_2023-10-31_at_4.00.12_PM.jpeg" TargetMode="External"/><Relationship Id="rId3290" Type="http://schemas.openxmlformats.org/officeDocument/2006/relationships/hyperlink" Target="https://myiipea.com/media/etudiant/photo/WhatsApp_Image_2023-10-05_at_13.25.02.jpeg" TargetMode="External"/><Relationship Id="rId3292" Type="http://schemas.openxmlformats.org/officeDocument/2006/relationships/hyperlink" Target="https://myiipea.com/media/etudiant/photo/WhatsApp_Image_2023-09-21_at_14.43.36.jpeg" TargetMode="External"/><Relationship Id="rId3291" Type="http://schemas.openxmlformats.org/officeDocument/2006/relationships/hyperlink" Target="https://myiipea.com/media/etudiant/photo/WhatsApp_Image_2023-11-03_at_11.27.30.jpeg" TargetMode="External"/><Relationship Id="rId3294" Type="http://schemas.openxmlformats.org/officeDocument/2006/relationships/hyperlink" Target="https://myiipea.com/media/etudiant/photo/TANOH.jpg" TargetMode="External"/><Relationship Id="rId3293" Type="http://schemas.openxmlformats.org/officeDocument/2006/relationships/hyperlink" Target="https://myiipea.com/media/etudiant/photo/WhatsApp_Image_2023-10-03_at_09.44.31.jpeg" TargetMode="External"/><Relationship Id="rId165" Type="http://schemas.openxmlformats.org/officeDocument/2006/relationships/hyperlink" Target="https://myiipea.com/media/etudiant/photo/WhatsApp_Image_2023-10-05_at_09.34.52.jpeg" TargetMode="External"/><Relationship Id="rId3296" Type="http://schemas.openxmlformats.org/officeDocument/2006/relationships/hyperlink" Target="https://myiipea.com/media/etudiant/photo/WhatsApp_Image_2023-10-03_at_10.03.59.jpeg" TargetMode="External"/><Relationship Id="rId164" Type="http://schemas.openxmlformats.org/officeDocument/2006/relationships/hyperlink" Target="https://myiipea.com/media/etudiant/photo/WhatsApp_Image_2023-09-29_at_13_resized_BDNgcpv.png" TargetMode="External"/><Relationship Id="rId3295" Type="http://schemas.openxmlformats.org/officeDocument/2006/relationships/hyperlink" Target="https://myiipea.com/media/etudiant/photo/WhatsApp_Image_2023-10-16_at_11.50.55.jpeg" TargetMode="External"/><Relationship Id="rId163" Type="http://schemas.openxmlformats.org/officeDocument/2006/relationships/hyperlink" Target="https://myiipea.com/media/etudiant/photo/WhatsApp_Image_2023-11-06_at_4.33.37_PM.jpeg" TargetMode="External"/><Relationship Id="rId3298" Type="http://schemas.openxmlformats.org/officeDocument/2006/relationships/hyperlink" Target="https://myiipea.com/media/etudiant/photo/WhatsApp_Image_2023-11-24_at_10.21.12.jpeg" TargetMode="External"/><Relationship Id="rId162" Type="http://schemas.openxmlformats.org/officeDocument/2006/relationships/hyperlink" Target="https://myiipea.com/media/etudiant/photo/WhatsApp_Image_2023-10-04_at_08.29.01.jpeg" TargetMode="External"/><Relationship Id="rId3297" Type="http://schemas.openxmlformats.org/officeDocument/2006/relationships/hyperlink" Target="https://myiipea.com/media/etudiant/photo/WhatsApp_Image_2023-10-24_at_1.44.59_PM.jpeg" TargetMode="External"/><Relationship Id="rId169" Type="http://schemas.openxmlformats.org/officeDocument/2006/relationships/hyperlink" Target="https://myiipea.com/media/etudiant/photo/WhatsApp_Image_2023-11-20_at_4.28.50_PM.jpeg" TargetMode="External"/><Relationship Id="rId168" Type="http://schemas.openxmlformats.org/officeDocument/2006/relationships/hyperlink" Target="https://myiipea.com/media/etudiant/photo/WhatsApp_Image_2023-10-09_at_15.38.30.jpeg" TargetMode="External"/><Relationship Id="rId3299" Type="http://schemas.openxmlformats.org/officeDocument/2006/relationships/hyperlink" Target="https://myiipea.com/media/etudiant/photo/WhatsApp_Image_2023-09-14_at_14.53.52.jpeg" TargetMode="External"/><Relationship Id="rId167" Type="http://schemas.openxmlformats.org/officeDocument/2006/relationships/hyperlink" Target="https://myiipea.com/media/etudiant/photo/Logo_EMATECH_13EkmaW.png" TargetMode="External"/><Relationship Id="rId166" Type="http://schemas.openxmlformats.org/officeDocument/2006/relationships/hyperlink" Target="https://myiipea.com/media/etudiant/photo/WhatsApp_Image_2023-10-03_at_08.20.54.jpeg" TargetMode="External"/><Relationship Id="rId161" Type="http://schemas.openxmlformats.org/officeDocument/2006/relationships/hyperlink" Target="https://myiipea.com/media/etudiant/photo/WhatsApp_Image_2023-10-02_at_10.40.31.jpeg" TargetMode="External"/><Relationship Id="rId160" Type="http://schemas.openxmlformats.org/officeDocument/2006/relationships/hyperlink" Target="https://myiipea.com/media/etudiant/photo/WhatsApp_Image_2023-10-23_at_12.14.45.jpeg" TargetMode="External"/><Relationship Id="rId159" Type="http://schemas.openxmlformats.org/officeDocument/2006/relationships/hyperlink" Target="https://myiipea.com/media/etudiant/photo/WhatsApp_Image_2023-10-03_at_17.07.45.jpeg" TargetMode="External"/><Relationship Id="rId3281" Type="http://schemas.openxmlformats.org/officeDocument/2006/relationships/hyperlink" Target="https://myiipea.com/media/etudiant/photo/WhatsApp_Image_2023-11-03_at_5_resized.png" TargetMode="External"/><Relationship Id="rId3280" Type="http://schemas.openxmlformats.org/officeDocument/2006/relationships/hyperlink" Target="https://myiipea.com/media/etudiant/photo/WhatsApp_Image_2023-09-15_at_11.45.06.jpeg" TargetMode="External"/><Relationship Id="rId3283" Type="http://schemas.openxmlformats.org/officeDocument/2006/relationships/hyperlink" Target="https://myiipea.com/media/etudiant/photo/WhatsApp_Image_2023-10-04_at_5.28.22_PM.jpeg" TargetMode="External"/><Relationship Id="rId3282" Type="http://schemas.openxmlformats.org/officeDocument/2006/relationships/hyperlink" Target="https://myiipea.com/media/etudiant/photo/IMG_6309_resized.png" TargetMode="External"/><Relationship Id="rId154" Type="http://schemas.openxmlformats.org/officeDocument/2006/relationships/hyperlink" Target="https://myiipea.com/media/etudiant/photo/IMG_6924_resized.png" TargetMode="External"/><Relationship Id="rId3285" Type="http://schemas.openxmlformats.org/officeDocument/2006/relationships/hyperlink" Target="https://myiipea.com/media/etudiant/photo/WhatsApp_Image_2023-11-30_at_17.37.22.jpeg" TargetMode="External"/><Relationship Id="rId153" Type="http://schemas.openxmlformats.org/officeDocument/2006/relationships/hyperlink" Target="https://myiipea.com/media/etudiant/photo/WhatsApp_Image_2023-09-15_at_15.00.15.jpeg" TargetMode="External"/><Relationship Id="rId3284" Type="http://schemas.openxmlformats.org/officeDocument/2006/relationships/hyperlink" Target="https://myiipea.com/media/etudiant/photo/WhatsApp_Image_2023-10-04_at_18.33.34_uAXeANP_B5iVilR.jpeg" TargetMode="External"/><Relationship Id="rId152" Type="http://schemas.openxmlformats.org/officeDocument/2006/relationships/hyperlink" Target="https://myiipea.com/media/etudiant/photo/WhatsApp_Image_2023-10-23_at_10_resized.png" TargetMode="External"/><Relationship Id="rId3287" Type="http://schemas.openxmlformats.org/officeDocument/2006/relationships/hyperlink" Target="https://myiipea.com/media/etudiant/photo/WhatsApp_Image_2023-10-05_at_10.13.49.jpeg" TargetMode="External"/><Relationship Id="rId151" Type="http://schemas.openxmlformats.org/officeDocument/2006/relationships/hyperlink" Target="https://myiipea.com/media/etudiant/photo/WhatsApp_Image_2023-10-11_at_13.03.46.jpeg" TargetMode="External"/><Relationship Id="rId3286" Type="http://schemas.openxmlformats.org/officeDocument/2006/relationships/hyperlink" Target="https://myiipea.com/media/etudiant/photo/WhatsApp_Image_2023-10-10_at_14.08.14.jpeg" TargetMode="External"/><Relationship Id="rId158" Type="http://schemas.openxmlformats.org/officeDocument/2006/relationships/hyperlink" Target="https://myiipea.com/media/etudiant/photo/WhatsApp_Image_2023-10-02_at_7.06.48_PM.jpeg" TargetMode="External"/><Relationship Id="rId3289" Type="http://schemas.openxmlformats.org/officeDocument/2006/relationships/hyperlink" Target="https://myiipea.com/media/etudiant/photo/WhatsApp_Image_2023-11-16_at_12.37.39_PM.jpeg" TargetMode="External"/><Relationship Id="rId157" Type="http://schemas.openxmlformats.org/officeDocument/2006/relationships/hyperlink" Target="https://myiipea.com/media/etudiant/photo/WhatsApp_Image_2023-10-23_at_4.42.21_PM.jpeg" TargetMode="External"/><Relationship Id="rId3288" Type="http://schemas.openxmlformats.org/officeDocument/2006/relationships/hyperlink" Target="https://myiipea.com/media/etudiant/photo/WhatsApp_Image_2023-10-03_at_3.19.53_PM.jpeg" TargetMode="External"/><Relationship Id="rId156" Type="http://schemas.openxmlformats.org/officeDocument/2006/relationships/hyperlink" Target="https://myiipea.com/media/etudiant/photo/WhatsApp_Image_2023-11-21_at_1.14.49_PM.jpeg" TargetMode="External"/><Relationship Id="rId155" Type="http://schemas.openxmlformats.org/officeDocument/2006/relationships/hyperlink" Target="https://myiipea.com/media/etudiant/photo/WhatsApp_Image_2023-09-18_at_16.58.37.jpeg" TargetMode="External"/><Relationship Id="rId2820" Type="http://schemas.openxmlformats.org/officeDocument/2006/relationships/hyperlink" Target="https://myiipea.com/media/etudiant/photo/WhatsApp_Image_2023-10-09_at_20.18.53.jpeg" TargetMode="External"/><Relationship Id="rId2821" Type="http://schemas.openxmlformats.org/officeDocument/2006/relationships/hyperlink" Target="https://myiipea.com/media/etudiant/photo/WhatsApp_Image_2023-11-06_at_09.58.18.jpeg" TargetMode="External"/><Relationship Id="rId2822" Type="http://schemas.openxmlformats.org/officeDocument/2006/relationships/hyperlink" Target="https://myiipea.com/media/etudiant/photo/WhatsApp_Image_2023-11-30_at_3.09.22_PM.jpeg" TargetMode="External"/><Relationship Id="rId2823" Type="http://schemas.openxmlformats.org/officeDocument/2006/relationships/hyperlink" Target="https://myiipea.com/media/etudiant/photo/WhatsApp_Image_2023-10-03_at_13.53.31.jpeg" TargetMode="External"/><Relationship Id="rId2824" Type="http://schemas.openxmlformats.org/officeDocument/2006/relationships/hyperlink" Target="https://myiipea.com/media/etudiant/photo/WhatsApp_Image_2023-10-23_at_15.16.03.jpeg" TargetMode="External"/><Relationship Id="rId2825" Type="http://schemas.openxmlformats.org/officeDocument/2006/relationships/hyperlink" Target="https://myiipea.com/media/etudiant/photo/WhatsApp_Image_2023-10-20_at_18.08.41.jpeg" TargetMode="External"/><Relationship Id="rId2826" Type="http://schemas.openxmlformats.org/officeDocument/2006/relationships/hyperlink" Target="https://myiipea.com/media/etudiant/photo/WhatsApp_Image_2023-10-13_at_12.37.24.jpeg" TargetMode="External"/><Relationship Id="rId2827" Type="http://schemas.openxmlformats.org/officeDocument/2006/relationships/hyperlink" Target="https://myiipea.com/media/etudiant/photo/WhatsApp_Image_2023-10-23_at_17.06.38_H7acIhT.jpeg" TargetMode="External"/><Relationship Id="rId2828" Type="http://schemas.openxmlformats.org/officeDocument/2006/relationships/hyperlink" Target="https://myiipea.com/media/etudiant/photo/WhatsApp_Image_2023-10-13_at_17.42.19.jpeg" TargetMode="External"/><Relationship Id="rId2829" Type="http://schemas.openxmlformats.org/officeDocument/2006/relationships/hyperlink" Target="https://myiipea.com/media/etudiant/photo/WhatsApp_Image_2023-10-03_at_11.11.38.jpeg" TargetMode="External"/><Relationship Id="rId2810" Type="http://schemas.openxmlformats.org/officeDocument/2006/relationships/hyperlink" Target="https://myiipea.com/media/etudiant/photo/WhatsApp_Image_2023-11-22_at_14.56.56.jpeg" TargetMode="External"/><Relationship Id="rId2811" Type="http://schemas.openxmlformats.org/officeDocument/2006/relationships/hyperlink" Target="https://myiipea.com/media/etudiant/photo/WhatsApp_Image_2023-10-04_at_09.22.02.jpeg" TargetMode="External"/><Relationship Id="rId2812" Type="http://schemas.openxmlformats.org/officeDocument/2006/relationships/hyperlink" Target="https://myiipea.com/media/etudiant/photo/WhatsApp_Image_2023-11-06_at_17.27.04.jpeg" TargetMode="External"/><Relationship Id="rId2813" Type="http://schemas.openxmlformats.org/officeDocument/2006/relationships/hyperlink" Target="https://myiipea.com/media/etudiant/photo/WhatsApp_Image_2023-10-03_at_12.48.53_PM.jpeg" TargetMode="External"/><Relationship Id="rId2814" Type="http://schemas.openxmlformats.org/officeDocument/2006/relationships/hyperlink" Target="https://myiipea.com/media/etudiant/photo/WhatsApp_Image_2023-10-23_at_2.00.19_PM.jpeg" TargetMode="External"/><Relationship Id="rId2815" Type="http://schemas.openxmlformats.org/officeDocument/2006/relationships/hyperlink" Target="https://myiipea.com/media/etudiant/photo/WhatsApp_Image_2023-11-14_at_11.37.12_AM.jpeg" TargetMode="External"/><Relationship Id="rId2816" Type="http://schemas.openxmlformats.org/officeDocument/2006/relationships/hyperlink" Target="https://myiipea.com/media/etudiant/photo/WhatsApp_Image_2023-10-04_at_14.09.41.jpeg" TargetMode="External"/><Relationship Id="rId2817" Type="http://schemas.openxmlformats.org/officeDocument/2006/relationships/hyperlink" Target="https://myiipea.com/media/etudiant/photo/WhatsApp_Image_2023-10-30_at_14.53.50.jpeg" TargetMode="External"/><Relationship Id="rId2818" Type="http://schemas.openxmlformats.org/officeDocument/2006/relationships/hyperlink" Target="https://myiipea.com/media/etudiant/photo/WhatsApp_Image_2023-09-15_at_09.46.19.jpeg" TargetMode="External"/><Relationship Id="rId2819" Type="http://schemas.openxmlformats.org/officeDocument/2006/relationships/hyperlink" Target="https://myiipea.com/media/etudiant/photo/WhatsApp_Image_2023-11-22_at_12.44.00.jpeg" TargetMode="External"/><Relationship Id="rId1510" Type="http://schemas.openxmlformats.org/officeDocument/2006/relationships/hyperlink" Target="https://myiipea.com/media/etudiant/photo/WhatsApp_Image_2023-10-12_at_10.27.41.jpeg" TargetMode="External"/><Relationship Id="rId2841" Type="http://schemas.openxmlformats.org/officeDocument/2006/relationships/hyperlink" Target="https://myiipea.com/media/etudiant/photo/WhatsApp_Image_2023-10-23_at_3.43.50_PM.jpeg" TargetMode="External"/><Relationship Id="rId1511" Type="http://schemas.openxmlformats.org/officeDocument/2006/relationships/hyperlink" Target="https://myiipea.com/media/etudiant/photo/WhatsApp_Image_2023-10-11_at_11.42.40.jpeg" TargetMode="External"/><Relationship Id="rId2842" Type="http://schemas.openxmlformats.org/officeDocument/2006/relationships/hyperlink" Target="https://myiipea.com/media/etudiant/photo/IIPEA_h12lHKT.jpg" TargetMode="External"/><Relationship Id="rId1512" Type="http://schemas.openxmlformats.org/officeDocument/2006/relationships/hyperlink" Target="https://myiipea.com/media/etudiant/photo/WhatsApp_Image_2023-11-27_at_12.32.32_PM.jpeg" TargetMode="External"/><Relationship Id="rId2843" Type="http://schemas.openxmlformats.org/officeDocument/2006/relationships/hyperlink" Target="https://myiipea.com/media/etudiant/photo/WhatsApp_Image_2023-11-22_at_11.07.55_AM.jpeg" TargetMode="External"/><Relationship Id="rId1513" Type="http://schemas.openxmlformats.org/officeDocument/2006/relationships/hyperlink" Target="https://myiipea.com/media/etudiant/photo/WhatsApp_Image_2023-09-26_at_09.59.37.jpeg" TargetMode="External"/><Relationship Id="rId2844" Type="http://schemas.openxmlformats.org/officeDocument/2006/relationships/hyperlink" Target="https://myiipea.com/media/etudiant/photo/WhatsApp_Image_2023-10-03_at_10.22.17.jpeg" TargetMode="External"/><Relationship Id="rId1514" Type="http://schemas.openxmlformats.org/officeDocument/2006/relationships/hyperlink" Target="https://myiipea.com/media/etudiant/photo/TIDIANE.jpg" TargetMode="External"/><Relationship Id="rId2845" Type="http://schemas.openxmlformats.org/officeDocument/2006/relationships/hyperlink" Target="https://myiipea.com/media/etudiant/photo/WhatsApp_Image_2023-10-03_at_10.21.49.jpeg" TargetMode="External"/><Relationship Id="rId1515" Type="http://schemas.openxmlformats.org/officeDocument/2006/relationships/hyperlink" Target="https://myiipea.com/media/etudiant/photo/WhatsApp_Image_2023-10-02_at_09.28.07.jpeg" TargetMode="External"/><Relationship Id="rId2846" Type="http://schemas.openxmlformats.org/officeDocument/2006/relationships/hyperlink" Target="https://myiipea.com/media/etudiant/photo/WhatsApp_Image_2023-10-11_at_16.19.23.jpeg" TargetMode="External"/><Relationship Id="rId1516" Type="http://schemas.openxmlformats.org/officeDocument/2006/relationships/hyperlink" Target="https://myiipea.com/media/etudiant/photo/WhatsApp_Image_2023-11-08_at_15.02.34.jpeg" TargetMode="External"/><Relationship Id="rId2847" Type="http://schemas.openxmlformats.org/officeDocument/2006/relationships/hyperlink" Target="https://myiipea.com/media/etudiant/photo/WhatsApp_Image_2023-11-02_at_15.50.47.jpeg" TargetMode="External"/><Relationship Id="rId1517" Type="http://schemas.openxmlformats.org/officeDocument/2006/relationships/hyperlink" Target="https://myiipea.com/media/etudiant/photo/WhatsApp_Image_2023-09-26_at_12.00.00.jpeg" TargetMode="External"/><Relationship Id="rId2848" Type="http://schemas.openxmlformats.org/officeDocument/2006/relationships/hyperlink" Target="https://myiipea.com/media/etudiant/photo/WhatsApp_Image_2023-11-02_at_15.51.11.jpeg" TargetMode="External"/><Relationship Id="rId1518" Type="http://schemas.openxmlformats.org/officeDocument/2006/relationships/hyperlink" Target="https://myiipea.com/media/etudiant/photo/WhatsApp_Image_2023-11-16_at_11.38.25.jpeg" TargetMode="External"/><Relationship Id="rId2849" Type="http://schemas.openxmlformats.org/officeDocument/2006/relationships/hyperlink" Target="https://myiipea.com/media/etudiant/photo/WhatsApp_Image_2023-11-06_at_12.57.31.jpeg" TargetMode="External"/><Relationship Id="rId1519" Type="http://schemas.openxmlformats.org/officeDocument/2006/relationships/hyperlink" Target="https://myiipea.com/media/etudiant/photo/WhatsApp_Image_2023-10-13_at_16.55.46.jpeg" TargetMode="External"/><Relationship Id="rId2840" Type="http://schemas.openxmlformats.org/officeDocument/2006/relationships/hyperlink" Target="https://myiipea.com/media/etudiant/photo/WhatsApp_Image_2023-10-05_at_13.16.14.jpeg" TargetMode="External"/><Relationship Id="rId2830" Type="http://schemas.openxmlformats.org/officeDocument/2006/relationships/hyperlink" Target="https://myiipea.com/media/etudiant/photo/WhatsApp_Image_2023-10-16_at_09.28.03.jpeg" TargetMode="External"/><Relationship Id="rId1500" Type="http://schemas.openxmlformats.org/officeDocument/2006/relationships/hyperlink" Target="https://myiipea.com/media/etudiant/photo/WhatsApp_Image_2023-10-05_at_11.23.38.jpeg" TargetMode="External"/><Relationship Id="rId2831" Type="http://schemas.openxmlformats.org/officeDocument/2006/relationships/hyperlink" Target="https://myiipea.com/media/etudiant/photo/WhatsApp_Image_2023-10-03_at_08.41.48.jpeg" TargetMode="External"/><Relationship Id="rId1501" Type="http://schemas.openxmlformats.org/officeDocument/2006/relationships/hyperlink" Target="https://myiipea.com/media/etudiant/photo/WhatsApp_Image_2023-10-06_at_11.52.23.jpeg" TargetMode="External"/><Relationship Id="rId2832" Type="http://schemas.openxmlformats.org/officeDocument/2006/relationships/hyperlink" Target="https://myiipea.com/media/etudiant/photo/WhatsApp_Image_2023-10-04_at_08.54.57.jpeg" TargetMode="External"/><Relationship Id="rId1502" Type="http://schemas.openxmlformats.org/officeDocument/2006/relationships/hyperlink" Target="https://myiipea.com/media/etudiant/photo/WhatsApp_Image_2023-11-10_at_12.55.43_PM.jpeg" TargetMode="External"/><Relationship Id="rId2833" Type="http://schemas.openxmlformats.org/officeDocument/2006/relationships/hyperlink" Target="https://myiipea.com/media/etudiant/photo/WhatsApp_Image_2023-10-04_at_13.50.13.jpeg" TargetMode="External"/><Relationship Id="rId1503" Type="http://schemas.openxmlformats.org/officeDocument/2006/relationships/hyperlink" Target="https://myiipea.com/media/etudiant/photo/WhatsApp_Image_2023-10-24_at_6.07.22_PM.jpeg" TargetMode="External"/><Relationship Id="rId2834" Type="http://schemas.openxmlformats.org/officeDocument/2006/relationships/hyperlink" Target="https://myiipea.com/media/etudiant/photo/WhatsApp_Image_2023-09-22_%C3%A0_10.22.22.jpg" TargetMode="External"/><Relationship Id="rId1504" Type="http://schemas.openxmlformats.org/officeDocument/2006/relationships/hyperlink" Target="https://myiipea.com/media/etudiant/photo/WhatsApp_Image_2023-10-02_at_09.14.51.jpeg" TargetMode="External"/><Relationship Id="rId2835" Type="http://schemas.openxmlformats.org/officeDocument/2006/relationships/hyperlink" Target="https://myiipea.com/media/etudiant/photo/WhatsApp_Image_2023-11-03_at_13.37.51.jpeg" TargetMode="External"/><Relationship Id="rId1505" Type="http://schemas.openxmlformats.org/officeDocument/2006/relationships/hyperlink" Target="https://myiipea.com/media/etudiant/photo/WhatsApp_Image_2023-10-30_at_12.52.51.jpeg" TargetMode="External"/><Relationship Id="rId2836" Type="http://schemas.openxmlformats.org/officeDocument/2006/relationships/hyperlink" Target="https://myiipea.com/media/etudiant/photo/WhatsApp_Image_2023-10-13_at_10.54.40.jpeg" TargetMode="External"/><Relationship Id="rId1506" Type="http://schemas.openxmlformats.org/officeDocument/2006/relationships/hyperlink" Target="https://myiipea.com/media/etudiant/photo/WhatsApp_Image_2023-10-02_at_15.21.43.jpeg" TargetMode="External"/><Relationship Id="rId2837" Type="http://schemas.openxmlformats.org/officeDocument/2006/relationships/hyperlink" Target="https://myiipea.com/media/etudiant/photo/WhatsApp_Image_2023-11-02_at_12.14.12.jpeg" TargetMode="External"/><Relationship Id="rId1507" Type="http://schemas.openxmlformats.org/officeDocument/2006/relationships/hyperlink" Target="https://myiipea.com/media/etudiant/photo/WhatsApp_Image_2023-10-13_at_12.31.52_PM.jpeg" TargetMode="External"/><Relationship Id="rId2838" Type="http://schemas.openxmlformats.org/officeDocument/2006/relationships/hyperlink" Target="https://myiipea.com/media/etudiant/photo/WhatsApp_Image_2023-11-30_at_09.24.33.jpeg" TargetMode="External"/><Relationship Id="rId1508" Type="http://schemas.openxmlformats.org/officeDocument/2006/relationships/hyperlink" Target="https://myiipea.com/media/etudiant/photo/WhatsApp_Image_2023-10-06_at_11.43.15.jpeg" TargetMode="External"/><Relationship Id="rId2839" Type="http://schemas.openxmlformats.org/officeDocument/2006/relationships/hyperlink" Target="https://myiipea.com/media/etudiant/photo/WhatsApp_Image_2023-09-22_at_12.34.41.jpeg" TargetMode="External"/><Relationship Id="rId1509" Type="http://schemas.openxmlformats.org/officeDocument/2006/relationships/hyperlink" Target="https://myiipea.com/media/etudiant/photo/WhatsApp_Image_2023-11-09_at_12.34.04.jpeg" TargetMode="External"/><Relationship Id="rId2800" Type="http://schemas.openxmlformats.org/officeDocument/2006/relationships/hyperlink" Target="https://myiipea.com/media/etudiant/photo/WhatsApp_Image_2023-10-05_at_12.05.05.jpeg" TargetMode="External"/><Relationship Id="rId2801" Type="http://schemas.openxmlformats.org/officeDocument/2006/relationships/hyperlink" Target="https://myiipea.com/media/etudiant/photo/WhatsApp_Image_2023-10-12_at_09.20.48_1.jpeg" TargetMode="External"/><Relationship Id="rId2802" Type="http://schemas.openxmlformats.org/officeDocument/2006/relationships/hyperlink" Target="https://myiipea.com/media/etudiant/photo/WhatsApp_Image_2023-10-17_at_17.45.28.jpeg" TargetMode="External"/><Relationship Id="rId2803" Type="http://schemas.openxmlformats.org/officeDocument/2006/relationships/hyperlink" Target="https://myiipea.com/media/etudiant/photo/WhatsApp_Image_2023-09-26_at_12.31.56.jpeg" TargetMode="External"/><Relationship Id="rId2804" Type="http://schemas.openxmlformats.org/officeDocument/2006/relationships/hyperlink" Target="https://myiipea.com/media/etudiant/photo/WhatsApp_Image_2023-10-10_at_10.58.27.jpeg" TargetMode="External"/><Relationship Id="rId2805" Type="http://schemas.openxmlformats.org/officeDocument/2006/relationships/hyperlink" Target="https://myiipea.com/media/etudiant/photo/photo_bSczqNJ.jpg" TargetMode="External"/><Relationship Id="rId2806" Type="http://schemas.openxmlformats.org/officeDocument/2006/relationships/hyperlink" Target="https://myiipea.com/media/etudiant/photo/WhatsApp_Image_2023-10-02_at_16.41.08.jpeg" TargetMode="External"/><Relationship Id="rId2807" Type="http://schemas.openxmlformats.org/officeDocument/2006/relationships/hyperlink" Target="https://myiipea.com/media/etudiant/photo/WhatsApp_Image_2023-10-24_at_15.23.36.jpeg" TargetMode="External"/><Relationship Id="rId2808" Type="http://schemas.openxmlformats.org/officeDocument/2006/relationships/hyperlink" Target="https://myiipea.com/media/etudiant/photo/WhatsApp_Image_2023-10-24_at_12.02.05.jpeg" TargetMode="External"/><Relationship Id="rId2809" Type="http://schemas.openxmlformats.org/officeDocument/2006/relationships/hyperlink" Target="https://myiipea.com/media/etudiant/photo/WhatsApp_Image_2023-10-11_at_13.53.47.jpeg" TargetMode="External"/><Relationship Id="rId1576" Type="http://schemas.openxmlformats.org/officeDocument/2006/relationships/hyperlink" Target="https://myiipea.com/media/etudiant/photo/WhatsApp_Image_2023-10-16_at_14.28.17.jpeg" TargetMode="External"/><Relationship Id="rId1577" Type="http://schemas.openxmlformats.org/officeDocument/2006/relationships/hyperlink" Target="https://myiipea.com/media/etudiant/photo/WhatsApp_Image_2023-10-27_at_09.58.32_bPq7JWO.jpeg" TargetMode="External"/><Relationship Id="rId1578" Type="http://schemas.openxmlformats.org/officeDocument/2006/relationships/hyperlink" Target="https://myiipea.com/media/etudiant/photo/WhatsApp_Image_2023-10-30_at_16.24.56.jpeg" TargetMode="External"/><Relationship Id="rId1579" Type="http://schemas.openxmlformats.org/officeDocument/2006/relationships/hyperlink" Target="https://myiipea.com/media/etudiant/photo/WhatsApp_Image_2023-10-04_at_14.28.55.jpeg" TargetMode="External"/><Relationship Id="rId987" Type="http://schemas.openxmlformats.org/officeDocument/2006/relationships/hyperlink" Target="https://myiipea.com/media/etudiant/photo/WhatsApp_Image_2023-11-08_at_12.27.17.jpeg" TargetMode="External"/><Relationship Id="rId986" Type="http://schemas.openxmlformats.org/officeDocument/2006/relationships/hyperlink" Target="https://myiipea.com/media/etudiant/photo/WhatsApp_Image_2023-11-02_at_14.47.04.jpeg" TargetMode="External"/><Relationship Id="rId985" Type="http://schemas.openxmlformats.org/officeDocument/2006/relationships/hyperlink" Target="https://myiipea.com/media/etudiant/photo/t%C3%A9l%C3%A9charg%C3%A9.jpeg" TargetMode="External"/><Relationship Id="rId984" Type="http://schemas.openxmlformats.org/officeDocument/2006/relationships/hyperlink" Target="https://myiipea.com/media/etudiant/photo/WhatsApp_Image_2023-11-27_at_15.16.12.jpeg" TargetMode="External"/><Relationship Id="rId989" Type="http://schemas.openxmlformats.org/officeDocument/2006/relationships/hyperlink" Target="https://myiipea.com/media/etudiant/photo/WhatsApp_Image_2023-10-10_at_11.23.43.jpeg" TargetMode="External"/><Relationship Id="rId988" Type="http://schemas.openxmlformats.org/officeDocument/2006/relationships/hyperlink" Target="https://myiipea.com/media/etudiant/photo/WhatsApp_Image_2023-11-14_at_11.51.31.jpeg" TargetMode="External"/><Relationship Id="rId1570" Type="http://schemas.openxmlformats.org/officeDocument/2006/relationships/hyperlink" Target="https://myiipea.com/media/etudiant/photo/WhatsApp_Image_2023-09-29_at_17.33.18.jpeg" TargetMode="External"/><Relationship Id="rId1571" Type="http://schemas.openxmlformats.org/officeDocument/2006/relationships/hyperlink" Target="https://myiipea.com/media/etudiant/photo/WhatsApp_Image_2023-11-16_at_14.57.54.jpeg" TargetMode="External"/><Relationship Id="rId983" Type="http://schemas.openxmlformats.org/officeDocument/2006/relationships/hyperlink" Target="https://myiipea.com/media/etudiant/photo/WhatsApp_Image_2023-10-09_at_10.33.07.jpeg" TargetMode="External"/><Relationship Id="rId1572" Type="http://schemas.openxmlformats.org/officeDocument/2006/relationships/hyperlink" Target="https://myiipea.com/media/etudiant/photo/WhatsApp_Image_2023-10-13_at_14.30.44.jpeg" TargetMode="External"/><Relationship Id="rId982" Type="http://schemas.openxmlformats.org/officeDocument/2006/relationships/hyperlink" Target="https://myiipea.com/media/etudiant/photo/WhatsApp_Image_2023-10-09_at_14.08.55.jpeg" TargetMode="External"/><Relationship Id="rId1573" Type="http://schemas.openxmlformats.org/officeDocument/2006/relationships/hyperlink" Target="https://myiipea.com/media/etudiant/photo/WhatsApp_Image_2023-11-06_at_14.15.18.jpeg" TargetMode="External"/><Relationship Id="rId981" Type="http://schemas.openxmlformats.org/officeDocument/2006/relationships/hyperlink" Target="https://myiipea.com/media/etudiant/photo/WhatsApp_Image_2023-10-11_at_5.02.34_PM.jpeg" TargetMode="External"/><Relationship Id="rId1574" Type="http://schemas.openxmlformats.org/officeDocument/2006/relationships/hyperlink" Target="https://myiipea.com/media/etudiant/photo/WhatsApp_Image_2023-10-26_at_12.54.29.jpeg" TargetMode="External"/><Relationship Id="rId980" Type="http://schemas.openxmlformats.org/officeDocument/2006/relationships/hyperlink" Target="https://myiipea.com/media/etudiant/photo/WhatsApp_Image_2023-10-02_at_17.05.28.jpeg" TargetMode="External"/><Relationship Id="rId1575" Type="http://schemas.openxmlformats.org/officeDocument/2006/relationships/hyperlink" Target="https://myiipea.com/media/etudiant/photo/WhatsApp_Image_2023-10-25_at_12.42.00.jpeg" TargetMode="External"/><Relationship Id="rId1565" Type="http://schemas.openxmlformats.org/officeDocument/2006/relationships/hyperlink" Target="https://myiipea.com/media/etudiant/photo/WhatsApp_Image_2023-09-20_at_09.45.35.jpeg" TargetMode="External"/><Relationship Id="rId2896" Type="http://schemas.openxmlformats.org/officeDocument/2006/relationships/hyperlink" Target="https://myiipea.com/media/etudiant/photo/WhatsApp_Image_2023-09-29_at_13.30.13.jpeg" TargetMode="External"/><Relationship Id="rId1566" Type="http://schemas.openxmlformats.org/officeDocument/2006/relationships/hyperlink" Target="https://myiipea.com/media/etudiant/photo/WhatsApp_Image_2023-10-12_at_11.28.01.jpeg" TargetMode="External"/><Relationship Id="rId2897" Type="http://schemas.openxmlformats.org/officeDocument/2006/relationships/hyperlink" Target="https://myiipea.com/media/etudiant/photo/photo_9MRCvkg.jpg" TargetMode="External"/><Relationship Id="rId1567" Type="http://schemas.openxmlformats.org/officeDocument/2006/relationships/hyperlink" Target="https://myiipea.com/media/etudiant/photo/WhatsApp_Image_2023-10-06_at_09.45.14.jpeg" TargetMode="External"/><Relationship Id="rId2898" Type="http://schemas.openxmlformats.org/officeDocument/2006/relationships/hyperlink" Target="https://myiipea.com/media/etudiant/photo/WhatsApp_Image_2023-10-30_at_09.21.31.jpeg" TargetMode="External"/><Relationship Id="rId1568" Type="http://schemas.openxmlformats.org/officeDocument/2006/relationships/hyperlink" Target="https://myiipea.com/media/etudiant/photo/WhatsApp_Image_2023-11-02_at_1.19.56_PM_1.jpeg" TargetMode="External"/><Relationship Id="rId2899" Type="http://schemas.openxmlformats.org/officeDocument/2006/relationships/hyperlink" Target="https://myiipea.com/media/etudiant/photo/WhatsApp_Image_2023-11-02_at_10.30.09.jpeg" TargetMode="External"/><Relationship Id="rId1569" Type="http://schemas.openxmlformats.org/officeDocument/2006/relationships/hyperlink" Target="https://myiipea.com/media/etudiant/photo/WhatsApp_Image_2023-10-02_at_15.25.10.jpeg" TargetMode="External"/><Relationship Id="rId976" Type="http://schemas.openxmlformats.org/officeDocument/2006/relationships/hyperlink" Target="https://myiipea.com/media/etudiant/photo/WhatsApp_Image_2023-10-20_at_13.04.14.jpeg" TargetMode="External"/><Relationship Id="rId975" Type="http://schemas.openxmlformats.org/officeDocument/2006/relationships/hyperlink" Target="https://myiipea.com/media/etudiant/photo/WhatsApp_Image_2023-10-17_at_13.29.34.jpeg" TargetMode="External"/><Relationship Id="rId974" Type="http://schemas.openxmlformats.org/officeDocument/2006/relationships/hyperlink" Target="https://myiipea.com/media/etudiant/photo/WhatsApp_Image_2023-10-03_at_11.14.56_AM_oJU6b90.jpeg" TargetMode="External"/><Relationship Id="rId973" Type="http://schemas.openxmlformats.org/officeDocument/2006/relationships/hyperlink" Target="https://myiipea.com/media/etudiant/photo/WhatsApp_Image_2023-10-12_at_16.06.56.jpeg" TargetMode="External"/><Relationship Id="rId979" Type="http://schemas.openxmlformats.org/officeDocument/2006/relationships/hyperlink" Target="https://myiipea.com/media/etudiant/photo/WhatsApp_Image_2023-11-17_at_3.08.06_PM.jpeg" TargetMode="External"/><Relationship Id="rId978" Type="http://schemas.openxmlformats.org/officeDocument/2006/relationships/hyperlink" Target="https://myiipea.com/media/etudiant/photo/WhatsApp_Image_2023-10-20_at_12.47.22.jpeg" TargetMode="External"/><Relationship Id="rId977" Type="http://schemas.openxmlformats.org/officeDocument/2006/relationships/hyperlink" Target="https://myiipea.com/media/etudiant/photo/WhatsApp_Image_2023-10-30_at_17.25.12.jpeg" TargetMode="External"/><Relationship Id="rId2890" Type="http://schemas.openxmlformats.org/officeDocument/2006/relationships/hyperlink" Target="https://myiipea.com/media/etudiant/photo/WhatsApp_Image_2023-09-28_at_13.32.14.jpeg" TargetMode="External"/><Relationship Id="rId1560" Type="http://schemas.openxmlformats.org/officeDocument/2006/relationships/hyperlink" Target="https://myiipea.com/media/etudiant/photo/WhatsApp_Image_2023-09-26_at_12.31.33.jpeg" TargetMode="External"/><Relationship Id="rId2891" Type="http://schemas.openxmlformats.org/officeDocument/2006/relationships/hyperlink" Target="https://myiipea.com/media/etudiant/photo/WhatsApp_Image_2023-10-16_at_16.53.10.jpeg" TargetMode="External"/><Relationship Id="rId972" Type="http://schemas.openxmlformats.org/officeDocument/2006/relationships/hyperlink" Target="https://myiipea.com/media/etudiant/photo/WhatsApp_Image_2023-10-24_at_12.35.38_PM.jpeg" TargetMode="External"/><Relationship Id="rId1561" Type="http://schemas.openxmlformats.org/officeDocument/2006/relationships/hyperlink" Target="https://myiipea.com/media/etudiant/photo/WhatsApp_Image_2023-10-04_at_13.18.50.jpeg" TargetMode="External"/><Relationship Id="rId2892" Type="http://schemas.openxmlformats.org/officeDocument/2006/relationships/hyperlink" Target="https://myiipea.com/media/etudiant/photo/WhatsApp_Image_2023-10-04_at_12.49.49.jpeg" TargetMode="External"/><Relationship Id="rId971" Type="http://schemas.openxmlformats.org/officeDocument/2006/relationships/hyperlink" Target="https://myiipea.com/media/etudiant/photo/WhatsApp_Image_2023-10-05_at_16.16.09.jpeg" TargetMode="External"/><Relationship Id="rId1562" Type="http://schemas.openxmlformats.org/officeDocument/2006/relationships/hyperlink" Target="https://myiipea.com/media/etudiant/photo/WhatsApp_Image_2023-11-13_at_12.46.00.jpeg" TargetMode="External"/><Relationship Id="rId2893" Type="http://schemas.openxmlformats.org/officeDocument/2006/relationships/hyperlink" Target="https://myiipea.com/media/etudiant/photo/WhatsApp_Image_2023-10-12_at_13.30.01.jpeg" TargetMode="External"/><Relationship Id="rId970" Type="http://schemas.openxmlformats.org/officeDocument/2006/relationships/hyperlink" Target="https://myiipea.com/media/etudiant/photo/WhatsApp_Image_2023-10-03_at_12.39.57.jpeg" TargetMode="External"/><Relationship Id="rId1563" Type="http://schemas.openxmlformats.org/officeDocument/2006/relationships/hyperlink" Target="https://myiipea.com/media/etudiant/photo/WhatsApp_Image_2023-10-03_at_17.31.50.jpeg" TargetMode="External"/><Relationship Id="rId2894" Type="http://schemas.openxmlformats.org/officeDocument/2006/relationships/hyperlink" Target="https://myiipea.com/media/etudiant/photo/WhatsApp_Image_2023-10-13_at_6.08.39_PM.jpeg" TargetMode="External"/><Relationship Id="rId1564" Type="http://schemas.openxmlformats.org/officeDocument/2006/relationships/hyperlink" Target="https://myiipea.com/media/etudiant/photo/WhatsApp_Image_2023-10-05_at_13.29.14.jpeg" TargetMode="External"/><Relationship Id="rId2895" Type="http://schemas.openxmlformats.org/officeDocument/2006/relationships/hyperlink" Target="https://myiipea.com/media/etudiant/photo/WhatsApp_Image_2023-11-09_at_15.05.26_1_4K2nnnd.jpeg" TargetMode="External"/><Relationship Id="rId1598" Type="http://schemas.openxmlformats.org/officeDocument/2006/relationships/hyperlink" Target="https://myiipea.com/media/etudiant/photo/WhatsApp_Image_2023-10-13_at_17.19.50.jpeg" TargetMode="External"/><Relationship Id="rId1599" Type="http://schemas.openxmlformats.org/officeDocument/2006/relationships/hyperlink" Target="https://myiipea.com/media/etudiant/photo/WhatsApp_Image_2023-11-27_at_11.53.04_AM.jpeg" TargetMode="External"/><Relationship Id="rId1590" Type="http://schemas.openxmlformats.org/officeDocument/2006/relationships/hyperlink" Target="https://myiipea.com/media/etudiant/photo/WhatsApp_Image_2023-11-13_at_15.41.15.jpeg" TargetMode="External"/><Relationship Id="rId1591" Type="http://schemas.openxmlformats.org/officeDocument/2006/relationships/hyperlink" Target="https://myiipea.com/media/etudiant/photo/WhatsApp_Image_2023-11-17_at_11.22.58.jpeg" TargetMode="External"/><Relationship Id="rId1592" Type="http://schemas.openxmlformats.org/officeDocument/2006/relationships/hyperlink" Target="https://myiipea.com/media/etudiant/photo/WhatsApp_Image_2023-10-11_at_13.05.04.jpeg" TargetMode="External"/><Relationship Id="rId1593" Type="http://schemas.openxmlformats.org/officeDocument/2006/relationships/hyperlink" Target="https://myiipea.com/media/etudiant/photo/WhatsApp_Image_2023-10-04_at_19.38.12.jpeg" TargetMode="External"/><Relationship Id="rId1594" Type="http://schemas.openxmlformats.org/officeDocument/2006/relationships/hyperlink" Target="https://myiipea.com/media/etudiant/photo/WhatsApp_Image_2023-10-05_at_14.29.02.jpeg" TargetMode="External"/><Relationship Id="rId1595" Type="http://schemas.openxmlformats.org/officeDocument/2006/relationships/hyperlink" Target="https://myiipea.com/media/etudiant/photo/WhatsApp_Image_2023-09-21_at_16.55.28.jpeg" TargetMode="External"/><Relationship Id="rId1596" Type="http://schemas.openxmlformats.org/officeDocument/2006/relationships/hyperlink" Target="https://myiipea.com/media/etudiant/photo/WhatsApp_Image_2023-11-13_at_12.13.22.jpeg" TargetMode="External"/><Relationship Id="rId1597" Type="http://schemas.openxmlformats.org/officeDocument/2006/relationships/hyperlink" Target="https://myiipea.com/media/etudiant/photo/WhatsApp_Image_2023-10-04_at_16.10.39.jpeg" TargetMode="External"/><Relationship Id="rId1587" Type="http://schemas.openxmlformats.org/officeDocument/2006/relationships/hyperlink" Target="https://myiipea.com/media/etudiant/photo/239422487_405915444207421_8131329350063382999_n_pbEVvpg.jpg" TargetMode="External"/><Relationship Id="rId1588" Type="http://schemas.openxmlformats.org/officeDocument/2006/relationships/hyperlink" Target="https://myiipea.com/media/etudiant/photo/WhatsApp_Image_2023-11-29_at_1.53.36_PM.jpeg" TargetMode="External"/><Relationship Id="rId1589" Type="http://schemas.openxmlformats.org/officeDocument/2006/relationships/hyperlink" Target="https://myiipea.com/media/etudiant/photo/WhatsApp_Image_2023-10-03_at_14.00.58.jpeg" TargetMode="External"/><Relationship Id="rId998" Type="http://schemas.openxmlformats.org/officeDocument/2006/relationships/hyperlink" Target="https://myiipea.com/media/etudiant/photo/WhatsApp_Image_2023-10-04_at_17.52.31.jpeg" TargetMode="External"/><Relationship Id="rId997" Type="http://schemas.openxmlformats.org/officeDocument/2006/relationships/hyperlink" Target="https://myiipea.com/media/etudiant/photo/Logo_EMATECH_airL4zf.png" TargetMode="External"/><Relationship Id="rId996" Type="http://schemas.openxmlformats.org/officeDocument/2006/relationships/hyperlink" Target="https://myiipea.com/media/etudiant/photo/WhatsApp_Image_2023-10-20_at_11.17.52_AM.jpeg" TargetMode="External"/><Relationship Id="rId995" Type="http://schemas.openxmlformats.org/officeDocument/2006/relationships/hyperlink" Target="https://myiipea.com/media/etudiant/photo/WhatsApp_Image_2023-10-31_at_10.04.33.jpeg" TargetMode="External"/><Relationship Id="rId999" Type="http://schemas.openxmlformats.org/officeDocument/2006/relationships/hyperlink" Target="https://myiipea.com/media/etudiant/photo/WhatsApp_Image_2023-10-04_at_10.55.14.jpeg" TargetMode="External"/><Relationship Id="rId990" Type="http://schemas.openxmlformats.org/officeDocument/2006/relationships/hyperlink" Target="https://myiipea.com/media/etudiant/photo/WhatsApp_Image_2023-10-05_at_09.42.22.jpeg" TargetMode="External"/><Relationship Id="rId1580" Type="http://schemas.openxmlformats.org/officeDocument/2006/relationships/hyperlink" Target="https://myiipea.com/media/etudiant/photo/WhatsApp_Image_2023-10-06_at_11.43.40.jpeg" TargetMode="External"/><Relationship Id="rId1581" Type="http://schemas.openxmlformats.org/officeDocument/2006/relationships/hyperlink" Target="https://myiipea.com/media/etudiant/photo/WhatsApp_Image_2023-10-21_at_1.17.22_PM.jpeg" TargetMode="External"/><Relationship Id="rId1582" Type="http://schemas.openxmlformats.org/officeDocument/2006/relationships/hyperlink" Target="https://myiipea.com/media/etudiant/photo/WhatsApp_Image_2023-10-19_at_4.28.12_PM.jpeg" TargetMode="External"/><Relationship Id="rId994" Type="http://schemas.openxmlformats.org/officeDocument/2006/relationships/hyperlink" Target="https://myiipea.com/media/etudiant/photo/WhatsApp_Image_2023-10-27_at_09.24.05.jpeg" TargetMode="External"/><Relationship Id="rId1583" Type="http://schemas.openxmlformats.org/officeDocument/2006/relationships/hyperlink" Target="https://myiipea.com/media/etudiant/photo/WhatsApp_Image_2023-11-07_at_1.39.47_PM.jpeg" TargetMode="External"/><Relationship Id="rId993" Type="http://schemas.openxmlformats.org/officeDocument/2006/relationships/hyperlink" Target="https://myiipea.com/media/etudiant/photo/WhatsApp_Image_2023-10-05_at_13.31.37.jpeg" TargetMode="External"/><Relationship Id="rId1584" Type="http://schemas.openxmlformats.org/officeDocument/2006/relationships/hyperlink" Target="https://myiipea.com/media/etudiant/photo/WhatsApp_Image_2023-10-23_at_2.40.17_PM.jpeg" TargetMode="External"/><Relationship Id="rId992" Type="http://schemas.openxmlformats.org/officeDocument/2006/relationships/hyperlink" Target="https://myiipea.com/media/etudiant/photo/t%C3%A9l%C3%A9chargement_hVv2gDQ.png" TargetMode="External"/><Relationship Id="rId1585" Type="http://schemas.openxmlformats.org/officeDocument/2006/relationships/hyperlink" Target="https://myiipea.com/media/etudiant/photo/WhatsApp_Image_2023-10-11_at_16.27.00.jpeg" TargetMode="External"/><Relationship Id="rId991" Type="http://schemas.openxmlformats.org/officeDocument/2006/relationships/hyperlink" Target="https://myiipea.com/media/etudiant/photo/WhatsApp_Image_2023-10-17_at_09.17.52.jpeg" TargetMode="External"/><Relationship Id="rId1586" Type="http://schemas.openxmlformats.org/officeDocument/2006/relationships/hyperlink" Target="https://myiipea.com/media/etudiant/photo/WhatsApp_Image_2023-11-08_at_12.22.07_PM.jpeg" TargetMode="External"/><Relationship Id="rId1532" Type="http://schemas.openxmlformats.org/officeDocument/2006/relationships/hyperlink" Target="https://myiipea.com/media/etudiant/photo/WhatsApp_Image_2023-09-29_at_13.27.32.jpeg" TargetMode="External"/><Relationship Id="rId2863" Type="http://schemas.openxmlformats.org/officeDocument/2006/relationships/hyperlink" Target="https://myiipea.com/media/etudiant/photo/WhatsApp_Image_2023-10-17_at_15.23.50.jpeg" TargetMode="External"/><Relationship Id="rId1533" Type="http://schemas.openxmlformats.org/officeDocument/2006/relationships/hyperlink" Target="https://myiipea.com/media/etudiant/photo/WhatsApp_Image_2023-10-02_at_7.38.48_PM.jpeg" TargetMode="External"/><Relationship Id="rId2864" Type="http://schemas.openxmlformats.org/officeDocument/2006/relationships/hyperlink" Target="https://myiipea.com/media/etudiant/photo/WhatsApp_Image_2023-10-05_at_15_resized_xMmVSxJ.png" TargetMode="External"/><Relationship Id="rId1534" Type="http://schemas.openxmlformats.org/officeDocument/2006/relationships/hyperlink" Target="https://myiipea.com/media/etudiant/photo/WhatsApp_Image_2023-10-02_at_18.39.07.jpeg" TargetMode="External"/><Relationship Id="rId2865" Type="http://schemas.openxmlformats.org/officeDocument/2006/relationships/hyperlink" Target="https://myiipea.com/media/etudiant/photo/WhatsApp_Image_2023-09-29_at_16.26.30.jpeg" TargetMode="External"/><Relationship Id="rId1535" Type="http://schemas.openxmlformats.org/officeDocument/2006/relationships/hyperlink" Target="https://myiipea.com/media/etudiant/photo/WhatsApp_Image_2023-10-12_at_11.09.02.jpeg" TargetMode="External"/><Relationship Id="rId2866" Type="http://schemas.openxmlformats.org/officeDocument/2006/relationships/hyperlink" Target="https://myiipea.com/media/etudiant/photo/WhatsApp_Image_2023-10-04_at_15.27.43.jpeg" TargetMode="External"/><Relationship Id="rId1536" Type="http://schemas.openxmlformats.org/officeDocument/2006/relationships/hyperlink" Target="https://myiipea.com/media/etudiant/photo/WhatsApp_Image_2023-10-28_at_13.06.50.jpeg" TargetMode="External"/><Relationship Id="rId2867" Type="http://schemas.openxmlformats.org/officeDocument/2006/relationships/hyperlink" Target="https://myiipea.com/media/etudiant/photo/ee805a7a-bd0f-4cfc-a70e-cbab604ca96a_6g0XKjd.jpeg" TargetMode="External"/><Relationship Id="rId1537" Type="http://schemas.openxmlformats.org/officeDocument/2006/relationships/hyperlink" Target="https://myiipea.com/media/etudiant/photo/WhatsApp_Image_2023-10-06_at_6.44.04_PM.jpeg" TargetMode="External"/><Relationship Id="rId2868" Type="http://schemas.openxmlformats.org/officeDocument/2006/relationships/hyperlink" Target="https://myiipea.com/media/etudiant/photo/WhatsApp_Image_2023-11-16_at_14.06.48.jpeg" TargetMode="External"/><Relationship Id="rId1538" Type="http://schemas.openxmlformats.org/officeDocument/2006/relationships/hyperlink" Target="https://myiipea.com/media/etudiant/photo/WhatsApp_Image_2023-10-02_at_16_resized.png" TargetMode="External"/><Relationship Id="rId2869" Type="http://schemas.openxmlformats.org/officeDocument/2006/relationships/hyperlink" Target="https://myiipea.com/media/etudiant/photo/WhatsApp_Image_2023-10-04_at_12.31.31.jpeg" TargetMode="External"/><Relationship Id="rId1539" Type="http://schemas.openxmlformats.org/officeDocument/2006/relationships/hyperlink" Target="https://myiipea.com/media/etudiant/photo/WhatsApp_Image_2023-10-04_at_15.22.07.jpeg" TargetMode="External"/><Relationship Id="rId949" Type="http://schemas.openxmlformats.org/officeDocument/2006/relationships/hyperlink" Target="https://myiipea.com/media/etudiant/photo/WhatsApp_Image_2023-11-02_at_16.04.46.jpeg" TargetMode="External"/><Relationship Id="rId948" Type="http://schemas.openxmlformats.org/officeDocument/2006/relationships/hyperlink" Target="https://myiipea.com/media/etudiant/photo/WhatsApp_Image_2023-09-25_at_15.48.21.jpeg" TargetMode="External"/><Relationship Id="rId943" Type="http://schemas.openxmlformats.org/officeDocument/2006/relationships/hyperlink" Target="https://myiipea.com/media/etudiant/photo/WhatsApp_Image_2023-10-17_at_10.35.24.jpeg" TargetMode="External"/><Relationship Id="rId942" Type="http://schemas.openxmlformats.org/officeDocument/2006/relationships/hyperlink" Target="https://myiipea.com/media/etudiant/photo/WhatsApp_Image_2023-10-16_at_10.56.59.jpeg" TargetMode="External"/><Relationship Id="rId941" Type="http://schemas.openxmlformats.org/officeDocument/2006/relationships/hyperlink" Target="https://myiipea.com/media/etudiant/photo/WhatsApp_Image_2023-10-20_at_5.04.26_PM.jpeg" TargetMode="External"/><Relationship Id="rId940" Type="http://schemas.openxmlformats.org/officeDocument/2006/relationships/hyperlink" Target="https://myiipea.com/media/etudiant/photo/WhatsApp_Image_2023-11-27_at_1.24.48_PM.jpeg" TargetMode="External"/><Relationship Id="rId947" Type="http://schemas.openxmlformats.org/officeDocument/2006/relationships/hyperlink" Target="https://myiipea.com/media/etudiant/photo/WhatsApp_Image_2023-10-18_at_2.07.01_PM.jpeg" TargetMode="External"/><Relationship Id="rId946" Type="http://schemas.openxmlformats.org/officeDocument/2006/relationships/hyperlink" Target="https://myiipea.com/media/etudiant/photo/WhatsApp_Image_2023-10-09_at_09.08.09.jpeg" TargetMode="External"/><Relationship Id="rId945" Type="http://schemas.openxmlformats.org/officeDocument/2006/relationships/hyperlink" Target="https://myiipea.com/media/etudiant/photo/WhatsApp_Image_2023-10-09_at_16.16.00.jpeg" TargetMode="External"/><Relationship Id="rId944" Type="http://schemas.openxmlformats.org/officeDocument/2006/relationships/hyperlink" Target="https://myiipea.com/media/etudiant/photo/WhatsApp_Image_2023-10-09_at_1.02.52_PM.jpeg" TargetMode="External"/><Relationship Id="rId2860" Type="http://schemas.openxmlformats.org/officeDocument/2006/relationships/hyperlink" Target="https://myiipea.com/media/etudiant/photo/WhatsApp_Image_2023-10-26_at_14.48.11.jpeg" TargetMode="External"/><Relationship Id="rId1530" Type="http://schemas.openxmlformats.org/officeDocument/2006/relationships/hyperlink" Target="https://myiipea.com/media/etudiant/photo/WhatsApp_Image_2023-10-05_at_11.49.34_AM.jpeg" TargetMode="External"/><Relationship Id="rId2861" Type="http://schemas.openxmlformats.org/officeDocument/2006/relationships/hyperlink" Target="https://myiipea.com/media/etudiant/photo/WhatsApp_Image_2023-10-09_at_15.43.30.jpeg" TargetMode="External"/><Relationship Id="rId1531" Type="http://schemas.openxmlformats.org/officeDocument/2006/relationships/hyperlink" Target="https://myiipea.com/media/etudiant/photo/WhatsApp_Image_2023-10-19_at_14.24.25.jpeg" TargetMode="External"/><Relationship Id="rId2862" Type="http://schemas.openxmlformats.org/officeDocument/2006/relationships/hyperlink" Target="https://myiipea.com/media/etudiant/photo/WhatsApp_Image_2023-10-14_at_08.50.35.jpeg" TargetMode="External"/><Relationship Id="rId1521" Type="http://schemas.openxmlformats.org/officeDocument/2006/relationships/hyperlink" Target="https://myiipea.com/media/etudiant/photo/WhatsApp_Image_2023-10-04_at_12.19.57.jpeg" TargetMode="External"/><Relationship Id="rId2852" Type="http://schemas.openxmlformats.org/officeDocument/2006/relationships/hyperlink" Target="https://myiipea.com/media/etudiant/photo/WhatsApp_Image_2023-10-03_at_11.39.17_AM.jpeg" TargetMode="External"/><Relationship Id="rId1522" Type="http://schemas.openxmlformats.org/officeDocument/2006/relationships/hyperlink" Target="https://myiipea.com/media/etudiant/photo/WhatsApp_Image_2023-10-24_at_14.48.19.jpeg" TargetMode="External"/><Relationship Id="rId2853" Type="http://schemas.openxmlformats.org/officeDocument/2006/relationships/hyperlink" Target="https://myiipea.com/media/etudiant/photo/WhatsApp_Image_2023-10-25_at_5.09.25_PM.jpeg" TargetMode="External"/><Relationship Id="rId1523" Type="http://schemas.openxmlformats.org/officeDocument/2006/relationships/hyperlink" Target="https://myiipea.com/media/etudiant/photo/WhatsApp_Image_2023-10-26_at_13.29.42.jpeg" TargetMode="External"/><Relationship Id="rId2854" Type="http://schemas.openxmlformats.org/officeDocument/2006/relationships/hyperlink" Target="https://myiipea.com/media/etudiant/photo/WhatsApp_Image_2023-10-23_at_15.22.59_2.jpeg" TargetMode="External"/><Relationship Id="rId1524" Type="http://schemas.openxmlformats.org/officeDocument/2006/relationships/hyperlink" Target="https://myiipea.com/media/etudiant/photo/WhatsApp_Image_2023-10-30_at_13.16.33.jpeg" TargetMode="External"/><Relationship Id="rId2855" Type="http://schemas.openxmlformats.org/officeDocument/2006/relationships/hyperlink" Target="https://myiipea.com/media/etudiant/photo/WhatsApp_Image_2023-11-13_at_2_resized.png" TargetMode="External"/><Relationship Id="rId1525" Type="http://schemas.openxmlformats.org/officeDocument/2006/relationships/hyperlink" Target="https://myiipea.com/media/etudiant/photo/WhatsApp_Image_2023-10-05_at_15.08.25.jpeg" TargetMode="External"/><Relationship Id="rId2856" Type="http://schemas.openxmlformats.org/officeDocument/2006/relationships/hyperlink" Target="https://myiipea.com/media/etudiant/photo/WhatsApp_Image_2023-10-19_at_14.15.30.jpeg" TargetMode="External"/><Relationship Id="rId1526" Type="http://schemas.openxmlformats.org/officeDocument/2006/relationships/hyperlink" Target="https://myiipea.com/media/etudiant/photo/WhatsApp_Image_2023-10-12_at_5.38.23_PM.jpeg" TargetMode="External"/><Relationship Id="rId2857" Type="http://schemas.openxmlformats.org/officeDocument/2006/relationships/hyperlink" Target="https://myiipea.com/media/etudiant/photo/WhatsApp_Image_2023-09-26_at_16.14.35.jpeg" TargetMode="External"/><Relationship Id="rId1527" Type="http://schemas.openxmlformats.org/officeDocument/2006/relationships/hyperlink" Target="https://myiipea.com/media/etudiant/photo/WhatsApp_Image_2023-10-02_at_09.53.56.jpeg" TargetMode="External"/><Relationship Id="rId2858" Type="http://schemas.openxmlformats.org/officeDocument/2006/relationships/hyperlink" Target="https://myiipea.com/media/etudiant/photo/t%C3%A9l%C3%A9charg%C3%A9_1SLGrcg.jpeg" TargetMode="External"/><Relationship Id="rId1528" Type="http://schemas.openxmlformats.org/officeDocument/2006/relationships/hyperlink" Target="https://myiipea.com/media/etudiant/photo/WhatsApp_Image_2023-11-17_at_17.10.32.jpeg" TargetMode="External"/><Relationship Id="rId2859" Type="http://schemas.openxmlformats.org/officeDocument/2006/relationships/hyperlink" Target="https://myiipea.com/media/etudiant/photo/WhatsApp_Image_2023-10-26_at_10.58.17.jpeg" TargetMode="External"/><Relationship Id="rId1529" Type="http://schemas.openxmlformats.org/officeDocument/2006/relationships/hyperlink" Target="https://myiipea.com/media/etudiant/photo/WhatsApp_Image_2023-10-11_at_16.53.51.jpeg" TargetMode="External"/><Relationship Id="rId939" Type="http://schemas.openxmlformats.org/officeDocument/2006/relationships/hyperlink" Target="https://myiipea.com/media/etudiant/photo/WhatsApp_Image_2023-11-08_at_14.06.46.jpeg" TargetMode="External"/><Relationship Id="rId938" Type="http://schemas.openxmlformats.org/officeDocument/2006/relationships/hyperlink" Target="https://myiipea.com/media/etudiant/photo/WhatsApp_Image_2023-10-05_at_11.32.35_1.jpeg" TargetMode="External"/><Relationship Id="rId937" Type="http://schemas.openxmlformats.org/officeDocument/2006/relationships/hyperlink" Target="https://myiipea.com/media/etudiant/photo/WhatsApp_Image_2023-10-21_at_11.20.18_1.jpeg" TargetMode="External"/><Relationship Id="rId932" Type="http://schemas.openxmlformats.org/officeDocument/2006/relationships/hyperlink" Target="https://myiipea.com/media/etudiant/photo/WhatsApp_Image_2023-10-06_at_17.18.50.jpeg" TargetMode="External"/><Relationship Id="rId931" Type="http://schemas.openxmlformats.org/officeDocument/2006/relationships/hyperlink" Target="https://myiipea.com/media/etudiant/photo/WhatsApp_Image_2023-11-29_at_3.27.42_PM.jpeg" TargetMode="External"/><Relationship Id="rId930" Type="http://schemas.openxmlformats.org/officeDocument/2006/relationships/hyperlink" Target="https://myiipea.com/media/etudiant/photo/WhatsApp_Image_2023-11-03_at_16.59.07.jpeg" TargetMode="External"/><Relationship Id="rId936" Type="http://schemas.openxmlformats.org/officeDocument/2006/relationships/hyperlink" Target="https://myiipea.com/media/etudiant/photo/WhatsApp_Image_2023-10-16_at_11_resized.png" TargetMode="External"/><Relationship Id="rId935" Type="http://schemas.openxmlformats.org/officeDocument/2006/relationships/hyperlink" Target="https://myiipea.com/media/etudiant/photo/WhatsApp_Image_2023-10-16_at_16.26.51.jpeg" TargetMode="External"/><Relationship Id="rId934" Type="http://schemas.openxmlformats.org/officeDocument/2006/relationships/hyperlink" Target="https://myiipea.com/media/etudiant/photo/WhatsApp_Image_2023-10-14_at_09.32.02.jpeg" TargetMode="External"/><Relationship Id="rId933" Type="http://schemas.openxmlformats.org/officeDocument/2006/relationships/hyperlink" Target="https://myiipea.com/media/etudiant/photo/WhatsApp_Image_2023-11-30_at_1.09.19_PM.jpeg" TargetMode="External"/><Relationship Id="rId2850" Type="http://schemas.openxmlformats.org/officeDocument/2006/relationships/hyperlink" Target="https://myiipea.com/media/etudiant/photo/IIPEA_xkjjAkM.jpg" TargetMode="External"/><Relationship Id="rId1520" Type="http://schemas.openxmlformats.org/officeDocument/2006/relationships/hyperlink" Target="https://myiipea.com/media/etudiant/photo/WhatsApp_Image_2023-10-16_at_11.31.33.jpeg" TargetMode="External"/><Relationship Id="rId2851" Type="http://schemas.openxmlformats.org/officeDocument/2006/relationships/hyperlink" Target="https://myiipea.com/media/etudiant/photo/WhatsApp_Image_2023-10-26_at_11.55.31.jpeg" TargetMode="External"/><Relationship Id="rId1554" Type="http://schemas.openxmlformats.org/officeDocument/2006/relationships/hyperlink" Target="https://myiipea.com/media/etudiant/photo/WhatsApp_Image_2023-10-10_at_2.41.24_PM.jpeg" TargetMode="External"/><Relationship Id="rId2885" Type="http://schemas.openxmlformats.org/officeDocument/2006/relationships/hyperlink" Target="https://myiipea.com/media/etudiant/photo/WhatsApp_Image_2023-10-23_at_4.41.38_PM.jpeg" TargetMode="External"/><Relationship Id="rId1555" Type="http://schemas.openxmlformats.org/officeDocument/2006/relationships/hyperlink" Target="https://myiipea.com/media/etudiant/photo/WhatsApp_Image_2023-10-03_at_14.45.11.jpeg" TargetMode="External"/><Relationship Id="rId2886" Type="http://schemas.openxmlformats.org/officeDocument/2006/relationships/hyperlink" Target="https://myiipea.com/media/etudiant/photo/WhatsApp_Image_2023-10-10_at_11.49.03.jpeg" TargetMode="External"/><Relationship Id="rId1556" Type="http://schemas.openxmlformats.org/officeDocument/2006/relationships/hyperlink" Target="https://myiipea.com/media/etudiant/photo/WhatsApp_Image_2023-11-20_at_2.14.56_PM.jpeg" TargetMode="External"/><Relationship Id="rId2887" Type="http://schemas.openxmlformats.org/officeDocument/2006/relationships/hyperlink" Target="https://myiipea.com/media/etudiant/photo/WhatsApp_Image_2023-09-22_at_12.17.38.jpeg" TargetMode="External"/><Relationship Id="rId1557" Type="http://schemas.openxmlformats.org/officeDocument/2006/relationships/hyperlink" Target="https://myiipea.com/media/etudiant/photo/WhatsApp_Image_2023-11-06_at_15.34.54.jpeg" TargetMode="External"/><Relationship Id="rId2888" Type="http://schemas.openxmlformats.org/officeDocument/2006/relationships/hyperlink" Target="https://myiipea.com/media/etudiant/photo/WhatsApp_Image_2023-10-27_at_15.31.52.jpeg" TargetMode="External"/><Relationship Id="rId1558" Type="http://schemas.openxmlformats.org/officeDocument/2006/relationships/hyperlink" Target="https://myiipea.com/media/etudiant/photo/WhatsApp_Image_2023-11-13_at_11.02.40.jpeg" TargetMode="External"/><Relationship Id="rId2889" Type="http://schemas.openxmlformats.org/officeDocument/2006/relationships/hyperlink" Target="https://myiipea.com/media/etudiant/photo/WhatsApp_Image_2023-11-10_at_10.57.39.jpeg" TargetMode="External"/><Relationship Id="rId1559" Type="http://schemas.openxmlformats.org/officeDocument/2006/relationships/hyperlink" Target="https://myiipea.com/media/etudiant/photo/WhatsApp_Image_2023-10-25_at_10.09.58_yBvlkpE.jpeg" TargetMode="External"/><Relationship Id="rId965" Type="http://schemas.openxmlformats.org/officeDocument/2006/relationships/hyperlink" Target="https://myiipea.com/media/etudiant/photo/IIPEA_XPAiI0L.jpg" TargetMode="External"/><Relationship Id="rId964" Type="http://schemas.openxmlformats.org/officeDocument/2006/relationships/hyperlink" Target="https://myiipea.com/media/etudiant/photo/WhatsApp_Image_2023-10-17_at_18.07.35.jpeg" TargetMode="External"/><Relationship Id="rId963" Type="http://schemas.openxmlformats.org/officeDocument/2006/relationships/hyperlink" Target="https://myiipea.com/media/etudiant/photo/WhatsApp_Image_2023-11-14_at_14.25.43.jpeg" TargetMode="External"/><Relationship Id="rId962" Type="http://schemas.openxmlformats.org/officeDocument/2006/relationships/hyperlink" Target="https://myiipea.com/media/etudiant/photo/WhatsApp_Image_2023-10-04_at_2.27.23_PM.jpeg" TargetMode="External"/><Relationship Id="rId969" Type="http://schemas.openxmlformats.org/officeDocument/2006/relationships/hyperlink" Target="https://myiipea.com/media/etudiant/photo/WhatsApp_Image_2023-10-04_at_14.56.35.jpeg" TargetMode="External"/><Relationship Id="rId968" Type="http://schemas.openxmlformats.org/officeDocument/2006/relationships/hyperlink" Target="https://myiipea.com/media/etudiant/photo/WhatsApp_Image_2023-09-22_at_12.18.20_FeHINid.jpeg" TargetMode="External"/><Relationship Id="rId967" Type="http://schemas.openxmlformats.org/officeDocument/2006/relationships/hyperlink" Target="https://myiipea.com/media/etudiant/photo/WhatsApp_Image_2023-11-09_at_15.06.06.jpeg" TargetMode="External"/><Relationship Id="rId966" Type="http://schemas.openxmlformats.org/officeDocument/2006/relationships/hyperlink" Target="https://myiipea.com/media/etudiant/photo/17016724919034101533701507096775_resized.png" TargetMode="External"/><Relationship Id="rId2880" Type="http://schemas.openxmlformats.org/officeDocument/2006/relationships/hyperlink" Target="https://myiipea.com/media/etudiant/photo/WhatsApp_Image_2023-10-13_at_15.16.02.jpeg" TargetMode="External"/><Relationship Id="rId961" Type="http://schemas.openxmlformats.org/officeDocument/2006/relationships/hyperlink" Target="https://myiipea.com/media/etudiant/photo/WhatsApp_Image_2023-10-16_at_14.59.02.jpeg" TargetMode="External"/><Relationship Id="rId1550" Type="http://schemas.openxmlformats.org/officeDocument/2006/relationships/hyperlink" Target="https://myiipea.com/media/etudiant/photo/WhatsApp_Image_2023-10-10_at_09.30.46.jpeg" TargetMode="External"/><Relationship Id="rId2881" Type="http://schemas.openxmlformats.org/officeDocument/2006/relationships/hyperlink" Target="https://myiipea.com/media/etudiant/photo/WhatsApp_Image_2023-11-02_at_15.34.37.jpeg" TargetMode="External"/><Relationship Id="rId960" Type="http://schemas.openxmlformats.org/officeDocument/2006/relationships/hyperlink" Target="https://myiipea.com/media/etudiant/photo/WhatsApp_Image_2023-09-18_at_09.57.42.jpeg" TargetMode="External"/><Relationship Id="rId1551" Type="http://schemas.openxmlformats.org/officeDocument/2006/relationships/hyperlink" Target="https://myiipea.com/media/etudiant/photo/WhatsApp_Image_2023-10-12_at_13.47.55.jpeg" TargetMode="External"/><Relationship Id="rId2882" Type="http://schemas.openxmlformats.org/officeDocument/2006/relationships/hyperlink" Target="https://myiipea.com/media/etudiant/photo/WhatsApp_Image_2023-10-03_at_13.53.17.jpeg" TargetMode="External"/><Relationship Id="rId1552" Type="http://schemas.openxmlformats.org/officeDocument/2006/relationships/hyperlink" Target="https://myiipea.com/media/etudiant/photo/WhatsApp_Image_2023-10-27_at_09.59.14.jpeg" TargetMode="External"/><Relationship Id="rId2883" Type="http://schemas.openxmlformats.org/officeDocument/2006/relationships/hyperlink" Target="https://myiipea.com/media/etudiant/photo/WhatsApp_Image_2023-11-21_at_16.09.16.jpeg" TargetMode="External"/><Relationship Id="rId1553" Type="http://schemas.openxmlformats.org/officeDocument/2006/relationships/hyperlink" Target="https://myiipea.com/media/etudiant/photo/WhatsApp_Image_2023-10-03_at_11.55.43.jpeg" TargetMode="External"/><Relationship Id="rId2884" Type="http://schemas.openxmlformats.org/officeDocument/2006/relationships/hyperlink" Target="https://myiipea.com/media/etudiant/photo/WhatsApp_Image_2023-10-04_at_14.04.12.jpeg" TargetMode="External"/><Relationship Id="rId1543" Type="http://schemas.openxmlformats.org/officeDocument/2006/relationships/hyperlink" Target="https://myiipea.com/media/etudiant/photo/WhatsApp_Image_2023-11-07_at_15.51.44.jpeg" TargetMode="External"/><Relationship Id="rId2874" Type="http://schemas.openxmlformats.org/officeDocument/2006/relationships/hyperlink" Target="https://myiipea.com/media/etudiant/photo/WhatsApp_Image_2023-09-28_at_14.58.31.jpeg" TargetMode="External"/><Relationship Id="rId1544" Type="http://schemas.openxmlformats.org/officeDocument/2006/relationships/hyperlink" Target="https://myiipea.com/media/etudiant/photo/WhatsApp_Image_2023-10-17_at_12.20.20.jpeg" TargetMode="External"/><Relationship Id="rId2875" Type="http://schemas.openxmlformats.org/officeDocument/2006/relationships/hyperlink" Target="https://myiipea.com/media/etudiant/photo/WhatsApp_Image_2023-11-09_at_4.05.24_PM_UndEBBa.jpeg" TargetMode="External"/><Relationship Id="rId1545" Type="http://schemas.openxmlformats.org/officeDocument/2006/relationships/hyperlink" Target="https://myiipea.com/media/etudiant/photo/WhatsApp_Image_2023-11-16_at_2.01.37_PM.jpeg" TargetMode="External"/><Relationship Id="rId2876" Type="http://schemas.openxmlformats.org/officeDocument/2006/relationships/hyperlink" Target="https://myiipea.com/media/etudiant/photo/photo_o92WPg8.jpg" TargetMode="External"/><Relationship Id="rId1546" Type="http://schemas.openxmlformats.org/officeDocument/2006/relationships/hyperlink" Target="https://myiipea.com/media/etudiant/photo/WhatsApp_Image_2023-10-05_at_16.29.50.jpeg" TargetMode="External"/><Relationship Id="rId2877" Type="http://schemas.openxmlformats.org/officeDocument/2006/relationships/hyperlink" Target="https://myiipea.com/media/etudiant/photo/WhatsApp_Image_2023-11-07_at_12.55.07.jpeg" TargetMode="External"/><Relationship Id="rId1547" Type="http://schemas.openxmlformats.org/officeDocument/2006/relationships/hyperlink" Target="https://myiipea.com/media/etudiant/photo/WhatsApp_Image_2023-10-27_at_15.32.32.jpeg" TargetMode="External"/><Relationship Id="rId2878" Type="http://schemas.openxmlformats.org/officeDocument/2006/relationships/hyperlink" Target="https://myiipea.com/media/etudiant/photo/WhatsApp_Image_2023-09-28_at_14.13.57.jpeg" TargetMode="External"/><Relationship Id="rId1548" Type="http://schemas.openxmlformats.org/officeDocument/2006/relationships/hyperlink" Target="https://myiipea.com/media/etudiant/photo/WhatsApp_Image_2023-10-18_at_10.00.00.jpeg" TargetMode="External"/><Relationship Id="rId2879" Type="http://schemas.openxmlformats.org/officeDocument/2006/relationships/hyperlink" Target="https://myiipea.com/media/etudiant/photo/WhatsApp_Image_2023-10-04_at_6.53.07_PM_97W5sXq.jpeg" TargetMode="External"/><Relationship Id="rId1549" Type="http://schemas.openxmlformats.org/officeDocument/2006/relationships/hyperlink" Target="https://myiipea.com/media/etudiant/photo/WhatsApp_Image_2023-09-28_at_17_resized.png" TargetMode="External"/><Relationship Id="rId959" Type="http://schemas.openxmlformats.org/officeDocument/2006/relationships/hyperlink" Target="https://myiipea.com/media/etudiant/photo/WhatsApp_Image_2023-10-18_at_1.51.03_PM.jpeg" TargetMode="External"/><Relationship Id="rId954" Type="http://schemas.openxmlformats.org/officeDocument/2006/relationships/hyperlink" Target="https://myiipea.com/media/etudiant/photo/WhatsApp_Image_2023-10-05_at_16.29.06.jpeg" TargetMode="External"/><Relationship Id="rId953" Type="http://schemas.openxmlformats.org/officeDocument/2006/relationships/hyperlink" Target="https://myiipea.com/media/etudiant/photo/IMG_6300_resized.png" TargetMode="External"/><Relationship Id="rId952" Type="http://schemas.openxmlformats.org/officeDocument/2006/relationships/hyperlink" Target="https://myiipea.com/media/etudiant/photo/WhatsApp_Image_2023-10-24_at_15.07.40.jpeg" TargetMode="External"/><Relationship Id="rId951" Type="http://schemas.openxmlformats.org/officeDocument/2006/relationships/hyperlink" Target="https://myiipea.com/media/etudiant/photo/WhatsApp_Image_2023-10-10_at_09.31.48.jpeg" TargetMode="External"/><Relationship Id="rId958" Type="http://schemas.openxmlformats.org/officeDocument/2006/relationships/hyperlink" Target="https://myiipea.com/media/etudiant/photo/ee805a7a-bd0f-4cfc-a70e-cbab604ca96a_wTfd0Qj.jpeg" TargetMode="External"/><Relationship Id="rId957" Type="http://schemas.openxmlformats.org/officeDocument/2006/relationships/hyperlink" Target="https://myiipea.com/media/etudiant/photo/WhatsApp_Image_2023-10-02_at_16.39.52.jpeg" TargetMode="External"/><Relationship Id="rId956" Type="http://schemas.openxmlformats.org/officeDocument/2006/relationships/hyperlink" Target="https://myiipea.com/media/etudiant/photo/WhatsApp_Image_2023-10-04_at_09_resized.png" TargetMode="External"/><Relationship Id="rId955" Type="http://schemas.openxmlformats.org/officeDocument/2006/relationships/hyperlink" Target="https://myiipea.com/media/etudiant/photo/WhatsApp_Image_2023-11-06_at_14.48.31.jpeg" TargetMode="External"/><Relationship Id="rId950" Type="http://schemas.openxmlformats.org/officeDocument/2006/relationships/hyperlink" Target="https://myiipea.com/media/etudiant/photo/WhatsApp_Image_2023-10-03_at_12.03.36.jpeg" TargetMode="External"/><Relationship Id="rId2870" Type="http://schemas.openxmlformats.org/officeDocument/2006/relationships/hyperlink" Target="https://myiipea.com/media/etudiant/photo/WhatsApp_Image_2023-10-05_at_12.49.18.jpeg" TargetMode="External"/><Relationship Id="rId1540" Type="http://schemas.openxmlformats.org/officeDocument/2006/relationships/hyperlink" Target="https://myiipea.com/media/etudiant/photo/WhatsApp_Image_2023-10-06_at_11.24.29_1.jpeg" TargetMode="External"/><Relationship Id="rId2871" Type="http://schemas.openxmlformats.org/officeDocument/2006/relationships/hyperlink" Target="https://myiipea.com/media/etudiant/photo/WhatsApp_Image_2023-10-13_at_15.18.55.jpeg" TargetMode="External"/><Relationship Id="rId1541" Type="http://schemas.openxmlformats.org/officeDocument/2006/relationships/hyperlink" Target="https://myiipea.com/media/etudiant/photo/WhatsApp_Image_2023-10-17_at_13.45.54_1.jpeg" TargetMode="External"/><Relationship Id="rId2872" Type="http://schemas.openxmlformats.org/officeDocument/2006/relationships/hyperlink" Target="https://myiipea.com/media/etudiant/photo/OTCHOUMOU.jpg" TargetMode="External"/><Relationship Id="rId1542" Type="http://schemas.openxmlformats.org/officeDocument/2006/relationships/hyperlink" Target="https://myiipea.com/media/etudiant/photo/IIPEA2_rqil3Ub.jpeg" TargetMode="External"/><Relationship Id="rId2873" Type="http://schemas.openxmlformats.org/officeDocument/2006/relationships/hyperlink" Target="https://myiipea.com/media/etudiant/photo/WhatsApp_Image_2023-09-20_at_10.46.18.jpeg" TargetMode="External"/><Relationship Id="rId2027" Type="http://schemas.openxmlformats.org/officeDocument/2006/relationships/hyperlink" Target="https://myiipea.com/media/etudiant/photo/WhatsApp_Image_2023-10-26_at_12.57.46.jpeg" TargetMode="External"/><Relationship Id="rId3359" Type="http://schemas.openxmlformats.org/officeDocument/2006/relationships/hyperlink" Target="https://myiipea.com/media/etudiant/photo/WhatsApp_Image_2023-10-09_at_15.22.42.jpeg" TargetMode="External"/><Relationship Id="rId2028" Type="http://schemas.openxmlformats.org/officeDocument/2006/relationships/hyperlink" Target="https://myiipea.com/media/etudiant/photo/WhatsApp_Image_2023-10-03_at_12.37.06.jpeg" TargetMode="External"/><Relationship Id="rId3358" Type="http://schemas.openxmlformats.org/officeDocument/2006/relationships/hyperlink" Target="https://myiipea.com/media/etudiant/photo/WhatsApp_Image_2023-10-23_at_12.14.21.jpeg" TargetMode="External"/><Relationship Id="rId2029" Type="http://schemas.openxmlformats.org/officeDocument/2006/relationships/hyperlink" Target="https://myiipea.com/media/etudiant/photo/WhatsApp_Image_2023-09-26_at_15.30.15.jpeg" TargetMode="External"/><Relationship Id="rId107" Type="http://schemas.openxmlformats.org/officeDocument/2006/relationships/hyperlink" Target="https://myiipea.com/media/etudiant/photo/WhatsApp_Image_2023-10-09_at_12.01.33.jpeg" TargetMode="External"/><Relationship Id="rId106" Type="http://schemas.openxmlformats.org/officeDocument/2006/relationships/hyperlink" Target="https://myiipea.com/media/etudiant/photo/WhatsApp_Image_2023-10-09_at_19.39.07.jpeg" TargetMode="External"/><Relationship Id="rId105" Type="http://schemas.openxmlformats.org/officeDocument/2006/relationships/hyperlink" Target="https://myiipea.com/media/etudiant/photo/WhatsApp_Image_2023-10-02_at_12.15.58.jpeg" TargetMode="External"/><Relationship Id="rId104" Type="http://schemas.openxmlformats.org/officeDocument/2006/relationships/hyperlink" Target="https://myiipea.com/media/etudiant/photo/WhatsApp_Image_2023-11-20_at_11_resized.png" TargetMode="External"/><Relationship Id="rId109" Type="http://schemas.openxmlformats.org/officeDocument/2006/relationships/hyperlink" Target="https://myiipea.com/media/etudiant/photo/WhatsApp_Image_2023-10-04_at_2_resized.png" TargetMode="External"/><Relationship Id="rId108" Type="http://schemas.openxmlformats.org/officeDocument/2006/relationships/hyperlink" Target="https://myiipea.com/media/etudiant/photo/t%C3%A9l%C3%A9chargement_79eFFbw.png" TargetMode="External"/><Relationship Id="rId3351" Type="http://schemas.openxmlformats.org/officeDocument/2006/relationships/hyperlink" Target="https://myiipea.com/media/etudiant/photo/WhatsApp_Image_2023-10-13_at_17.48.03.jpeg" TargetMode="External"/><Relationship Id="rId2020" Type="http://schemas.openxmlformats.org/officeDocument/2006/relationships/hyperlink" Target="https://myiipea.com/media/etudiant/photo/WhatsApp_Image_2023-10-26_at_16.28.35.jpeg" TargetMode="External"/><Relationship Id="rId3350" Type="http://schemas.openxmlformats.org/officeDocument/2006/relationships/hyperlink" Target="https://myiipea.com/media/etudiant/photo/IIPEA_yYbHRML.jpg" TargetMode="External"/><Relationship Id="rId2021" Type="http://schemas.openxmlformats.org/officeDocument/2006/relationships/hyperlink" Target="https://myiipea.com/media/etudiant/photo/WhatsApp_Image_2023-11-13_at_09.38.21.jpeg" TargetMode="External"/><Relationship Id="rId3353" Type="http://schemas.openxmlformats.org/officeDocument/2006/relationships/hyperlink" Target="https://myiipea.com/media/etudiant/photo/WhatsApp_Image_2023-11-02_at_09.13.42.jpeg" TargetMode="External"/><Relationship Id="rId2022" Type="http://schemas.openxmlformats.org/officeDocument/2006/relationships/hyperlink" Target="https://myiipea.com/media/etudiant/photo/WhatsApp_Image_2023-11-14_at_11.11.49.jpeg" TargetMode="External"/><Relationship Id="rId3352" Type="http://schemas.openxmlformats.org/officeDocument/2006/relationships/hyperlink" Target="https://myiipea.com/media/etudiant/photo/WhatsApp_Image_2023-10-13_at_12.50.17.jpeg" TargetMode="External"/><Relationship Id="rId103" Type="http://schemas.openxmlformats.org/officeDocument/2006/relationships/hyperlink" Target="https://myiipea.com/media/etudiant/photo/WhatsApp_Image_2023-12-01_at_4_resized_R05TI69.png" TargetMode="External"/><Relationship Id="rId2023" Type="http://schemas.openxmlformats.org/officeDocument/2006/relationships/hyperlink" Target="https://myiipea.com/media/etudiant/photo/WhatsApp_Image_2023-10-12_at_11.07.50.jpeg" TargetMode="External"/><Relationship Id="rId3355" Type="http://schemas.openxmlformats.org/officeDocument/2006/relationships/hyperlink" Target="https://myiipea.com/media/etudiant/photo/WhatsApp_Image_2023-10-03_at_2.37.50_PM.jpeg" TargetMode="External"/><Relationship Id="rId102" Type="http://schemas.openxmlformats.org/officeDocument/2006/relationships/hyperlink" Target="https://myiipea.com/media/etudiant/photo/WhatsApp_Image_2023-11-24_at_15.38.27_1.jpeg" TargetMode="External"/><Relationship Id="rId2024" Type="http://schemas.openxmlformats.org/officeDocument/2006/relationships/hyperlink" Target="https://myiipea.com/media/etudiant/photo/WhatsApp_Image_2023-10-13_at_18.05.07.jpeg" TargetMode="External"/><Relationship Id="rId3354" Type="http://schemas.openxmlformats.org/officeDocument/2006/relationships/hyperlink" Target="https://myiipea.com/media/etudiant/photo/IMG_5355_resized.png" TargetMode="External"/><Relationship Id="rId101" Type="http://schemas.openxmlformats.org/officeDocument/2006/relationships/hyperlink" Target="https://myiipea.com/media/etudiant/photo/WhatsApp_Image_2023-11-17_at_2.15.02_PM.jpeg" TargetMode="External"/><Relationship Id="rId2025" Type="http://schemas.openxmlformats.org/officeDocument/2006/relationships/hyperlink" Target="https://myiipea.com/media/etudiant/photo/WhatsApp_Image_2023-10-30_at_13.29.20.jpeg" TargetMode="External"/><Relationship Id="rId3357" Type="http://schemas.openxmlformats.org/officeDocument/2006/relationships/hyperlink" Target="https://myiipea.com/media/etudiant/photo/WhatsApp_Image_2023-10-06_at_16.22.37.jpeg" TargetMode="External"/><Relationship Id="rId100" Type="http://schemas.openxmlformats.org/officeDocument/2006/relationships/hyperlink" Target="https://myiipea.com/media/etudiant/photo/WhatsApp_Image_2023-10-10_at_15.09.59.jpeg" TargetMode="External"/><Relationship Id="rId2026" Type="http://schemas.openxmlformats.org/officeDocument/2006/relationships/hyperlink" Target="https://myiipea.com/media/etudiant/photo/WhatsApp_Image_2023-11-07_at_5.52.33_PM.jpeg" TargetMode="External"/><Relationship Id="rId3356" Type="http://schemas.openxmlformats.org/officeDocument/2006/relationships/hyperlink" Target="https://myiipea.com/media/etudiant/photo/WhatsApp_Image_2023-10-04_at_16.55.04.jpeg" TargetMode="External"/><Relationship Id="rId2016" Type="http://schemas.openxmlformats.org/officeDocument/2006/relationships/hyperlink" Target="https://myiipea.com/media/etudiant/photo/WhatsApp_Image_2023-10-03_at_11.14.56_AM_VSgBlYT.jpeg" TargetMode="External"/><Relationship Id="rId3348" Type="http://schemas.openxmlformats.org/officeDocument/2006/relationships/hyperlink" Target="https://myiipea.com/media/etudiant/photo/WhatsApp_Image_2023-10-06_at_15.31.36.jpeg" TargetMode="External"/><Relationship Id="rId2017" Type="http://schemas.openxmlformats.org/officeDocument/2006/relationships/hyperlink" Target="https://myiipea.com/media/etudiant/photo/WhatsApp_Image_2023-10-24_at_14.01.59.jpeg" TargetMode="External"/><Relationship Id="rId3347" Type="http://schemas.openxmlformats.org/officeDocument/2006/relationships/hyperlink" Target="https://myiipea.com/media/etudiant/photo/WhatsApp_Image_2023-10-05_at_13.55.56.jpeg" TargetMode="External"/><Relationship Id="rId2018" Type="http://schemas.openxmlformats.org/officeDocument/2006/relationships/hyperlink" Target="https://myiipea.com/media/etudiant/photo/WhatsApp_Image_2023-10-17_at_09.44.13.jpeg" TargetMode="External"/><Relationship Id="rId2019" Type="http://schemas.openxmlformats.org/officeDocument/2006/relationships/hyperlink" Target="https://myiipea.com/media/etudiant/photo/WhatsApp_Image_2023-11-13_at_10.41.42_AM.jpeg" TargetMode="External"/><Relationship Id="rId3349" Type="http://schemas.openxmlformats.org/officeDocument/2006/relationships/hyperlink" Target="https://myiipea.com/media/etudiant/photo/WhatsApp_Image_2023-10-06_at_12.46.20.jpeg" TargetMode="External"/><Relationship Id="rId3340" Type="http://schemas.openxmlformats.org/officeDocument/2006/relationships/hyperlink" Target="https://myiipea.com/media/etudiant/photo/IIPEA2_mSjoYsw_resized.png" TargetMode="External"/><Relationship Id="rId2010" Type="http://schemas.openxmlformats.org/officeDocument/2006/relationships/hyperlink" Target="https://myiipea.com/media/etudiant/photo/WhatsApp_Image_2023-10-05_at_12.18.11.jpeg" TargetMode="External"/><Relationship Id="rId3342" Type="http://schemas.openxmlformats.org/officeDocument/2006/relationships/hyperlink" Target="https://myiipea.com/media/etudiant/photo/WhatsApp_Image_2023-10-30_at_12.31.36.jpeg" TargetMode="External"/><Relationship Id="rId2011" Type="http://schemas.openxmlformats.org/officeDocument/2006/relationships/hyperlink" Target="https://myiipea.com/media/etudiant/photo/WhatsApp_Image_2023-10-04_at_09.07.46.jpeg" TargetMode="External"/><Relationship Id="rId3341" Type="http://schemas.openxmlformats.org/officeDocument/2006/relationships/hyperlink" Target="https://myiipea.com/media/etudiant/photo/WhatsApp_Image_2023-10-03_at_14_resized.png" TargetMode="External"/><Relationship Id="rId2012" Type="http://schemas.openxmlformats.org/officeDocument/2006/relationships/hyperlink" Target="https://myiipea.com/media/etudiant/photo/WhatsApp_Image_2023-10-27_at_4.14.42_PM.jpeg" TargetMode="External"/><Relationship Id="rId3344" Type="http://schemas.openxmlformats.org/officeDocument/2006/relationships/hyperlink" Target="https://myiipea.com/media/etudiant/photo/WhatsApp_Image_2023-09-20_at_12.44.37.jpeg" TargetMode="External"/><Relationship Id="rId2013" Type="http://schemas.openxmlformats.org/officeDocument/2006/relationships/hyperlink" Target="https://myiipea.com/media/etudiant/photo/WhatsApp_Image_2023-11-22_at_4.39.01_PM.jpeg" TargetMode="External"/><Relationship Id="rId3343" Type="http://schemas.openxmlformats.org/officeDocument/2006/relationships/hyperlink" Target="https://myiipea.com/media/etudiant/photo/JAURES.jpg" TargetMode="External"/><Relationship Id="rId2014" Type="http://schemas.openxmlformats.org/officeDocument/2006/relationships/hyperlink" Target="https://myiipea.com/media/etudiant/photo/WhatsApp_Image_2023-10-10_at_11_resized.png" TargetMode="External"/><Relationship Id="rId3346" Type="http://schemas.openxmlformats.org/officeDocument/2006/relationships/hyperlink" Target="https://myiipea.com/media/etudiant/photo/WhatsApp_Image_2023-10-20_at_12.47.31.jpeg" TargetMode="External"/><Relationship Id="rId2015" Type="http://schemas.openxmlformats.org/officeDocument/2006/relationships/hyperlink" Target="https://myiipea.com/media/etudiant/photo/WhatsApp_Image_2023-11-27_at_3.07.41_PM.jpeg" TargetMode="External"/><Relationship Id="rId3345" Type="http://schemas.openxmlformats.org/officeDocument/2006/relationships/hyperlink" Target="https://myiipea.com/media/etudiant/photo/WhatsApp_Image_2023-10-16_at_12.38.56.jpeg" TargetMode="External"/><Relationship Id="rId2049" Type="http://schemas.openxmlformats.org/officeDocument/2006/relationships/hyperlink" Target="https://myiipea.com/media/etudiant/photo/WhatsApp_Image_2023-11-30_at_12.36.53_PM.jpeg" TargetMode="External"/><Relationship Id="rId129" Type="http://schemas.openxmlformats.org/officeDocument/2006/relationships/hyperlink" Target="https://myiipea.com/media/etudiant/photo/WhatsApp_Image_2023-10-02_at_15.24.15.jpeg" TargetMode="External"/><Relationship Id="rId128" Type="http://schemas.openxmlformats.org/officeDocument/2006/relationships/hyperlink" Target="https://myiipea.com/media/etudiant/photo/WhatsApp_Image_2023-10-18_at_16.34.07_pHlBlZ3.jpeg" TargetMode="External"/><Relationship Id="rId127" Type="http://schemas.openxmlformats.org/officeDocument/2006/relationships/hyperlink" Target="https://myiipea.com/media/etudiant/photo/20ade533-24d2-4caa-b159-012af687e2fb_resized.png" TargetMode="External"/><Relationship Id="rId126" Type="http://schemas.openxmlformats.org/officeDocument/2006/relationships/hyperlink" Target="https://myiipea.com/media/etudiant/photo/WhatsApp_Image_2023-10-04_at_11_resized.png" TargetMode="External"/><Relationship Id="rId3371" Type="http://schemas.openxmlformats.org/officeDocument/2006/relationships/hyperlink" Target="https://myiipea.com/media/etudiant/photo/WhatsApp_Image_2023-11-08_at_09.57.00.jpeg" TargetMode="External"/><Relationship Id="rId2040" Type="http://schemas.openxmlformats.org/officeDocument/2006/relationships/hyperlink" Target="https://myiipea.com/media/etudiant/photo/WhatsApp_Image_2023-10-10_at_6.20.16_PM.jpeg" TargetMode="External"/><Relationship Id="rId3370" Type="http://schemas.openxmlformats.org/officeDocument/2006/relationships/hyperlink" Target="https://myiipea.com/media/etudiant/photo/WhatsApp_Image_2023-10-06_at_4.35.57_PM.jpeg" TargetMode="External"/><Relationship Id="rId121" Type="http://schemas.openxmlformats.org/officeDocument/2006/relationships/hyperlink" Target="https://myiipea.com/media/etudiant/photo/WhatsApp_Image_2023-10-10_at_15_resized.png" TargetMode="External"/><Relationship Id="rId2041" Type="http://schemas.openxmlformats.org/officeDocument/2006/relationships/hyperlink" Target="https://myiipea.com/media/etudiant/photo/WhatsApp_Image_2023-09-20_at_14.45.50.jpeg" TargetMode="External"/><Relationship Id="rId3373" Type="http://schemas.openxmlformats.org/officeDocument/2006/relationships/hyperlink" Target="https://myiipea.com/media/etudiant/photo/WhatsApp_Image_2023-10-02_at_18.14.45.jpeg" TargetMode="External"/><Relationship Id="rId120" Type="http://schemas.openxmlformats.org/officeDocument/2006/relationships/hyperlink" Target="https://myiipea.com/media/etudiant/photo/WhatsApp_Image_2023-10-11_at_15.02.12.jpeg" TargetMode="External"/><Relationship Id="rId2042" Type="http://schemas.openxmlformats.org/officeDocument/2006/relationships/hyperlink" Target="https://myiipea.com/media/etudiant/photo/WhatsApp_Image_2023-11-14_at_09.18.02_1.jpeg" TargetMode="External"/><Relationship Id="rId3372" Type="http://schemas.openxmlformats.org/officeDocument/2006/relationships/hyperlink" Target="https://myiipea.com/media/etudiant/photo/WhatsApp_Image_2023-10-16_at_7.03.14_PM.jpeg" TargetMode="External"/><Relationship Id="rId2043" Type="http://schemas.openxmlformats.org/officeDocument/2006/relationships/hyperlink" Target="https://myiipea.com/media/etudiant/photo/WhatsApp_Image_2023-10-26_at_13.13.40.jpeg" TargetMode="External"/><Relationship Id="rId3375" Type="http://schemas.openxmlformats.org/officeDocument/2006/relationships/hyperlink" Target="https://myiipea.com/media/etudiant/photo/WhatsApp_Image_2023-10-04_at_17.37.18.jpeg" TargetMode="External"/><Relationship Id="rId2044" Type="http://schemas.openxmlformats.org/officeDocument/2006/relationships/hyperlink" Target="https://myiipea.com/media/etudiant/photo/WhatsApp_Image_2023-09-29_at_17.40.38.jpeg" TargetMode="External"/><Relationship Id="rId3374" Type="http://schemas.openxmlformats.org/officeDocument/2006/relationships/hyperlink" Target="https://myiipea.com/media/etudiant/photo/FF07474A-7AEE-47D7-AB88-8A7F203C4577_resized.png" TargetMode="External"/><Relationship Id="rId125" Type="http://schemas.openxmlformats.org/officeDocument/2006/relationships/hyperlink" Target="https://myiipea.com/media/etudiant/photo/WhatsApp_Image_2023-10-04_at_12.48.52.jpeg" TargetMode="External"/><Relationship Id="rId2045" Type="http://schemas.openxmlformats.org/officeDocument/2006/relationships/hyperlink" Target="https://myiipea.com/media/etudiant/photo/WhatsApp_Image_2023-09-28_at_12.07.56.jpeg" TargetMode="External"/><Relationship Id="rId3377" Type="http://schemas.openxmlformats.org/officeDocument/2006/relationships/hyperlink" Target="https://myiipea.com/media/etudiant/photo/WhatsApp_Image_2023-10-04_at_12.58.25.jpeg" TargetMode="External"/><Relationship Id="rId124" Type="http://schemas.openxmlformats.org/officeDocument/2006/relationships/hyperlink" Target="https://myiipea.com/media/etudiant/photo/WhatsApp_Image_2023-10-04_at_11.08.03.jpeg" TargetMode="External"/><Relationship Id="rId2046" Type="http://schemas.openxmlformats.org/officeDocument/2006/relationships/hyperlink" Target="https://myiipea.com/media/etudiant/photo/WhatsApp_Image_2023-11-13_at_11.03.26.jpeg" TargetMode="External"/><Relationship Id="rId3376" Type="http://schemas.openxmlformats.org/officeDocument/2006/relationships/hyperlink" Target="https://myiipea.com/media/etudiant/photo/IIPEA_NtqCvpd.jpg" TargetMode="External"/><Relationship Id="rId123" Type="http://schemas.openxmlformats.org/officeDocument/2006/relationships/hyperlink" Target="https://myiipea.com/media/etudiant/photo/WhatsApp_Image_2023-10-26_at_09.50.25.jpeg" TargetMode="External"/><Relationship Id="rId2047" Type="http://schemas.openxmlformats.org/officeDocument/2006/relationships/hyperlink" Target="https://myiipea.com/media/etudiant/photo/WhatsApp_Image_2023-10-10_at_09.19.14.jpeg" TargetMode="External"/><Relationship Id="rId3379" Type="http://schemas.openxmlformats.org/officeDocument/2006/relationships/hyperlink" Target="https://myiipea.com/media/etudiant/photo/WhatsApp_Image_2023-10-05_at_09.02.16.jpeg" TargetMode="External"/><Relationship Id="rId122" Type="http://schemas.openxmlformats.org/officeDocument/2006/relationships/hyperlink" Target="https://myiipea.com/media/etudiant/photo/WhatsApp_Image_2023-09-28_at_13.24.51.jpeg" TargetMode="External"/><Relationship Id="rId2048" Type="http://schemas.openxmlformats.org/officeDocument/2006/relationships/hyperlink" Target="https://myiipea.com/media/etudiant/photo/t%C3%A9l%C3%A9chargement_p9jCkxK.png" TargetMode="External"/><Relationship Id="rId3378" Type="http://schemas.openxmlformats.org/officeDocument/2006/relationships/hyperlink" Target="https://myiipea.com/media/etudiant/photo/WhatsApp_Image_2023-11-02_at_10.47.49_AM.jpeg" TargetMode="External"/><Relationship Id="rId2038" Type="http://schemas.openxmlformats.org/officeDocument/2006/relationships/hyperlink" Target="https://myiipea.com/media/etudiant/photo/WhatsApp_Image_2023-10-12_at_12.53.58.jpeg" TargetMode="External"/><Relationship Id="rId2039" Type="http://schemas.openxmlformats.org/officeDocument/2006/relationships/hyperlink" Target="https://myiipea.com/media/etudiant/photo/WhatsApp_Image_2023-10-13_at_14_resized_85jtoV9.png" TargetMode="External"/><Relationship Id="rId3369" Type="http://schemas.openxmlformats.org/officeDocument/2006/relationships/hyperlink" Target="https://myiipea.com/media/etudiant/photo/WhatsApp_Image_2023-10-03_at_12.32.50_PM.jpeg" TargetMode="External"/><Relationship Id="rId118" Type="http://schemas.openxmlformats.org/officeDocument/2006/relationships/hyperlink" Target="https://myiipea.com/media/etudiant/photo/WhatsApp_Image_2023-09-28_%C3%A0_09.53.25.jpg" TargetMode="External"/><Relationship Id="rId117" Type="http://schemas.openxmlformats.org/officeDocument/2006/relationships/hyperlink" Target="https://myiipea.com/media/etudiant/photo/WhatsApp_Image_2023-10-18_at_10.44.48_AM.jpeg" TargetMode="External"/><Relationship Id="rId116" Type="http://schemas.openxmlformats.org/officeDocument/2006/relationships/hyperlink" Target="https://myiipea.com/media/etudiant/photo/WhatsApp_Image_2023-10-03_at_12.14.48.jpeg" TargetMode="External"/><Relationship Id="rId115" Type="http://schemas.openxmlformats.org/officeDocument/2006/relationships/hyperlink" Target="https://myiipea.com/media/etudiant/photo/t%C3%A9l%C3%A9chargement_BVk09vh.png" TargetMode="External"/><Relationship Id="rId3360" Type="http://schemas.openxmlformats.org/officeDocument/2006/relationships/hyperlink" Target="https://myiipea.com/media/etudiant/photo/8488cb65-7542-4511-bb2a-55c3b0aaeeda-removebg-preview.png" TargetMode="External"/><Relationship Id="rId119" Type="http://schemas.openxmlformats.org/officeDocument/2006/relationships/hyperlink" Target="https://myiipea.com/media/etudiant/photo/WhatsApp_Image_2023-10-10_at_3.00.03_PM.jpeg" TargetMode="External"/><Relationship Id="rId110" Type="http://schemas.openxmlformats.org/officeDocument/2006/relationships/hyperlink" Target="https://myiipea.com/media/etudiant/photo/WhatsApp_Image_2023-09-29_at_18.16.10.jpeg" TargetMode="External"/><Relationship Id="rId2030" Type="http://schemas.openxmlformats.org/officeDocument/2006/relationships/hyperlink" Target="https://myiipea.com/media/etudiant/photo/WhatsApp_Image_2023-10-06_at_09.37.47.jpeg" TargetMode="External"/><Relationship Id="rId3362" Type="http://schemas.openxmlformats.org/officeDocument/2006/relationships/hyperlink" Target="https://myiipea.com/media/etudiant/photo/WhatsApp_Image_2023-10-12_at_12.49.23.jpeg" TargetMode="External"/><Relationship Id="rId2031" Type="http://schemas.openxmlformats.org/officeDocument/2006/relationships/hyperlink" Target="https://myiipea.com/media/etudiant/photo/WhatsApp_Image_2023-10-17_at_13.00.44.jpeg" TargetMode="External"/><Relationship Id="rId3361" Type="http://schemas.openxmlformats.org/officeDocument/2006/relationships/hyperlink" Target="https://myiipea.com/media/etudiant/photo/IIPEA_aB3nfEi.jpg" TargetMode="External"/><Relationship Id="rId2032" Type="http://schemas.openxmlformats.org/officeDocument/2006/relationships/hyperlink" Target="https://myiipea.com/media/etudiant/photo/WhatsApp_Image_2023-09-21_at_15.19.41.jpeg" TargetMode="External"/><Relationship Id="rId3364" Type="http://schemas.openxmlformats.org/officeDocument/2006/relationships/hyperlink" Target="https://myiipea.com/media/etudiant/photo/t%C3%A9l%C3%A9chargement_oxUpaTS.png" TargetMode="External"/><Relationship Id="rId2033" Type="http://schemas.openxmlformats.org/officeDocument/2006/relationships/hyperlink" Target="https://myiipea.com/media/etudiant/photo/WhatsApp_Image_2023-10-20_at_16.57.55.jpeg" TargetMode="External"/><Relationship Id="rId3363" Type="http://schemas.openxmlformats.org/officeDocument/2006/relationships/hyperlink" Target="https://myiipea.com/media/etudiant/photo/WhatsApp_Image_2023-10-04_at_15.08.35.jpeg" TargetMode="External"/><Relationship Id="rId114" Type="http://schemas.openxmlformats.org/officeDocument/2006/relationships/hyperlink" Target="https://myiipea.com/media/etudiant/photo/WhatsApp_Image_2023-10-11_at_17.04.16.jpeg" TargetMode="External"/><Relationship Id="rId2034" Type="http://schemas.openxmlformats.org/officeDocument/2006/relationships/hyperlink" Target="https://myiipea.com/media/etudiant/photo/WhatsApp_Image_2023-10-02_at_09.47.14.jpeg" TargetMode="External"/><Relationship Id="rId3366" Type="http://schemas.openxmlformats.org/officeDocument/2006/relationships/hyperlink" Target="https://myiipea.com/media/etudiant/photo/WhatsApp_Image_2023-10-09_at_16.32.07.jpeg" TargetMode="External"/><Relationship Id="rId113" Type="http://schemas.openxmlformats.org/officeDocument/2006/relationships/hyperlink" Target="https://myiipea.com/media/etudiant/photo/WhatsApp_Image_2023-09-25_%C3%A0_11.37.29.jpg" TargetMode="External"/><Relationship Id="rId2035" Type="http://schemas.openxmlformats.org/officeDocument/2006/relationships/hyperlink" Target="https://myiipea.com/media/etudiant/photo/WhatsApp_Image_2023-10-10_at_14.10.27.jpeg" TargetMode="External"/><Relationship Id="rId3365" Type="http://schemas.openxmlformats.org/officeDocument/2006/relationships/hyperlink" Target="https://myiipea.com/media/etudiant/photo/WhatsApp_Image_2023-09-28_at_14.31.41.jpeg" TargetMode="External"/><Relationship Id="rId112" Type="http://schemas.openxmlformats.org/officeDocument/2006/relationships/hyperlink" Target="https://myiipea.com/media/etudiant/photo/WhatsApp_Image_2023-10-10_at_09.29.53.jpeg" TargetMode="External"/><Relationship Id="rId2036" Type="http://schemas.openxmlformats.org/officeDocument/2006/relationships/hyperlink" Target="https://myiipea.com/media/etudiant/photo/WhatsApp_Image_2023-10-23_at_10.09.23.jpeg" TargetMode="External"/><Relationship Id="rId3368" Type="http://schemas.openxmlformats.org/officeDocument/2006/relationships/hyperlink" Target="https://myiipea.com/media/etudiant/photo/WhatsApp_Image_2023-10-02_at_09.35.33.jpeg" TargetMode="External"/><Relationship Id="rId111" Type="http://schemas.openxmlformats.org/officeDocument/2006/relationships/hyperlink" Target="https://myiipea.com/media/etudiant/photo/WhatsApp_Image_2023-10-12_at_6.14.56_PM.jpeg" TargetMode="External"/><Relationship Id="rId2037" Type="http://schemas.openxmlformats.org/officeDocument/2006/relationships/hyperlink" Target="https://myiipea.com/media/etudiant/photo/WhatsApp_Image_2023-10-11_at_4.55.02_PM.jpeg" TargetMode="External"/><Relationship Id="rId3367" Type="http://schemas.openxmlformats.org/officeDocument/2006/relationships/hyperlink" Target="https://myiipea.com/media/etudiant/photo/WhatsApp_Image_2023-11-13_at_2_resized_mV7yPy7.png" TargetMode="External"/><Relationship Id="rId3315" Type="http://schemas.openxmlformats.org/officeDocument/2006/relationships/hyperlink" Target="https://myiipea.com/media/etudiant/photo/WhatsApp_Image_2023-10-26_at_11.07.24.jpeg" TargetMode="External"/><Relationship Id="rId3314" Type="http://schemas.openxmlformats.org/officeDocument/2006/relationships/hyperlink" Target="https://myiipea.com/media/etudiant/photo/WhatsApp_Image_2023-10-16_at_10.35.46.jpeg" TargetMode="External"/><Relationship Id="rId3317" Type="http://schemas.openxmlformats.org/officeDocument/2006/relationships/hyperlink" Target="https://myiipea.com/media/etudiant/photo/WhatsApp_Image_2023-09-29_at_13.01.52.jpeg" TargetMode="External"/><Relationship Id="rId3316" Type="http://schemas.openxmlformats.org/officeDocument/2006/relationships/hyperlink" Target="https://myiipea.com/media/etudiant/photo/WhatsApp_Image_2023-10-18_at_12.19.32.jpeg" TargetMode="External"/><Relationship Id="rId3319" Type="http://schemas.openxmlformats.org/officeDocument/2006/relationships/hyperlink" Target="https://myiipea.com/media/etudiant/photo/WhatsApp_Image_2023-10-06_at_11.44.38.jpeg" TargetMode="External"/><Relationship Id="rId3318" Type="http://schemas.openxmlformats.org/officeDocument/2006/relationships/hyperlink" Target="https://myiipea.com/media/etudiant/photo/WhatsApp_Image_2023-10-12_at_13.08.14.jpeg" TargetMode="External"/><Relationship Id="rId3311" Type="http://schemas.openxmlformats.org/officeDocument/2006/relationships/hyperlink" Target="https://myiipea.com/media/etudiant/photo/WhatsApp_Image_2023-10-20_at_12.46.33.jpeg" TargetMode="External"/><Relationship Id="rId3310" Type="http://schemas.openxmlformats.org/officeDocument/2006/relationships/hyperlink" Target="https://myiipea.com/media/etudiant/photo/WhatsApp_Image_2023-10-03_at_17.03.37.jpeg" TargetMode="External"/><Relationship Id="rId3313" Type="http://schemas.openxmlformats.org/officeDocument/2006/relationships/hyperlink" Target="https://myiipea.com/media/etudiant/photo/WhatsApp_Image_2023-10-02_at_15_resized.png" TargetMode="External"/><Relationship Id="rId3312" Type="http://schemas.openxmlformats.org/officeDocument/2006/relationships/hyperlink" Target="https://myiipea.com/media/etudiant/photo/WhatsApp_Image_2023-10-03_at_15.33.13.jpeg" TargetMode="External"/><Relationship Id="rId3304" Type="http://schemas.openxmlformats.org/officeDocument/2006/relationships/hyperlink" Target="https://myiipea.com/media/etudiant/photo/WhatsApp_Image_2023-10-24_at_3.59.27_PM.jpeg" TargetMode="External"/><Relationship Id="rId3303" Type="http://schemas.openxmlformats.org/officeDocument/2006/relationships/hyperlink" Target="https://myiipea.com/media/etudiant/photo/WhatsApp_Image_2023-10-30_at_13.36.34.jpeg" TargetMode="External"/><Relationship Id="rId3306" Type="http://schemas.openxmlformats.org/officeDocument/2006/relationships/hyperlink" Target="https://myiipea.com/media/etudiant/photo/WhatsApp_Image_2023-10-24_at_7.17.47_PM.jpeg" TargetMode="External"/><Relationship Id="rId3305" Type="http://schemas.openxmlformats.org/officeDocument/2006/relationships/hyperlink" Target="https://myiipea.com/media/etudiant/photo/WhatsApp_Image_2023-11-07_at_14.57.42.jpeg" TargetMode="External"/><Relationship Id="rId3308" Type="http://schemas.openxmlformats.org/officeDocument/2006/relationships/hyperlink" Target="https://myiipea.com/media/etudiant/photo/WhatsApp_Image_2023-09-21_%C3%A0_10.56.34.jpg" TargetMode="External"/><Relationship Id="rId3307" Type="http://schemas.openxmlformats.org/officeDocument/2006/relationships/hyperlink" Target="https://myiipea.com/media/etudiant/photo/WhatsApp_Image_2023-10-16_at_12.16.15.jpeg" TargetMode="External"/><Relationship Id="rId3309" Type="http://schemas.openxmlformats.org/officeDocument/2006/relationships/hyperlink" Target="https://myiipea.com/media/etudiant/photo/WhatsApp_Image_2023-10-16_at_3.41.23_PM.jpeg" TargetMode="External"/><Relationship Id="rId3300" Type="http://schemas.openxmlformats.org/officeDocument/2006/relationships/hyperlink" Target="https://myiipea.com/media/etudiant/photo/WhatsApp_Image_2023-10-16_at_11.50.00.jpeg" TargetMode="External"/><Relationship Id="rId3302" Type="http://schemas.openxmlformats.org/officeDocument/2006/relationships/hyperlink" Target="https://myiipea.com/media/etudiant/photo/WhatsApp_Image_2023-10-12_at_17.43.39.jpeg" TargetMode="External"/><Relationship Id="rId3301" Type="http://schemas.openxmlformats.org/officeDocument/2006/relationships/hyperlink" Target="https://myiipea.com/media/etudiant/photo/WhatsApp_Image_2023-10-17_at_16.20.00.jpeg" TargetMode="External"/><Relationship Id="rId2005" Type="http://schemas.openxmlformats.org/officeDocument/2006/relationships/hyperlink" Target="https://myiipea.com/media/etudiant/photo/WhatsApp_Image_2023-10-02_at_11.20.55_WoaFp3E.jpeg" TargetMode="External"/><Relationship Id="rId3337" Type="http://schemas.openxmlformats.org/officeDocument/2006/relationships/hyperlink" Target="https://myiipea.com/media/etudiant/photo/WhatsApp_Image_2023-10-10_at_10.23.25.jpeg" TargetMode="External"/><Relationship Id="rId2006" Type="http://schemas.openxmlformats.org/officeDocument/2006/relationships/hyperlink" Target="https://myiipea.com/media/etudiant/photo/WhatsApp_Image_2023-10-04_at_10.59.37.jpeg" TargetMode="External"/><Relationship Id="rId3336" Type="http://schemas.openxmlformats.org/officeDocument/2006/relationships/hyperlink" Target="https://myiipea.com/media/etudiant/photo/WhatsApp_Image_2023-09-26_at_16.47.28.jpeg" TargetMode="External"/><Relationship Id="rId2007" Type="http://schemas.openxmlformats.org/officeDocument/2006/relationships/hyperlink" Target="https://myiipea.com/media/etudiant/photo/WhatsApp_Image_2023-10-17_at_13.19.26.jpeg" TargetMode="External"/><Relationship Id="rId3339" Type="http://schemas.openxmlformats.org/officeDocument/2006/relationships/hyperlink" Target="https://myiipea.com/media/etudiant/photo/WhatsApp_Image_2023-09-26_at_12.34.46.jpeg" TargetMode="External"/><Relationship Id="rId2008" Type="http://schemas.openxmlformats.org/officeDocument/2006/relationships/hyperlink" Target="https://myiipea.com/media/etudiant/photo/WhatsApp_Image_2023-09-29_at_11.41.56.jpeg" TargetMode="External"/><Relationship Id="rId3338" Type="http://schemas.openxmlformats.org/officeDocument/2006/relationships/hyperlink" Target="https://myiipea.com/media/etudiant/photo/WhatsApp_Image_2023-09-26_at_13.04.05.jpeg" TargetMode="External"/><Relationship Id="rId2009" Type="http://schemas.openxmlformats.org/officeDocument/2006/relationships/hyperlink" Target="https://myiipea.com/media/etudiant/photo/WhatsApp_Image_2023-10-25_at_15.20.41.jpeg" TargetMode="External"/><Relationship Id="rId3331" Type="http://schemas.openxmlformats.org/officeDocument/2006/relationships/hyperlink" Target="https://myiipea.com/media/etudiant/photo/WhatsApp_Image_2023-10-06_at_13_resized.png" TargetMode="External"/><Relationship Id="rId2000" Type="http://schemas.openxmlformats.org/officeDocument/2006/relationships/hyperlink" Target="https://myiipea.com/media/etudiant/photo/WhatsApp_Image_2023-10-02_at_10.43.59.jpeg" TargetMode="External"/><Relationship Id="rId3330" Type="http://schemas.openxmlformats.org/officeDocument/2006/relationships/hyperlink" Target="https://myiipea.com/media/etudiant/photo/WhatsApp_Image_2023-10-03_at_16.13.42.jpeg" TargetMode="External"/><Relationship Id="rId2001" Type="http://schemas.openxmlformats.org/officeDocument/2006/relationships/hyperlink" Target="https://myiipea.com/media/etudiant/photo/WhatsApp_Image_2023-10-09_at_16.03.09.jpeg" TargetMode="External"/><Relationship Id="rId3333" Type="http://schemas.openxmlformats.org/officeDocument/2006/relationships/hyperlink" Target="https://myiipea.com/media/etudiant/photo/WhatsApp_Image_2023-11-02_at_09.56.49_3GBnU4Q.jpeg" TargetMode="External"/><Relationship Id="rId2002" Type="http://schemas.openxmlformats.org/officeDocument/2006/relationships/hyperlink" Target="https://myiipea.com/media/etudiant/photo/WhatsApp_Image_2023-10-11_at_17.03.43.jpeg" TargetMode="External"/><Relationship Id="rId3332" Type="http://schemas.openxmlformats.org/officeDocument/2006/relationships/hyperlink" Target="https://myiipea.com/media/etudiant/photo/ee805a7a-bd0f-4cfc-a70e-cbab604ca96a_MF6m3mc.jpeg" TargetMode="External"/><Relationship Id="rId2003" Type="http://schemas.openxmlformats.org/officeDocument/2006/relationships/hyperlink" Target="https://myiipea.com/media/etudiant/photo/WhatsApp_Image_2023-10-19_at_13.19.44.jpeg" TargetMode="External"/><Relationship Id="rId3335" Type="http://schemas.openxmlformats.org/officeDocument/2006/relationships/hyperlink" Target="https://myiipea.com/media/etudiant/photo/t%C3%A9l%C3%A9chargement.jfif" TargetMode="External"/><Relationship Id="rId2004" Type="http://schemas.openxmlformats.org/officeDocument/2006/relationships/hyperlink" Target="https://myiipea.com/media/etudiant/photo/WhatsApp_Image_2023-10-18_at_2.28.21_PM.jpeg" TargetMode="External"/><Relationship Id="rId3334" Type="http://schemas.openxmlformats.org/officeDocument/2006/relationships/hyperlink" Target="https://myiipea.com/media/etudiant/photo/WhatsApp_Image_2023-09-28_at_14.43.49.jpeg" TargetMode="External"/><Relationship Id="rId3326" Type="http://schemas.openxmlformats.org/officeDocument/2006/relationships/hyperlink" Target="https://myiipea.com/media/etudiant/photo/WhatsApp_Image_2023-10-31_at_11.15.55.jpeg" TargetMode="External"/><Relationship Id="rId3325" Type="http://schemas.openxmlformats.org/officeDocument/2006/relationships/hyperlink" Target="https://myiipea.com/media/etudiant/photo/WhatsApp_Image_2023-11-22_at_11.52.42.jpeg" TargetMode="External"/><Relationship Id="rId3328" Type="http://schemas.openxmlformats.org/officeDocument/2006/relationships/hyperlink" Target="https://myiipea.com/media/etudiant/photo/239422487_405915444207421_8131329350063382999_n_YrcFsGK.jpg" TargetMode="External"/><Relationship Id="rId3327" Type="http://schemas.openxmlformats.org/officeDocument/2006/relationships/hyperlink" Target="https://myiipea.com/media/etudiant/photo/WhatsApp_Image_2023-10-19_at_19.22.25.jpeg" TargetMode="External"/><Relationship Id="rId3329" Type="http://schemas.openxmlformats.org/officeDocument/2006/relationships/hyperlink" Target="https://myiipea.com/media/etudiant/photo/WhatsApp_Image_2023-10-23_at_10.07.16.jpeg" TargetMode="External"/><Relationship Id="rId3320" Type="http://schemas.openxmlformats.org/officeDocument/2006/relationships/hyperlink" Target="https://myiipea.com/media/etudiant/photo/WhatsApp_Image_2023-11-07_at_12.39.14.jpeg" TargetMode="External"/><Relationship Id="rId3322" Type="http://schemas.openxmlformats.org/officeDocument/2006/relationships/hyperlink" Target="https://myiipea.com/media/etudiant/photo/WhatsApp_Image_2023-09-29_at_16.46.58.jpeg" TargetMode="External"/><Relationship Id="rId3321" Type="http://schemas.openxmlformats.org/officeDocument/2006/relationships/hyperlink" Target="https://myiipea.com/media/etudiant/photo/WhatsApp_Image_2023-10-13_at_10.31.22.jpeg" TargetMode="External"/><Relationship Id="rId3324" Type="http://schemas.openxmlformats.org/officeDocument/2006/relationships/hyperlink" Target="https://myiipea.com/media/etudiant/photo/WhatsApp_Image_2023-10-03_at_14.28.35.jpeg" TargetMode="External"/><Relationship Id="rId3323" Type="http://schemas.openxmlformats.org/officeDocument/2006/relationships/hyperlink" Target="https://myiipea.com/media/etudiant/photo/WhatsApp_Image_2023-10-05_at_14.52.26_e5LuEEA.jpeg" TargetMode="External"/><Relationship Id="rId2090" Type="http://schemas.openxmlformats.org/officeDocument/2006/relationships/hyperlink" Target="https://myiipea.com/media/etudiant/photo/WhatsApp_Image_2023-10-18_at_11.20.33_AM.jpeg" TargetMode="External"/><Relationship Id="rId2091" Type="http://schemas.openxmlformats.org/officeDocument/2006/relationships/hyperlink" Target="https://myiipea.com/media/etudiant/photo/WhatsApp_Image_2023-09-28_at_09.52.21.jpeg" TargetMode="External"/><Relationship Id="rId2092" Type="http://schemas.openxmlformats.org/officeDocument/2006/relationships/hyperlink" Target="https://myiipea.com/media/etudiant/photo/WhatsApp_Image_2023-11-06_at_6.09.27_PM.jpeg" TargetMode="External"/><Relationship Id="rId2093" Type="http://schemas.openxmlformats.org/officeDocument/2006/relationships/hyperlink" Target="https://myiipea.com/media/etudiant/photo/WhatsApp_Image_2023-09-29_at_08.54.45.jpeg" TargetMode="External"/><Relationship Id="rId2094" Type="http://schemas.openxmlformats.org/officeDocument/2006/relationships/hyperlink" Target="https://myiipea.com/media/etudiant/photo/WhatsApp_Image_2023-10-09_at_13.51.31.jpeg" TargetMode="External"/><Relationship Id="rId2095" Type="http://schemas.openxmlformats.org/officeDocument/2006/relationships/hyperlink" Target="https://myiipea.com/media/etudiant/photo/WhatsApp_Image_2023-11-21_at_12.14.51_1.jpeg" TargetMode="External"/><Relationship Id="rId2096" Type="http://schemas.openxmlformats.org/officeDocument/2006/relationships/hyperlink" Target="https://myiipea.com/media/etudiant/photo/WhatsApp_Image_2023-10-05_at_15.42.15.jpeg" TargetMode="External"/><Relationship Id="rId2097" Type="http://schemas.openxmlformats.org/officeDocument/2006/relationships/hyperlink" Target="https://myiipea.com/media/etudiant/photo/WhatsApp_Image_2023-10-27_at_5.22.19_PM.jpeg" TargetMode="External"/><Relationship Id="rId2098" Type="http://schemas.openxmlformats.org/officeDocument/2006/relationships/hyperlink" Target="https://myiipea.com/media/etudiant/photo/photo_ZSzoC9g.jpg" TargetMode="External"/><Relationship Id="rId2099" Type="http://schemas.openxmlformats.org/officeDocument/2006/relationships/hyperlink" Target="https://myiipea.com/media/etudiant/photo/WhatsApp_Image_2023-11-06_at_13.19.50.jpeg" TargetMode="External"/><Relationship Id="rId3391" Type="http://schemas.openxmlformats.org/officeDocument/2006/relationships/hyperlink" Target="https://myiipea.com/media/etudiant/photo/WhatsApp_Image_2023-11-27_at_2.21.03_PM.jpeg" TargetMode="External"/><Relationship Id="rId2060" Type="http://schemas.openxmlformats.org/officeDocument/2006/relationships/hyperlink" Target="https://myiipea.com/media/etudiant/photo/WhatsApp_Image_2023-10-06_at_10.34.19.jpeg" TargetMode="External"/><Relationship Id="rId3390" Type="http://schemas.openxmlformats.org/officeDocument/2006/relationships/hyperlink" Target="https://myiipea.com/media/etudiant/photo/WhatsApp_Image_2023-10-14_at_11.02.35_hloog7f.jpeg" TargetMode="External"/><Relationship Id="rId2061" Type="http://schemas.openxmlformats.org/officeDocument/2006/relationships/hyperlink" Target="https://myiipea.com/media/etudiant/photo/WhatsApp_Image_2023-10-10_at_12_resized.png" TargetMode="External"/><Relationship Id="rId3393" Type="http://schemas.openxmlformats.org/officeDocument/2006/relationships/hyperlink" Target="https://myiipea.com/media/etudiant/photo/WhatsApp_Image_2023-10-26_at_09.48.58.jpeg" TargetMode="External"/><Relationship Id="rId2062" Type="http://schemas.openxmlformats.org/officeDocument/2006/relationships/hyperlink" Target="https://myiipea.com/media/etudiant/photo/WhatsApp_Image_2023-10-03_at_16_resized_resized.png" TargetMode="External"/><Relationship Id="rId3392" Type="http://schemas.openxmlformats.org/officeDocument/2006/relationships/hyperlink" Target="https://myiipea.com/media/etudiant/photo/WhatsApp_Image_2023-10-02_at_17.13.58.jpeg" TargetMode="External"/><Relationship Id="rId2063" Type="http://schemas.openxmlformats.org/officeDocument/2006/relationships/hyperlink" Target="https://myiipea.com/media/etudiant/photo/WhatsApp_Image_2023-11-22_at_10.32.33.jpeg" TargetMode="External"/><Relationship Id="rId3395" Type="http://schemas.openxmlformats.org/officeDocument/2006/relationships/hyperlink" Target="https://myiipea.com/media/etudiant/photo/WhatsApp_Image_2023-10-06_at_12.27.07.jpeg" TargetMode="External"/><Relationship Id="rId2064" Type="http://schemas.openxmlformats.org/officeDocument/2006/relationships/hyperlink" Target="https://myiipea.com/media/etudiant/photo/WhatsApp_Image_2023-10-10_at_13.10.51.jpeg" TargetMode="External"/><Relationship Id="rId3394" Type="http://schemas.openxmlformats.org/officeDocument/2006/relationships/hyperlink" Target="https://myiipea.com/media/etudiant/photo/WhatsApp_Image_2023-10-16_at_18.03.29.jpeg" TargetMode="External"/><Relationship Id="rId2065" Type="http://schemas.openxmlformats.org/officeDocument/2006/relationships/hyperlink" Target="https://myiipea.com/media/etudiant/photo/WhatsApp_Image_2023-10-11_at_15.54.26.jpeg" TargetMode="External"/><Relationship Id="rId3397" Type="http://schemas.openxmlformats.org/officeDocument/2006/relationships/hyperlink" Target="https://myiipea.com/media/etudiant/photo/WhatsApp_Image_2023-10-18_at_16.13.41.jpeg" TargetMode="External"/><Relationship Id="rId2066" Type="http://schemas.openxmlformats.org/officeDocument/2006/relationships/hyperlink" Target="https://myiipea.com/media/etudiant/photo/IMG_2506_resized.png" TargetMode="External"/><Relationship Id="rId3396" Type="http://schemas.openxmlformats.org/officeDocument/2006/relationships/hyperlink" Target="https://myiipea.com/media/etudiant/photo/WhatsApp_Image_2023-10-26_at_15.15.23.jpeg" TargetMode="External"/><Relationship Id="rId2067" Type="http://schemas.openxmlformats.org/officeDocument/2006/relationships/hyperlink" Target="https://myiipea.com/media/etudiant/photo/WhatsApp_Image_2023-09-26_at_13.22.55.jpeg" TargetMode="External"/><Relationship Id="rId3399" Type="http://schemas.openxmlformats.org/officeDocument/2006/relationships/hyperlink" Target="https://myiipea.com/media/etudiant/photo/WhatsApp_Image_2023-10-10_at_13.12.41.jpeg" TargetMode="External"/><Relationship Id="rId2068" Type="http://schemas.openxmlformats.org/officeDocument/2006/relationships/hyperlink" Target="https://myiipea.com/media/etudiant/photo/WhatsApp_Image_2023-10-09_at_09.35.46.jpeg" TargetMode="External"/><Relationship Id="rId3398" Type="http://schemas.openxmlformats.org/officeDocument/2006/relationships/hyperlink" Target="https://myiipea.com/media/etudiant/photo/WhatsApp_Image_2023-10-02_at_14.23.38.jpeg" TargetMode="External"/><Relationship Id="rId2069" Type="http://schemas.openxmlformats.org/officeDocument/2006/relationships/hyperlink" Target="https://myiipea.com/media/etudiant/photo/WhatsApp_Image_2023-11-10_at_15.56.17.jpeg" TargetMode="External"/><Relationship Id="rId3380" Type="http://schemas.openxmlformats.org/officeDocument/2006/relationships/hyperlink" Target="https://myiipea.com/media/etudiant/photo/WhatsApp_Image_2023-11-08_at_1.40.50_PM.jpeg" TargetMode="External"/><Relationship Id="rId2050" Type="http://schemas.openxmlformats.org/officeDocument/2006/relationships/hyperlink" Target="https://myiipea.com/media/etudiant/photo/WhatsApp_Image_2023-10-11_at_1.23.53_PM.jpeg" TargetMode="External"/><Relationship Id="rId3382" Type="http://schemas.openxmlformats.org/officeDocument/2006/relationships/hyperlink" Target="https://myiipea.com/media/etudiant/photo/WhatsApp_Image_2023-11-20_at_11_resized_yq2AqE7.png" TargetMode="External"/><Relationship Id="rId2051" Type="http://schemas.openxmlformats.org/officeDocument/2006/relationships/hyperlink" Target="https://myiipea.com/media/etudiant/photo/WhatsApp_Image_2023-10-03_at_2.52.43_PM.jpeg" TargetMode="External"/><Relationship Id="rId3381" Type="http://schemas.openxmlformats.org/officeDocument/2006/relationships/hyperlink" Target="https://myiipea.com/media/etudiant/photo/WhatsApp_Image_2023-11-03_at_4.34.45_PM.jpeg" TargetMode="External"/><Relationship Id="rId2052" Type="http://schemas.openxmlformats.org/officeDocument/2006/relationships/hyperlink" Target="https://myiipea.com/media/etudiant/photo/WhatsApp_Image_2023-10-10_at_13.46.07.jpeg" TargetMode="External"/><Relationship Id="rId3384" Type="http://schemas.openxmlformats.org/officeDocument/2006/relationships/hyperlink" Target="https://myiipea.com/media/etudiant/photo/WhatsApp_Image_2023-10-31_at_16.22.26.jpeg" TargetMode="External"/><Relationship Id="rId2053" Type="http://schemas.openxmlformats.org/officeDocument/2006/relationships/hyperlink" Target="https://myiipea.com/media/etudiant/photo/WhatsApp_Image_2023-10-05_at_13.33.03.jpeg" TargetMode="External"/><Relationship Id="rId3383" Type="http://schemas.openxmlformats.org/officeDocument/2006/relationships/hyperlink" Target="https://myiipea.com/media/etudiant/photo/WhatsApp_Image_2023-10-06_at_15.56.38.jpeg" TargetMode="External"/><Relationship Id="rId2054" Type="http://schemas.openxmlformats.org/officeDocument/2006/relationships/hyperlink" Target="https://myiipea.com/media/etudiant/photo/WhatsApp_Image_2023-09-29_at_15.03.28.jpeg" TargetMode="External"/><Relationship Id="rId3386" Type="http://schemas.openxmlformats.org/officeDocument/2006/relationships/hyperlink" Target="https://myiipea.com/media/etudiant/photo/WhatsApp_Image_2023-11-30_at_5.02.22_PM.jpeg" TargetMode="External"/><Relationship Id="rId2055" Type="http://schemas.openxmlformats.org/officeDocument/2006/relationships/hyperlink" Target="https://myiipea.com/media/etudiant/photo/WhatsApp_Image_2023-10-02_at_16.11.22.jpeg" TargetMode="External"/><Relationship Id="rId3385" Type="http://schemas.openxmlformats.org/officeDocument/2006/relationships/hyperlink" Target="https://myiipea.com/media/etudiant/photo/WhatsApp_Image_2023-10-17_at_3.57.15_PM.jpeg" TargetMode="External"/><Relationship Id="rId2056" Type="http://schemas.openxmlformats.org/officeDocument/2006/relationships/hyperlink" Target="https://myiipea.com/media/etudiant/photo/WhatsApp_Image_2023-10-31_at_11.49.10.jpeg" TargetMode="External"/><Relationship Id="rId3388" Type="http://schemas.openxmlformats.org/officeDocument/2006/relationships/hyperlink" Target="https://myiipea.com/media/etudiant/photo/WhatsApp_Image_2023-10-24_at_4.56.23_PM.jpeg" TargetMode="External"/><Relationship Id="rId2057" Type="http://schemas.openxmlformats.org/officeDocument/2006/relationships/hyperlink" Target="https://myiipea.com/media/etudiant/photo/WhatsApp_Image_2023-10-19_at_11.45.27.jpeg" TargetMode="External"/><Relationship Id="rId3387" Type="http://schemas.openxmlformats.org/officeDocument/2006/relationships/hyperlink" Target="https://myiipea.com/media/etudiant/photo/WhatsApp_Image_2023-10-27_at_11.44.20.jpeg" TargetMode="External"/><Relationship Id="rId2058" Type="http://schemas.openxmlformats.org/officeDocument/2006/relationships/hyperlink" Target="https://myiipea.com/media/etudiant/photo/WhatsApp_Image_2023-10-13_at_18.38.49.jpeg" TargetMode="External"/><Relationship Id="rId2059" Type="http://schemas.openxmlformats.org/officeDocument/2006/relationships/hyperlink" Target="https://myiipea.com/media/etudiant/photo/WhatsApp_Image_2023-12-01_at_12_resized_resized_resized.png" TargetMode="External"/><Relationship Id="rId3389" Type="http://schemas.openxmlformats.org/officeDocument/2006/relationships/hyperlink" Target="https://myiipea.com/media/etudiant/photo/WhatsApp_Image_2023-10-03_at_11_resized.png" TargetMode="External"/><Relationship Id="rId2080" Type="http://schemas.openxmlformats.org/officeDocument/2006/relationships/hyperlink" Target="https://myiipea.com/media/etudiant/photo/WhatsApp_Image_2023-09-26_at_14.04.56.jpeg" TargetMode="External"/><Relationship Id="rId2081" Type="http://schemas.openxmlformats.org/officeDocument/2006/relationships/hyperlink" Target="https://myiipea.com/media/etudiant/photo/WhatsApp_Image_2023-10-16_at_15.05.41.jpeg" TargetMode="External"/><Relationship Id="rId2082" Type="http://schemas.openxmlformats.org/officeDocument/2006/relationships/hyperlink" Target="https://myiipea.com/media/etudiant/photo/WhatsApp_Image_2023-10-12_at_2.53.55_PM.jpeg" TargetMode="External"/><Relationship Id="rId2083" Type="http://schemas.openxmlformats.org/officeDocument/2006/relationships/hyperlink" Target="https://myiipea.com/media/etudiant/photo/WhatsApp_Image_2023-11-06_at_12.55.04_PM.jpeg" TargetMode="External"/><Relationship Id="rId2084" Type="http://schemas.openxmlformats.org/officeDocument/2006/relationships/hyperlink" Target="https://myiipea.com/media/etudiant/photo/WhatsApp_Image_2023-10-20_at_6.40.51_PM.jpeg" TargetMode="External"/><Relationship Id="rId2085" Type="http://schemas.openxmlformats.org/officeDocument/2006/relationships/hyperlink" Target="https://myiipea.com/media/etudiant/photo/WhatsApp_Image_2023-10-24_at_15.57.14.jpeg" TargetMode="External"/><Relationship Id="rId2086" Type="http://schemas.openxmlformats.org/officeDocument/2006/relationships/hyperlink" Target="https://myiipea.com/media/etudiant/photo/WhatsApp_Image_2023-10-06_at_10.19.06.jpeg" TargetMode="External"/><Relationship Id="rId2087" Type="http://schemas.openxmlformats.org/officeDocument/2006/relationships/hyperlink" Target="https://myiipea.com/media/etudiant/photo/WhatsApp_Image_2023-10-02_at_09.20.26.jpeg" TargetMode="External"/><Relationship Id="rId2088" Type="http://schemas.openxmlformats.org/officeDocument/2006/relationships/hyperlink" Target="https://myiipea.com/media/etudiant/photo/WhatsApp_Image_2023-09-22_at_12.36.08.jpeg" TargetMode="External"/><Relationship Id="rId2089" Type="http://schemas.openxmlformats.org/officeDocument/2006/relationships/hyperlink" Target="https://myiipea.com/media/etudiant/photo/WhatsApp_Image_2023-10-03_at_09.15.10.jpeg" TargetMode="External"/><Relationship Id="rId2070" Type="http://schemas.openxmlformats.org/officeDocument/2006/relationships/hyperlink" Target="https://myiipea.com/media/etudiant/photo/ee805a7a-bd0f-4cfc-a70e-cbab604ca96a_m6KTFHq.jpeg" TargetMode="External"/><Relationship Id="rId2071" Type="http://schemas.openxmlformats.org/officeDocument/2006/relationships/hyperlink" Target="https://myiipea.com/media/etudiant/photo/WhatsApp_Image_2023-10-19_at_3.10.42_PM.jpeg" TargetMode="External"/><Relationship Id="rId2072" Type="http://schemas.openxmlformats.org/officeDocument/2006/relationships/hyperlink" Target="https://myiipea.com/media/etudiant/photo/WhatsApp_Image_2023-09-14_at_15.18.53.jpeg" TargetMode="External"/><Relationship Id="rId2073" Type="http://schemas.openxmlformats.org/officeDocument/2006/relationships/hyperlink" Target="https://myiipea.com/media/etudiant/photo/WhatsApp_Image_2023-10-03_at_11.31.47.jpeg" TargetMode="External"/><Relationship Id="rId2074" Type="http://schemas.openxmlformats.org/officeDocument/2006/relationships/hyperlink" Target="https://myiipea.com/media/etudiant/photo/WhatsApp_Image_2023-10-26_at_3.52.30_PM.jpeg" TargetMode="External"/><Relationship Id="rId2075" Type="http://schemas.openxmlformats.org/officeDocument/2006/relationships/hyperlink" Target="https://myiipea.com/media/etudiant/photo/WhatsApp_Image_2023-10-16_at_13.37.43.jpeg" TargetMode="External"/><Relationship Id="rId2076" Type="http://schemas.openxmlformats.org/officeDocument/2006/relationships/hyperlink" Target="https://myiipea.com/media/etudiant/photo/WhatsApp_Image_2023-10-16_at_17.39.38.jpeg" TargetMode="External"/><Relationship Id="rId2077" Type="http://schemas.openxmlformats.org/officeDocument/2006/relationships/hyperlink" Target="https://myiipea.com/media/etudiant/photo/WhatsApp_Image_2023-11-07_at_14.47.53.jpeg" TargetMode="External"/><Relationship Id="rId2078" Type="http://schemas.openxmlformats.org/officeDocument/2006/relationships/hyperlink" Target="https://myiipea.com/media/etudiant/photo/WhatsApp_Image_2023-11-30_at_1.09.03_PM.jpeg" TargetMode="External"/><Relationship Id="rId2079" Type="http://schemas.openxmlformats.org/officeDocument/2006/relationships/hyperlink" Target="https://myiipea.com/media/etudiant/photo/WhatsApp_Image_2023-10-09_at_13.12.08.jpeg" TargetMode="External"/><Relationship Id="rId2940" Type="http://schemas.openxmlformats.org/officeDocument/2006/relationships/hyperlink" Target="https://myiipea.com/media/etudiant/photo/WhatsApp_Image_2023-10-13_at_18.14.52.jpeg" TargetMode="External"/><Relationship Id="rId1610" Type="http://schemas.openxmlformats.org/officeDocument/2006/relationships/hyperlink" Target="https://myiipea.com/media/etudiant/photo/WhatsApp_Image_2023-10-04_at_12.19.42_PM.jpeg" TargetMode="External"/><Relationship Id="rId2941" Type="http://schemas.openxmlformats.org/officeDocument/2006/relationships/hyperlink" Target="https://myiipea.com/media/etudiant/photo/WhatsApp_Image_2023-11-28_at_1.49.49_PM.jpeg" TargetMode="External"/><Relationship Id="rId1611" Type="http://schemas.openxmlformats.org/officeDocument/2006/relationships/hyperlink" Target="https://myiipea.com/media/etudiant/photo/WhatsApp_Image_2023-09-26_at_12.00.47.jpeg" TargetMode="External"/><Relationship Id="rId2942" Type="http://schemas.openxmlformats.org/officeDocument/2006/relationships/hyperlink" Target="https://myiipea.com/media/etudiant/photo/WhatsApp_Image_2023-10-09_at_11.40.15.jpeg" TargetMode="External"/><Relationship Id="rId1612" Type="http://schemas.openxmlformats.org/officeDocument/2006/relationships/hyperlink" Target="https://myiipea.com/media/etudiant/photo/WhatsApp_Image_2023-10-02_at_09.51.25.jpeg" TargetMode="External"/><Relationship Id="rId2943" Type="http://schemas.openxmlformats.org/officeDocument/2006/relationships/hyperlink" Target="https://myiipea.com/media/etudiant/photo/WhatsApp_Image_2023-10-31_at_17.17.45.jpeg" TargetMode="External"/><Relationship Id="rId1613" Type="http://schemas.openxmlformats.org/officeDocument/2006/relationships/hyperlink" Target="https://myiipea.com/media/etudiant/photo/WhatsApp_Image_2023-11-07_at_5.13.08_PM.jpeg" TargetMode="External"/><Relationship Id="rId2944" Type="http://schemas.openxmlformats.org/officeDocument/2006/relationships/hyperlink" Target="https://myiipea.com/media/etudiant/photo/WhatsApp_Image_2023-10-04_at_13.49.38.jpeg" TargetMode="External"/><Relationship Id="rId1614" Type="http://schemas.openxmlformats.org/officeDocument/2006/relationships/hyperlink" Target="https://myiipea.com/media/etudiant/photo/239422487_405915444207421_8131329350063382999_n_FJIforx.jpg" TargetMode="External"/><Relationship Id="rId2945" Type="http://schemas.openxmlformats.org/officeDocument/2006/relationships/hyperlink" Target="https://myiipea.com/media/etudiant/photo/WhatsApp_Image_2023-10-17_at_11.45.54.jpeg" TargetMode="External"/><Relationship Id="rId1615" Type="http://schemas.openxmlformats.org/officeDocument/2006/relationships/hyperlink" Target="https://myiipea.com/media/etudiant/photo/WhatsApp_Image_2023-10-20_at_11.05.44.jpeg" TargetMode="External"/><Relationship Id="rId2946" Type="http://schemas.openxmlformats.org/officeDocument/2006/relationships/hyperlink" Target="https://myiipea.com/media/etudiant/photo/t%C3%A9l%C3%A9chargement_ifMyOMO.png" TargetMode="External"/><Relationship Id="rId1616" Type="http://schemas.openxmlformats.org/officeDocument/2006/relationships/hyperlink" Target="https://myiipea.com/media/etudiant/photo/kamagate.jpg" TargetMode="External"/><Relationship Id="rId2947" Type="http://schemas.openxmlformats.org/officeDocument/2006/relationships/hyperlink" Target="https://myiipea.com/media/etudiant/photo/WhatsApp_Image_2023-11-06_at_15.18.04.jpeg" TargetMode="External"/><Relationship Id="rId907" Type="http://schemas.openxmlformats.org/officeDocument/2006/relationships/hyperlink" Target="https://myiipea.com/media/etudiant/photo/WhatsApp_Image_2023-10-23_at_13.40.34_0GWPaEN.jpeg" TargetMode="External"/><Relationship Id="rId1617" Type="http://schemas.openxmlformats.org/officeDocument/2006/relationships/hyperlink" Target="https://myiipea.com/media/etudiant/photo/WhatsApp_Image_2023-09-18_at_16.20.35.jpeg" TargetMode="External"/><Relationship Id="rId2948" Type="http://schemas.openxmlformats.org/officeDocument/2006/relationships/hyperlink" Target="https://myiipea.com/media/etudiant/photo/WhatsApp_Image_2023-10-06_at_08.54.12.jpeg" TargetMode="External"/><Relationship Id="rId906" Type="http://schemas.openxmlformats.org/officeDocument/2006/relationships/hyperlink" Target="https://myiipea.com/media/etudiant/photo/WhatsApp_Image_2023-11-20_at_4.29.07_PM.jpeg" TargetMode="External"/><Relationship Id="rId1618" Type="http://schemas.openxmlformats.org/officeDocument/2006/relationships/hyperlink" Target="https://myiipea.com/media/etudiant/photo/WhatsApp_Image_2023-10-09_at_6.01.19_PM.jpeg" TargetMode="External"/><Relationship Id="rId2949" Type="http://schemas.openxmlformats.org/officeDocument/2006/relationships/hyperlink" Target="https://myiipea.com/media/etudiant/photo/WhatsApp_Image_2023-09-29_at_09.16.28.jpeg" TargetMode="External"/><Relationship Id="rId905" Type="http://schemas.openxmlformats.org/officeDocument/2006/relationships/hyperlink" Target="https://myiipea.com/media/etudiant/photo/WhatsApp_Image_2023-10-25_at_3.17.59_PM.jpeg" TargetMode="External"/><Relationship Id="rId1619" Type="http://schemas.openxmlformats.org/officeDocument/2006/relationships/hyperlink" Target="https://myiipea.com/media/etudiant/photo/WhatsApp_Image_2023-11-07_at_12.40.31.jpeg" TargetMode="External"/><Relationship Id="rId904" Type="http://schemas.openxmlformats.org/officeDocument/2006/relationships/hyperlink" Target="https://myiipea.com/media/etudiant/photo/WhatsApp_Image_2023-10-09_at_12.55.52.jpeg" TargetMode="External"/><Relationship Id="rId909" Type="http://schemas.openxmlformats.org/officeDocument/2006/relationships/hyperlink" Target="https://myiipea.com/media/etudiant/photo/WhatsApp_Image_2023-11-06_at_14.48.33.jpeg" TargetMode="External"/><Relationship Id="rId908" Type="http://schemas.openxmlformats.org/officeDocument/2006/relationships/hyperlink" Target="https://myiipea.com/media/etudiant/photo/IIPEA.jpg" TargetMode="External"/><Relationship Id="rId903" Type="http://schemas.openxmlformats.org/officeDocument/2006/relationships/hyperlink" Target="https://myiipea.com/media/etudiant/photo/WhatsApp_Image_2023-10-20_at_11.38.53.jpeg" TargetMode="External"/><Relationship Id="rId902" Type="http://schemas.openxmlformats.org/officeDocument/2006/relationships/hyperlink" Target="https://myiipea.com/media/etudiant/photo/WhatsApp_Image_2023-11-13_at_9.48.07_AM.jpeg" TargetMode="External"/><Relationship Id="rId901" Type="http://schemas.openxmlformats.org/officeDocument/2006/relationships/hyperlink" Target="https://myiipea.com/media/etudiant/photo/WhatsApp_Image_2023-11-07_at_4.49.35_PM.jpeg" TargetMode="External"/><Relationship Id="rId900" Type="http://schemas.openxmlformats.org/officeDocument/2006/relationships/hyperlink" Target="https://myiipea.com/media/etudiant/photo/WhatsApp_Image_2023-10-17_at_17.40.37.jpeg" TargetMode="External"/><Relationship Id="rId2930" Type="http://schemas.openxmlformats.org/officeDocument/2006/relationships/hyperlink" Target="https://myiipea.com/media/etudiant/photo/WhatsApp_Image_2023-10-06_at_12.04.29.jpeg" TargetMode="External"/><Relationship Id="rId1600" Type="http://schemas.openxmlformats.org/officeDocument/2006/relationships/hyperlink" Target="https://myiipea.com/media/etudiant/photo/WhatsApp_Image_2023-10-18_at_2.57.49_PM.jpeg" TargetMode="External"/><Relationship Id="rId2931" Type="http://schemas.openxmlformats.org/officeDocument/2006/relationships/hyperlink" Target="https://myiipea.com/media/etudiant/photo/WhatsApp_Image_2023-10-04_at_12.58.19_1.jpeg" TargetMode="External"/><Relationship Id="rId1601" Type="http://schemas.openxmlformats.org/officeDocument/2006/relationships/hyperlink" Target="https://myiipea.com/media/etudiant/photo/WhatsApp_Image_2023-10-19_at_11.34.53_AM.jpeg" TargetMode="External"/><Relationship Id="rId2932" Type="http://schemas.openxmlformats.org/officeDocument/2006/relationships/hyperlink" Target="https://myiipea.com/media/etudiant/photo/WhatsApp_Image_2023-10-24_at_09.43.33.jpeg" TargetMode="External"/><Relationship Id="rId1602" Type="http://schemas.openxmlformats.org/officeDocument/2006/relationships/hyperlink" Target="https://myiipea.com/media/etudiant/photo/WhatsApp_Image_2023-10-10_at_15.08.39.jpeg" TargetMode="External"/><Relationship Id="rId2933" Type="http://schemas.openxmlformats.org/officeDocument/2006/relationships/hyperlink" Target="https://myiipea.com/media/etudiant/photo/Logo_EMATECH_6eelRJb.png" TargetMode="External"/><Relationship Id="rId1603" Type="http://schemas.openxmlformats.org/officeDocument/2006/relationships/hyperlink" Target="https://myiipea.com/media/etudiant/photo/WhatsApp_Image_2023-10-02_at_14.34.30.jpeg" TargetMode="External"/><Relationship Id="rId2934" Type="http://schemas.openxmlformats.org/officeDocument/2006/relationships/hyperlink" Target="https://myiipea.com/media/etudiant/photo/WhatsApp_Image_2023-10-30_at_13_resized.png" TargetMode="External"/><Relationship Id="rId1604" Type="http://schemas.openxmlformats.org/officeDocument/2006/relationships/hyperlink" Target="https://myiipea.com/media/etudiant/photo/WhatsApp_Image_2023-10-05_at_5.17.50_PM.jpeg" TargetMode="External"/><Relationship Id="rId2935" Type="http://schemas.openxmlformats.org/officeDocument/2006/relationships/hyperlink" Target="https://myiipea.com/media/etudiant/photo/WhatsApp_Image_2023-11-09_at_10.49.56.jpeg" TargetMode="External"/><Relationship Id="rId1605" Type="http://schemas.openxmlformats.org/officeDocument/2006/relationships/hyperlink" Target="https://myiipea.com/media/etudiant/photo/WhatsApp_Image_2023-10-16_at_11.48.21.jpeg" TargetMode="External"/><Relationship Id="rId2936" Type="http://schemas.openxmlformats.org/officeDocument/2006/relationships/hyperlink" Target="https://myiipea.com/media/etudiant/photo/WhatsApp_Image_2023-10-16_at_11.57.56.jpeg" TargetMode="External"/><Relationship Id="rId1606" Type="http://schemas.openxmlformats.org/officeDocument/2006/relationships/hyperlink" Target="https://myiipea.com/media/etudiant/photo/WhatsApp_Image_2023-10-02_at_18.39.45.jpeg" TargetMode="External"/><Relationship Id="rId2937" Type="http://schemas.openxmlformats.org/officeDocument/2006/relationships/hyperlink" Target="https://myiipea.com/media/etudiant/photo/WhatsApp_Image_2023-10-02_at_17.09.10.jpeg" TargetMode="External"/><Relationship Id="rId1607" Type="http://schemas.openxmlformats.org/officeDocument/2006/relationships/hyperlink" Target="https://myiipea.com/media/etudiant/photo/WhatsApp_Image_2023-10-11_at_14.47.57.jpeg" TargetMode="External"/><Relationship Id="rId2938" Type="http://schemas.openxmlformats.org/officeDocument/2006/relationships/hyperlink" Target="https://myiipea.com/media/etudiant/photo/WhatsApp_Image_2023-10-05_at_12.39.53.jpeg" TargetMode="External"/><Relationship Id="rId1608" Type="http://schemas.openxmlformats.org/officeDocument/2006/relationships/hyperlink" Target="https://myiipea.com/media/etudiant/photo/WhatsApp_Image_2023-10-03_at_11.14.56_AM_21tt0Y6.jpeg" TargetMode="External"/><Relationship Id="rId2939" Type="http://schemas.openxmlformats.org/officeDocument/2006/relationships/hyperlink" Target="https://myiipea.com/media/etudiant/photo/WhatsApp_Image_2023-09-29_at_12.04.13.jpeg" TargetMode="External"/><Relationship Id="rId1609" Type="http://schemas.openxmlformats.org/officeDocument/2006/relationships/hyperlink" Target="https://myiipea.com/media/etudiant/photo/WhatsApp_Image_2023-10-09_at_12.40.06.jpeg" TargetMode="External"/><Relationship Id="rId1631" Type="http://schemas.openxmlformats.org/officeDocument/2006/relationships/hyperlink" Target="https://myiipea.com/media/etudiant/photo/WhatsApp_Image_2023-10-04_at_6.02.37_PM.jpeg" TargetMode="External"/><Relationship Id="rId2962" Type="http://schemas.openxmlformats.org/officeDocument/2006/relationships/hyperlink" Target="https://myiipea.com/media/etudiant/photo/MARIAM.jpg" TargetMode="External"/><Relationship Id="rId1632" Type="http://schemas.openxmlformats.org/officeDocument/2006/relationships/hyperlink" Target="https://myiipea.com/media/etudiant/photo/WhatsApp_Image_2023-11-27_at_16.51.58.jpeg" TargetMode="External"/><Relationship Id="rId2963" Type="http://schemas.openxmlformats.org/officeDocument/2006/relationships/hyperlink" Target="https://myiipea.com/media/etudiant/photo/WhatsApp_Image_2023-10-12_at_15.09.25.jpeg" TargetMode="External"/><Relationship Id="rId1633" Type="http://schemas.openxmlformats.org/officeDocument/2006/relationships/hyperlink" Target="https://myiipea.com/media/etudiant/photo/WhatsApp_Image_2023-09-18_at_17.54.23.jpeg" TargetMode="External"/><Relationship Id="rId2964" Type="http://schemas.openxmlformats.org/officeDocument/2006/relationships/hyperlink" Target="https://myiipea.com/media/etudiant/photo/IIPEA_ff29znK.jpg" TargetMode="External"/><Relationship Id="rId1634" Type="http://schemas.openxmlformats.org/officeDocument/2006/relationships/hyperlink" Target="https://myiipea.com/media/etudiant/photo/WhatsApp_Image_2023-10-02_at_3.36.13_PM.jpeg" TargetMode="External"/><Relationship Id="rId2965" Type="http://schemas.openxmlformats.org/officeDocument/2006/relationships/hyperlink" Target="https://myiipea.com/media/etudiant/photo/WhatsApp_Image_2023-10-02_at_15.18.10.jpeg" TargetMode="External"/><Relationship Id="rId1635" Type="http://schemas.openxmlformats.org/officeDocument/2006/relationships/hyperlink" Target="https://myiipea.com/media/etudiant/photo/ee805a7a-bd0f-4cfc-a70e-cbab604ca96a_yeqQZlR.jpeg" TargetMode="External"/><Relationship Id="rId2966" Type="http://schemas.openxmlformats.org/officeDocument/2006/relationships/hyperlink" Target="https://myiipea.com/media/etudiant/photo/WhatsApp_Image_2023-11-21_at_12.14.49.jpeg" TargetMode="External"/><Relationship Id="rId1636" Type="http://schemas.openxmlformats.org/officeDocument/2006/relationships/hyperlink" Target="https://myiipea.com/media/etudiant/photo/WhatsApp_Image_2023-10-04_at_16.18.16.jpeg" TargetMode="External"/><Relationship Id="rId2967" Type="http://schemas.openxmlformats.org/officeDocument/2006/relationships/hyperlink" Target="https://myiipea.com/media/etudiant/photo/WhatsApp_Image_2023-10-31_at_15_resized.png" TargetMode="External"/><Relationship Id="rId1637" Type="http://schemas.openxmlformats.org/officeDocument/2006/relationships/hyperlink" Target="https://myiipea.com/media/etudiant/photo/WhatsApp_Image_2023-10-19_at_11.45.09.jpeg" TargetMode="External"/><Relationship Id="rId2968" Type="http://schemas.openxmlformats.org/officeDocument/2006/relationships/hyperlink" Target="https://myiipea.com/media/etudiant/photo/WhatsApp_Image_2023-10-12_at_14.00.04.jpeg" TargetMode="External"/><Relationship Id="rId1638" Type="http://schemas.openxmlformats.org/officeDocument/2006/relationships/hyperlink" Target="https://myiipea.com/media/etudiant/photo/WhatsApp_Image_2023-11-22_at_09.28.03.jpeg" TargetMode="External"/><Relationship Id="rId2969" Type="http://schemas.openxmlformats.org/officeDocument/2006/relationships/hyperlink" Target="https://myiipea.com/media/etudiant/photo/WhatsApp_Image_2023-10-03_at_2.15.57_PM.jpeg" TargetMode="External"/><Relationship Id="rId929" Type="http://schemas.openxmlformats.org/officeDocument/2006/relationships/hyperlink" Target="https://myiipea.com/media/etudiant/photo/WhatsApp_Image_2023-10-05_at_1.07.25_PM.jpeg" TargetMode="External"/><Relationship Id="rId1639" Type="http://schemas.openxmlformats.org/officeDocument/2006/relationships/hyperlink" Target="https://myiipea.com/media/etudiant/photo/IIPEA_ZVWPvtF.jpg" TargetMode="External"/><Relationship Id="rId928" Type="http://schemas.openxmlformats.org/officeDocument/2006/relationships/hyperlink" Target="https://myiipea.com/media/etudiant/photo/IIPEA_fkhIVlh.jpg" TargetMode="External"/><Relationship Id="rId927" Type="http://schemas.openxmlformats.org/officeDocument/2006/relationships/hyperlink" Target="https://myiipea.com/media/etudiant/photo/WhatsApp_Image_2023-10-26_at_12.35.24.jpeg" TargetMode="External"/><Relationship Id="rId926" Type="http://schemas.openxmlformats.org/officeDocument/2006/relationships/hyperlink" Target="https://myiipea.com/media/etudiant/photo/WhatsApp_Image_2023-10-16_at_09.51.24.jpeg" TargetMode="External"/><Relationship Id="rId921" Type="http://schemas.openxmlformats.org/officeDocument/2006/relationships/hyperlink" Target="https://myiipea.com/media/etudiant/photo/WhatsApp_Image_2023-10-11_at_09.26.16.jpeg" TargetMode="External"/><Relationship Id="rId920" Type="http://schemas.openxmlformats.org/officeDocument/2006/relationships/hyperlink" Target="https://myiipea.com/media/etudiant/photo/WhatsApp_Image_2023-10-17_at_18.47.15.jpeg" TargetMode="External"/><Relationship Id="rId925" Type="http://schemas.openxmlformats.org/officeDocument/2006/relationships/hyperlink" Target="https://myiipea.com/media/etudiant/photo/WhatsApp_Image_2023-10-12_at_14.14.21.jpeg" TargetMode="External"/><Relationship Id="rId924" Type="http://schemas.openxmlformats.org/officeDocument/2006/relationships/hyperlink" Target="https://myiipea.com/media/etudiant/photo/WhatsApp_Image_2023-10-17_at_13.59.42.jpeg" TargetMode="External"/><Relationship Id="rId923" Type="http://schemas.openxmlformats.org/officeDocument/2006/relationships/hyperlink" Target="https://myiipea.com/media/etudiant/photo/WhatsApp_Image_2023-10-02_at_15.17.47.jpeg" TargetMode="External"/><Relationship Id="rId922" Type="http://schemas.openxmlformats.org/officeDocument/2006/relationships/hyperlink" Target="https://myiipea.com/media/etudiant/photo/WhatsApp_Image_2023-10-09_at_13.23.59.jpeg" TargetMode="External"/><Relationship Id="rId2960" Type="http://schemas.openxmlformats.org/officeDocument/2006/relationships/hyperlink" Target="https://myiipea.com/media/etudiant/photo/WhatsApp_Image_2023-10-06_at_18.32.08.jpeg" TargetMode="External"/><Relationship Id="rId1630" Type="http://schemas.openxmlformats.org/officeDocument/2006/relationships/hyperlink" Target="https://myiipea.com/media/etudiant/photo/WhatsApp_Image_2023-10-11_at_09.50.12.jpeg" TargetMode="External"/><Relationship Id="rId2961" Type="http://schemas.openxmlformats.org/officeDocument/2006/relationships/hyperlink" Target="https://myiipea.com/media/etudiant/photo/WhatsApp_Image_2023-10-19_at_13.32.48.jpeg" TargetMode="External"/><Relationship Id="rId1620" Type="http://schemas.openxmlformats.org/officeDocument/2006/relationships/hyperlink" Target="https://myiipea.com/media/etudiant/photo/WhatsApp_Image_2023-11-16_at_15.55.10.jpeg" TargetMode="External"/><Relationship Id="rId2951" Type="http://schemas.openxmlformats.org/officeDocument/2006/relationships/hyperlink" Target="https://myiipea.com/media/etudiant/photo/WhatsApp_Image_2023-11-07_at_10.15.09.jpeg" TargetMode="External"/><Relationship Id="rId1621" Type="http://schemas.openxmlformats.org/officeDocument/2006/relationships/hyperlink" Target="https://myiipea.com/media/etudiant/photo/WhatsApp_Image_2023-10-09_at_14.09.13.jpeg" TargetMode="External"/><Relationship Id="rId2952" Type="http://schemas.openxmlformats.org/officeDocument/2006/relationships/hyperlink" Target="https://myiipea.com/media/etudiant/photo/WhatsApp_Image_2023-10-13_at_17_resized.png" TargetMode="External"/><Relationship Id="rId1622" Type="http://schemas.openxmlformats.org/officeDocument/2006/relationships/hyperlink" Target="https://myiipea.com/media/etudiant/photo/IMG_9209_resized.png" TargetMode="External"/><Relationship Id="rId2953" Type="http://schemas.openxmlformats.org/officeDocument/2006/relationships/hyperlink" Target="https://myiipea.com/media/etudiant/photo/WhatsApp_Image_2023-10-04_at_15.04.35.jpeg" TargetMode="External"/><Relationship Id="rId1623" Type="http://schemas.openxmlformats.org/officeDocument/2006/relationships/hyperlink" Target="https://myiipea.com/media/etudiant/photo/WhatsApp_Image_2023-10-23_at_14.16.30.jpeg" TargetMode="External"/><Relationship Id="rId2954" Type="http://schemas.openxmlformats.org/officeDocument/2006/relationships/hyperlink" Target="https://myiipea.com/media/etudiant/photo/ee805a7a-bd0f-4cfc-a70e-cbab604ca96a_PTHjiZf.jpeg" TargetMode="External"/><Relationship Id="rId1624" Type="http://schemas.openxmlformats.org/officeDocument/2006/relationships/hyperlink" Target="https://myiipea.com/media/etudiant/photo/WhatsApp_Image_2023-10-13_at_18.15.06.jpeg" TargetMode="External"/><Relationship Id="rId2955" Type="http://schemas.openxmlformats.org/officeDocument/2006/relationships/hyperlink" Target="https://myiipea.com/media/etudiant/photo/WhatsApp_Image_2023-10-02_at_15.22.44.jpeg" TargetMode="External"/><Relationship Id="rId1625" Type="http://schemas.openxmlformats.org/officeDocument/2006/relationships/hyperlink" Target="https://myiipea.com/media/etudiant/photo/WhatsApp_Image_2023-09-28_at_13.51.14.jpeg" TargetMode="External"/><Relationship Id="rId2956" Type="http://schemas.openxmlformats.org/officeDocument/2006/relationships/hyperlink" Target="https://myiipea.com/media/etudiant/photo/WhatsApp_Image_2023-11-08_at_4_resized.png" TargetMode="External"/><Relationship Id="rId1626" Type="http://schemas.openxmlformats.org/officeDocument/2006/relationships/hyperlink" Target="https://myiipea.com/media/etudiant/photo/IMG_9255_resized.png" TargetMode="External"/><Relationship Id="rId2957" Type="http://schemas.openxmlformats.org/officeDocument/2006/relationships/hyperlink" Target="https://myiipea.com/media/etudiant/photo/WhatsApp_Image_2023-10-02_at_4.23.52_PM.jpeg" TargetMode="External"/><Relationship Id="rId1627" Type="http://schemas.openxmlformats.org/officeDocument/2006/relationships/hyperlink" Target="https://myiipea.com/media/etudiant/photo/WhatsApp_Image_2023-11-06_at_10.49.04.jpeg" TargetMode="External"/><Relationship Id="rId2958" Type="http://schemas.openxmlformats.org/officeDocument/2006/relationships/hyperlink" Target="https://myiipea.com/media/etudiant/photo/WhatsApp_Image_2023-10-16_at_13.18.08.jpeg" TargetMode="External"/><Relationship Id="rId918" Type="http://schemas.openxmlformats.org/officeDocument/2006/relationships/hyperlink" Target="https://myiipea.com/media/etudiant/photo/WhatsApp_Image_2023-10-26_at_13.05.33.jpeg" TargetMode="External"/><Relationship Id="rId1628" Type="http://schemas.openxmlformats.org/officeDocument/2006/relationships/hyperlink" Target="https://myiipea.com/media/etudiant/photo/WhatsApp_Image_2023-10-16_at_12.23.08.jpeg" TargetMode="External"/><Relationship Id="rId2959" Type="http://schemas.openxmlformats.org/officeDocument/2006/relationships/hyperlink" Target="https://myiipea.com/media/etudiant/photo/WhatsApp_Image_2023-10-09_at_11.40.16.jpeg" TargetMode="External"/><Relationship Id="rId917" Type="http://schemas.openxmlformats.org/officeDocument/2006/relationships/hyperlink" Target="https://myiipea.com/media/etudiant/photo/WhatsApp_Image_2023-11-10_at_10.57.08.jpeg" TargetMode="External"/><Relationship Id="rId1629" Type="http://schemas.openxmlformats.org/officeDocument/2006/relationships/hyperlink" Target="https://myiipea.com/media/etudiant/photo/WhatsApp_Image_2023-11-13_at_11.02.19.jpeg" TargetMode="External"/><Relationship Id="rId916" Type="http://schemas.openxmlformats.org/officeDocument/2006/relationships/hyperlink" Target="https://myiipea.com/media/etudiant/photo/WhatsApp_Image_2023-09-26_at_12.32.34.jpeg" TargetMode="External"/><Relationship Id="rId915" Type="http://schemas.openxmlformats.org/officeDocument/2006/relationships/hyperlink" Target="https://myiipea.com/media/etudiant/photo/WhatsApp_Image_2023-11-21_at_12.19.03_PM.jpeg" TargetMode="External"/><Relationship Id="rId919" Type="http://schemas.openxmlformats.org/officeDocument/2006/relationships/hyperlink" Target="https://myiipea.com/media/etudiant/photo/WhatsApp_Image_2023-10-02_at_14_resized.png" TargetMode="External"/><Relationship Id="rId910" Type="http://schemas.openxmlformats.org/officeDocument/2006/relationships/hyperlink" Target="https://myiipea.com/media/etudiant/photo/WhatsApp_Image_2023-10-05_at_11.41.02.jpeg" TargetMode="External"/><Relationship Id="rId914" Type="http://schemas.openxmlformats.org/officeDocument/2006/relationships/hyperlink" Target="https://myiipea.com/media/etudiant/photo/WhatsApp_Image_2023-10-03_at_9.45.18_AM.jpeg" TargetMode="External"/><Relationship Id="rId913" Type="http://schemas.openxmlformats.org/officeDocument/2006/relationships/hyperlink" Target="https://myiipea.com/media/etudiant/photo/WhatsApp_Image_2023-11-03_at_5.57.41_PM.jpeg" TargetMode="External"/><Relationship Id="rId912" Type="http://schemas.openxmlformats.org/officeDocument/2006/relationships/hyperlink" Target="https://myiipea.com/media/etudiant/photo/WhatsApp_Image_2023-10-02_at_15.22.28.jpeg" TargetMode="External"/><Relationship Id="rId911" Type="http://schemas.openxmlformats.org/officeDocument/2006/relationships/hyperlink" Target="https://myiipea.com/media/etudiant/photo/WhatsApp_Image_2023-10-02_at_18.13.35.jpeg" TargetMode="External"/><Relationship Id="rId2950" Type="http://schemas.openxmlformats.org/officeDocument/2006/relationships/hyperlink" Target="https://myiipea.com/media/etudiant/photo/WhatsApp_Image_2023-09-29_at_17.19.36.jpeg" TargetMode="External"/><Relationship Id="rId2900" Type="http://schemas.openxmlformats.org/officeDocument/2006/relationships/hyperlink" Target="https://myiipea.com/media/etudiant/photo/WhatsApp_Image_2023-10-05_at_13_resized.png" TargetMode="External"/><Relationship Id="rId2901" Type="http://schemas.openxmlformats.org/officeDocument/2006/relationships/hyperlink" Target="https://myiipea.com/media/etudiant/photo/WhatsApp_Image_2023-10-31_at_3.29.59_PM.jpeg" TargetMode="External"/><Relationship Id="rId2902" Type="http://schemas.openxmlformats.org/officeDocument/2006/relationships/hyperlink" Target="https://myiipea.com/media/etudiant/photo/WhatsApp_Image_2023-11-10_at_15.11.04.jpeg" TargetMode="External"/><Relationship Id="rId2903" Type="http://schemas.openxmlformats.org/officeDocument/2006/relationships/hyperlink" Target="https://myiipea.com/media/etudiant/photo/WhatsApp_Image_2023-10-03_at_16.16.42.jpeg" TargetMode="External"/><Relationship Id="rId2904" Type="http://schemas.openxmlformats.org/officeDocument/2006/relationships/hyperlink" Target="https://myiipea.com/media/etudiant/photo/WhatsApp_Image_2023-10-03_at_10.18.53.jpeg" TargetMode="External"/><Relationship Id="rId2905" Type="http://schemas.openxmlformats.org/officeDocument/2006/relationships/hyperlink" Target="https://myiipea.com/media/etudiant/photo/WhatsApp_Image_2023-10-05_at_12.38.11.jpeg" TargetMode="External"/><Relationship Id="rId2906" Type="http://schemas.openxmlformats.org/officeDocument/2006/relationships/hyperlink" Target="https://myiipea.com/media/etudiant/photo/WhatsApp_Image_2023-10-03_at_15.24.49.jpeg" TargetMode="External"/><Relationship Id="rId2907" Type="http://schemas.openxmlformats.org/officeDocument/2006/relationships/hyperlink" Target="https://myiipea.com/media/etudiant/photo/WhatsApp_Image_2023-10-09_at_15.46.23.jpeg" TargetMode="External"/><Relationship Id="rId2908" Type="http://schemas.openxmlformats.org/officeDocument/2006/relationships/hyperlink" Target="https://myiipea.com/media/etudiant/photo/WhatsApp_Image_2023-09-20_at_09.41.09.jpeg" TargetMode="External"/><Relationship Id="rId2909" Type="http://schemas.openxmlformats.org/officeDocument/2006/relationships/hyperlink" Target="https://myiipea.com/media/etudiant/photo/WhatsApp_Image_2023-10-06_at_14.24.51_1_AIix0km.jpeg" TargetMode="External"/><Relationship Id="rId2920" Type="http://schemas.openxmlformats.org/officeDocument/2006/relationships/hyperlink" Target="https://myiipea.com/media/etudiant/photo/WhatsApp_Image_2023-10-12_at_08.29.58.jpeg" TargetMode="External"/><Relationship Id="rId2921" Type="http://schemas.openxmlformats.org/officeDocument/2006/relationships/hyperlink" Target="https://myiipea.com/media/etudiant/photo/DANIEL.jpg" TargetMode="External"/><Relationship Id="rId2922" Type="http://schemas.openxmlformats.org/officeDocument/2006/relationships/hyperlink" Target="https://myiipea.com/media/etudiant/photo/unnamed-2_Ln5FWhI.png" TargetMode="External"/><Relationship Id="rId2923" Type="http://schemas.openxmlformats.org/officeDocument/2006/relationships/hyperlink" Target="https://myiipea.com/media/etudiant/photo/WhatsApp_Image_2023-10-31_at_4.30.22_PM.jpeg" TargetMode="External"/><Relationship Id="rId2924" Type="http://schemas.openxmlformats.org/officeDocument/2006/relationships/hyperlink" Target="https://myiipea.com/media/etudiant/photo/WhatsApp_Image_2023-12-01_at_4_resized_v1t4fVf_resized.png" TargetMode="External"/><Relationship Id="rId2925" Type="http://schemas.openxmlformats.org/officeDocument/2006/relationships/hyperlink" Target="https://myiipea.com/media/etudiant/photo/WhatsApp_Image_2023-11-08_at_16.01.13.jpeg" TargetMode="External"/><Relationship Id="rId2926" Type="http://schemas.openxmlformats.org/officeDocument/2006/relationships/hyperlink" Target="https://myiipea.com/media/etudiant/photo/WhatsApp_Image_2023-09-20_%C3%A0_14.47.58.jpg" TargetMode="External"/><Relationship Id="rId2927" Type="http://schemas.openxmlformats.org/officeDocument/2006/relationships/hyperlink" Target="https://myiipea.com/media/etudiant/photo/WhatsApp_Image_2023-11-20_at_3.37.18_PM.jpeg" TargetMode="External"/><Relationship Id="rId2928" Type="http://schemas.openxmlformats.org/officeDocument/2006/relationships/hyperlink" Target="https://myiipea.com/media/etudiant/photo/WhatsApp_Image_2023-10-16_at_14.19.31.jpeg" TargetMode="External"/><Relationship Id="rId2929" Type="http://schemas.openxmlformats.org/officeDocument/2006/relationships/hyperlink" Target="https://myiipea.com/media/etudiant/photo/WhatsApp_Image_2023-09-28_at_16.36.42.jpeg" TargetMode="External"/><Relationship Id="rId2910" Type="http://schemas.openxmlformats.org/officeDocument/2006/relationships/hyperlink" Target="https://myiipea.com/media/etudiant/photo/WhatsApp_Image_2023-10-13_at_11.20.13.jpeg" TargetMode="External"/><Relationship Id="rId2911" Type="http://schemas.openxmlformats.org/officeDocument/2006/relationships/hyperlink" Target="https://myiipea.com/media/etudiant/photo/WhatsApp_Image_2023-10-23_at_15.22.59_4.jpeg" TargetMode="External"/><Relationship Id="rId2912" Type="http://schemas.openxmlformats.org/officeDocument/2006/relationships/hyperlink" Target="https://myiipea.com/media/etudiant/photo/WhatsApp_Image_2023-10-13_at_14_resized.png" TargetMode="External"/><Relationship Id="rId2913" Type="http://schemas.openxmlformats.org/officeDocument/2006/relationships/hyperlink" Target="https://myiipea.com/media/etudiant/photo/DRISSA.jpg" TargetMode="External"/><Relationship Id="rId2914" Type="http://schemas.openxmlformats.org/officeDocument/2006/relationships/hyperlink" Target="https://myiipea.com/media/etudiant/photo/WhatsApp_Image_2023-10-11_at_10.31.58.jpeg" TargetMode="External"/><Relationship Id="rId2915" Type="http://schemas.openxmlformats.org/officeDocument/2006/relationships/hyperlink" Target="https://myiipea.com/media/etudiant/photo/WhatsApp_Image_2023-10-02_at_18.13.11.jpeg" TargetMode="External"/><Relationship Id="rId2916" Type="http://schemas.openxmlformats.org/officeDocument/2006/relationships/hyperlink" Target="https://myiipea.com/media/etudiant/photo/WhatsApp_Image_2023-10-16_at_15.36.53.jpeg" TargetMode="External"/><Relationship Id="rId2917" Type="http://schemas.openxmlformats.org/officeDocument/2006/relationships/hyperlink" Target="https://myiipea.com/media/etudiant/photo/WhatsApp_Image_2023-10-04_at_5_resized.png" TargetMode="External"/><Relationship Id="rId2918" Type="http://schemas.openxmlformats.org/officeDocument/2006/relationships/hyperlink" Target="https://myiipea.com/media/etudiant/photo/ee805a7a-bd0f-4cfc-a70e-cbab604ca96a_kbaY1rg.jpeg" TargetMode="External"/><Relationship Id="rId2919" Type="http://schemas.openxmlformats.org/officeDocument/2006/relationships/hyperlink" Target="https://myiipea.com/media/etudiant/photo/WhatsApp_Image_2023-10-18_at_14.16.07.jpeg" TargetMode="External"/><Relationship Id="rId1697" Type="http://schemas.openxmlformats.org/officeDocument/2006/relationships/hyperlink" Target="https://myiipea.com/media/etudiant/photo/239422487_405915444207421_8131329350063382999_n_qZgw1sL.jpg" TargetMode="External"/><Relationship Id="rId1698" Type="http://schemas.openxmlformats.org/officeDocument/2006/relationships/hyperlink" Target="https://myiipea.com/media/etudiant/photo/WhatsApp_Image_2023-09-29_at_18.33.56.jpeg" TargetMode="External"/><Relationship Id="rId1699" Type="http://schemas.openxmlformats.org/officeDocument/2006/relationships/hyperlink" Target="https://myiipea.com/media/etudiant/photo/WhatsApp_Image_2023-10-13_at_10.04.10.jpeg" TargetMode="External"/><Relationship Id="rId866" Type="http://schemas.openxmlformats.org/officeDocument/2006/relationships/hyperlink" Target="https://myiipea.com/media/etudiant/photo/WhatsApp_Image_2023-10-02_at_10.44.12.jpeg" TargetMode="External"/><Relationship Id="rId865" Type="http://schemas.openxmlformats.org/officeDocument/2006/relationships/hyperlink" Target="https://myiipea.com/media/etudiant/photo/WhatsApp_Image_2023-11-13_at_2.20.12_PM.jpeg" TargetMode="External"/><Relationship Id="rId864" Type="http://schemas.openxmlformats.org/officeDocument/2006/relationships/hyperlink" Target="https://myiipea.com/media/etudiant/photo/WhatsApp_Image_2023-10-10_at_13.52.13.jpeg" TargetMode="External"/><Relationship Id="rId863" Type="http://schemas.openxmlformats.org/officeDocument/2006/relationships/hyperlink" Target="https://myiipea.com/media/etudiant/photo/WhatsApp_Image_2023-11-02_at_16.18.58.jpeg" TargetMode="External"/><Relationship Id="rId869" Type="http://schemas.openxmlformats.org/officeDocument/2006/relationships/hyperlink" Target="https://myiipea.com/media/etudiant/photo/WhatsApp_Image_2023-09-23_at_10.19.49.jpeg" TargetMode="External"/><Relationship Id="rId868" Type="http://schemas.openxmlformats.org/officeDocument/2006/relationships/hyperlink" Target="https://myiipea.com/media/etudiant/photo/WhatsApp_Image_2023-10-13_at_17.24.14.jpeg" TargetMode="External"/><Relationship Id="rId867" Type="http://schemas.openxmlformats.org/officeDocument/2006/relationships/hyperlink" Target="https://myiipea.com/media/etudiant/photo/WhatsApp_Image_2023-10-27_at_10.15.40.jpeg" TargetMode="External"/><Relationship Id="rId1690" Type="http://schemas.openxmlformats.org/officeDocument/2006/relationships/hyperlink" Target="https://myiipea.com/media/etudiant/photo/WhatsApp_Image_2023-09-29_at_17.25.10.jpeg" TargetMode="External"/><Relationship Id="rId1691" Type="http://schemas.openxmlformats.org/officeDocument/2006/relationships/hyperlink" Target="https://myiipea.com/media/etudiant/photo/WhatsApp_Image_2023-11-20_at_13.58.39.jpeg" TargetMode="External"/><Relationship Id="rId1692" Type="http://schemas.openxmlformats.org/officeDocument/2006/relationships/hyperlink" Target="https://myiipea.com/media/etudiant/photo/WhatsApp_Image_2023-10-05_at_11.04.29.jpeg" TargetMode="External"/><Relationship Id="rId862" Type="http://schemas.openxmlformats.org/officeDocument/2006/relationships/hyperlink" Target="https://myiipea.com/media/etudiant/photo/WhatsApp_Image_2023-10-19_at_11.32.52.jpeg" TargetMode="External"/><Relationship Id="rId1693" Type="http://schemas.openxmlformats.org/officeDocument/2006/relationships/hyperlink" Target="https://myiipea.com/media/etudiant/photo/WhatsApp_Image_2023-10-17_at_10.42.08.jpeg" TargetMode="External"/><Relationship Id="rId861" Type="http://schemas.openxmlformats.org/officeDocument/2006/relationships/hyperlink" Target="https://myiipea.com/media/etudiant/photo/WhatsApp_Image_2023-10-04_at_10.55.23.jpeg" TargetMode="External"/><Relationship Id="rId1694" Type="http://schemas.openxmlformats.org/officeDocument/2006/relationships/hyperlink" Target="https://myiipea.com/media/etudiant/photo/WhatsApp_Image_2023-10-04_at_13_resized_c8cDiS0.png" TargetMode="External"/><Relationship Id="rId860" Type="http://schemas.openxmlformats.org/officeDocument/2006/relationships/hyperlink" Target="https://myiipea.com/media/etudiant/photo/photo_Kgm6JYf.jpg" TargetMode="External"/><Relationship Id="rId1695" Type="http://schemas.openxmlformats.org/officeDocument/2006/relationships/hyperlink" Target="https://myiipea.com/media/etudiant/photo/WhatsApp_Image_2023-10-05_at_12.22.21.jpeg" TargetMode="External"/><Relationship Id="rId1696" Type="http://schemas.openxmlformats.org/officeDocument/2006/relationships/hyperlink" Target="https://myiipea.com/media/etudiant/photo/WhatsApp_Image_2023-10-04_at_10_resized_Ej2nilx.png" TargetMode="External"/><Relationship Id="rId1686" Type="http://schemas.openxmlformats.org/officeDocument/2006/relationships/hyperlink" Target="https://myiipea.com/media/etudiant/photo/WhatsApp_Image_2023-09-25_at_11.52.25.jpeg" TargetMode="External"/><Relationship Id="rId1687" Type="http://schemas.openxmlformats.org/officeDocument/2006/relationships/hyperlink" Target="https://myiipea.com/media/etudiant/photo/WhatsApp_Image_2023-10-03_at_14.27.29.jpeg" TargetMode="External"/><Relationship Id="rId1688" Type="http://schemas.openxmlformats.org/officeDocument/2006/relationships/hyperlink" Target="https://myiipea.com/media/etudiant/photo/WhatsApp_Image_2023-10-09_at_12.17.46.jpeg" TargetMode="External"/><Relationship Id="rId1689" Type="http://schemas.openxmlformats.org/officeDocument/2006/relationships/hyperlink" Target="https://myiipea.com/media/etudiant/photo/3242A12E-CA46-4FAC-8143-427EA3032C38_resized.png" TargetMode="External"/><Relationship Id="rId855" Type="http://schemas.openxmlformats.org/officeDocument/2006/relationships/hyperlink" Target="https://myiipea.com/media/etudiant/photo/WhatsApp_Image_2023-10-27_at_10.15.31.jpeg" TargetMode="External"/><Relationship Id="rId854" Type="http://schemas.openxmlformats.org/officeDocument/2006/relationships/hyperlink" Target="https://myiipea.com/media/etudiant/photo/WhatsApp_Image_2023-11-03_at_12.05.36.jpeg" TargetMode="External"/><Relationship Id="rId853" Type="http://schemas.openxmlformats.org/officeDocument/2006/relationships/hyperlink" Target="https://myiipea.com/media/etudiant/photo/WhatsApp_Image_2023-10-23_at_15.42.42.jpeg" TargetMode="External"/><Relationship Id="rId852" Type="http://schemas.openxmlformats.org/officeDocument/2006/relationships/hyperlink" Target="https://myiipea.com/media/etudiant/photo/WhatsApp_Image_2023-11-16_at_12.07.35.jpeg" TargetMode="External"/><Relationship Id="rId859" Type="http://schemas.openxmlformats.org/officeDocument/2006/relationships/hyperlink" Target="https://myiipea.com/media/etudiant/photo/WhatsApp_Image_2023-10-31_at_6.04.22_PM.jpeg" TargetMode="External"/><Relationship Id="rId858" Type="http://schemas.openxmlformats.org/officeDocument/2006/relationships/hyperlink" Target="https://myiipea.com/media/etudiant/photo/WhatsApp_Image_2023-10-09_at_15.36.36.jpeg" TargetMode="External"/><Relationship Id="rId857" Type="http://schemas.openxmlformats.org/officeDocument/2006/relationships/hyperlink" Target="https://myiipea.com/media/etudiant/photo/WhatsApp_Image_2023-10-30_at_13.59.37.jpeg" TargetMode="External"/><Relationship Id="rId856" Type="http://schemas.openxmlformats.org/officeDocument/2006/relationships/hyperlink" Target="https://myiipea.com/media/etudiant/photo/WhatsApp_Image_2023-10-11_at_15.14.42.jpeg" TargetMode="External"/><Relationship Id="rId1680" Type="http://schemas.openxmlformats.org/officeDocument/2006/relationships/hyperlink" Target="https://myiipea.com/media/etudiant/photo/WhatsApp_Image_2023-11-23_at_4.22.41_PM.jpeg" TargetMode="External"/><Relationship Id="rId1681" Type="http://schemas.openxmlformats.org/officeDocument/2006/relationships/hyperlink" Target="https://myiipea.com/media/etudiant/photo/WhatsApp_Image_2023-10-04_at_11.02.08.jpeg" TargetMode="External"/><Relationship Id="rId851" Type="http://schemas.openxmlformats.org/officeDocument/2006/relationships/hyperlink" Target="https://myiipea.com/media/etudiant/photo/WhatsApp_Image_2023-10-31_at_16.34.59.jpeg" TargetMode="External"/><Relationship Id="rId1682" Type="http://schemas.openxmlformats.org/officeDocument/2006/relationships/hyperlink" Target="https://myiipea.com/media/etudiant/photo/WhatsApp_Image_2023-11-10_at_10.00.27.jpeg" TargetMode="External"/><Relationship Id="rId850" Type="http://schemas.openxmlformats.org/officeDocument/2006/relationships/hyperlink" Target="https://myiipea.com/media/etudiant/photo/WhatsApp_Image_2023-10-26_at_12.16.05.jpeg" TargetMode="External"/><Relationship Id="rId1683" Type="http://schemas.openxmlformats.org/officeDocument/2006/relationships/hyperlink" Target="https://myiipea.com/media/etudiant/photo/IIPEA_OXeqfIl.jpg" TargetMode="External"/><Relationship Id="rId1684" Type="http://schemas.openxmlformats.org/officeDocument/2006/relationships/hyperlink" Target="https://myiipea.com/media/etudiant/photo/WhatsApp_Image_2023-11-27_at_14.55.15.jpeg" TargetMode="External"/><Relationship Id="rId1685" Type="http://schemas.openxmlformats.org/officeDocument/2006/relationships/hyperlink" Target="https://myiipea.com/media/etudiant/photo/IIPEA_byE7NgD.jpg" TargetMode="External"/><Relationship Id="rId3414" Type="http://schemas.openxmlformats.org/officeDocument/2006/relationships/hyperlink" Target="https://myiipea.com/media/etudiant/photo/WhatsApp_Image_2023-10-10_at_16.51.36.jpeg" TargetMode="External"/><Relationship Id="rId3413" Type="http://schemas.openxmlformats.org/officeDocument/2006/relationships/hyperlink" Target="https://myiipea.com/media/etudiant/photo/WhatsApp_Image_2023-10-10_at_11_resized_FmdAVxI.png" TargetMode="External"/><Relationship Id="rId3416" Type="http://schemas.openxmlformats.org/officeDocument/2006/relationships/hyperlink" Target="https://myiipea.com/media/etudiant/photo/WhatsApp_Image_2023-10-31_at_15.31.11.jpeg" TargetMode="External"/><Relationship Id="rId3415" Type="http://schemas.openxmlformats.org/officeDocument/2006/relationships/hyperlink" Target="https://myiipea.com/media/etudiant/photo/WhatsApp_Image_2023-10-26_at_13.14.22.jpeg" TargetMode="External"/><Relationship Id="rId3418" Type="http://schemas.openxmlformats.org/officeDocument/2006/relationships/hyperlink" Target="https://myiipea.com/media/etudiant/photo/WhatsApp_Image_2023-10-06_at_1.57.51_PM.jpeg" TargetMode="External"/><Relationship Id="rId3417" Type="http://schemas.openxmlformats.org/officeDocument/2006/relationships/hyperlink" Target="https://myiipea.com/media/etudiant/photo/WhatsApp_Image_2023-09-25_%C3%A0_12.00.39.jpg" TargetMode="External"/><Relationship Id="rId3419" Type="http://schemas.openxmlformats.org/officeDocument/2006/relationships/hyperlink" Target="https://myiipea.com/media/etudiant/photo/WhatsApp_Image_2023-11-06_at_16.48.40.jpeg" TargetMode="External"/><Relationship Id="rId888" Type="http://schemas.openxmlformats.org/officeDocument/2006/relationships/hyperlink" Target="https://myiipea.com/media/etudiant/photo/WhatsApp_Image_2023-10-16_at_5.19.26_PM.jpeg" TargetMode="External"/><Relationship Id="rId887" Type="http://schemas.openxmlformats.org/officeDocument/2006/relationships/hyperlink" Target="https://myiipea.com/media/etudiant/photo/WhatsApp_Image_2023-10-03_at_15.39.57.jpeg" TargetMode="External"/><Relationship Id="rId886" Type="http://schemas.openxmlformats.org/officeDocument/2006/relationships/hyperlink" Target="https://myiipea.com/media/etudiant/photo/WhatsApp_Image_2023-10-04_at_13.19.02.jpeg" TargetMode="External"/><Relationship Id="rId885" Type="http://schemas.openxmlformats.org/officeDocument/2006/relationships/hyperlink" Target="https://myiipea.com/media/etudiant/photo/WhatsApp_Image_2023-10-04_at_11.19.17.jpeg" TargetMode="External"/><Relationship Id="rId889" Type="http://schemas.openxmlformats.org/officeDocument/2006/relationships/hyperlink" Target="https://myiipea.com/media/etudiant/photo/WhatsApp_Image_2023-10-12_at_14.59.05.jpeg" TargetMode="External"/><Relationship Id="rId880" Type="http://schemas.openxmlformats.org/officeDocument/2006/relationships/hyperlink" Target="https://myiipea.com/media/etudiant/photo/WhatsApp_Image_2023-10-03_at_17.28.33.jpeg" TargetMode="External"/><Relationship Id="rId884" Type="http://schemas.openxmlformats.org/officeDocument/2006/relationships/hyperlink" Target="https://myiipea.com/media/etudiant/photo/WhatsApp_Image_2023-12-04_at_11_resized_tnV5CZI.png" TargetMode="External"/><Relationship Id="rId3410" Type="http://schemas.openxmlformats.org/officeDocument/2006/relationships/hyperlink" Target="https://myiipea.com/media/etudiant/photo/WhatsApp_Image_2023-11-06_at_13.04.50.jpeg" TargetMode="External"/><Relationship Id="rId883" Type="http://schemas.openxmlformats.org/officeDocument/2006/relationships/hyperlink" Target="https://myiipea.com/media/etudiant/photo/WhatsApp_Image_2023-11-22_at_14.59.52.jpeg" TargetMode="External"/><Relationship Id="rId882" Type="http://schemas.openxmlformats.org/officeDocument/2006/relationships/hyperlink" Target="https://myiipea.com/media/etudiant/photo/WhatsApp_Image_2023-12-01_at_1_resized_7Z1z46w.png" TargetMode="External"/><Relationship Id="rId3412" Type="http://schemas.openxmlformats.org/officeDocument/2006/relationships/hyperlink" Target="https://myiipea.com/media/etudiant/photo/WhatsApp_Image_2023-10-12_at_12.19.25.jpeg" TargetMode="External"/><Relationship Id="rId881" Type="http://schemas.openxmlformats.org/officeDocument/2006/relationships/hyperlink" Target="https://myiipea.com/media/etudiant/photo/WhatsApp_Image_2023-10-11_at_13.22.00.jpeg" TargetMode="External"/><Relationship Id="rId3411" Type="http://schemas.openxmlformats.org/officeDocument/2006/relationships/hyperlink" Target="https://myiipea.com/media/etudiant/photo/WhatsApp_Image_2023-10-13_at_12.55.30.jpeg" TargetMode="External"/><Relationship Id="rId3403" Type="http://schemas.openxmlformats.org/officeDocument/2006/relationships/hyperlink" Target="https://myiipea.com/media/etudiant/photo/WhatsApp_Image_2023-10-10_at_14.32.39.jpeg" TargetMode="External"/><Relationship Id="rId3402" Type="http://schemas.openxmlformats.org/officeDocument/2006/relationships/hyperlink" Target="https://myiipea.com/media/etudiant/photo/WhatsApp_Image_2023-10-25_at_12.09.14.jpeg" TargetMode="External"/><Relationship Id="rId3405" Type="http://schemas.openxmlformats.org/officeDocument/2006/relationships/hyperlink" Target="https://myiipea.com/media/etudiant/photo/WhatsApp_Image_2023-10-31_at_10.53.40.jpeg" TargetMode="External"/><Relationship Id="rId3404" Type="http://schemas.openxmlformats.org/officeDocument/2006/relationships/hyperlink" Target="https://myiipea.com/media/etudiant/photo/WhatsApp_Image_2023-09-18_at_15.10.33.jpeg" TargetMode="External"/><Relationship Id="rId3407" Type="http://schemas.openxmlformats.org/officeDocument/2006/relationships/hyperlink" Target="https://myiipea.com/media/etudiant/photo/WhatsApp_Image_2023-10-03_at_1.06.47_PM.jpeg" TargetMode="External"/><Relationship Id="rId3406" Type="http://schemas.openxmlformats.org/officeDocument/2006/relationships/hyperlink" Target="https://myiipea.com/media/etudiant/photo/WhatsApp_Image_2023-11-27_at_11.37.16_AM.jpeg" TargetMode="External"/><Relationship Id="rId3409" Type="http://schemas.openxmlformats.org/officeDocument/2006/relationships/hyperlink" Target="https://myiipea.com/media/etudiant/photo/WhatsApp_Image_2023-10-17_at_12.59.30.jpeg" TargetMode="External"/><Relationship Id="rId3408" Type="http://schemas.openxmlformats.org/officeDocument/2006/relationships/hyperlink" Target="https://myiipea.com/media/etudiant/photo/WhatsApp_Image_2023-10-19_at_16.12.10.jpeg" TargetMode="External"/><Relationship Id="rId877" Type="http://schemas.openxmlformats.org/officeDocument/2006/relationships/hyperlink" Target="https://myiipea.com/media/etudiant/photo/WhatsApp_Image_2023-10-18_at_13.29.14.jpeg" TargetMode="External"/><Relationship Id="rId876" Type="http://schemas.openxmlformats.org/officeDocument/2006/relationships/hyperlink" Target="https://myiipea.com/media/etudiant/photo/WhatsApp_Image_2023-10-10_at_11.05.38.jpeg" TargetMode="External"/><Relationship Id="rId875" Type="http://schemas.openxmlformats.org/officeDocument/2006/relationships/hyperlink" Target="https://myiipea.com/media/etudiant/photo/WhatsApp_Image_2023-10-06_at_11.50.22.jpeg" TargetMode="External"/><Relationship Id="rId874" Type="http://schemas.openxmlformats.org/officeDocument/2006/relationships/hyperlink" Target="https://myiipea.com/media/etudiant/photo/WhatsApp_Image_2023-10-02_at_17.11.04.jpeg" TargetMode="External"/><Relationship Id="rId879" Type="http://schemas.openxmlformats.org/officeDocument/2006/relationships/hyperlink" Target="https://myiipea.com/media/etudiant/photo/IIPEA_PeLQIJU.jpg" TargetMode="External"/><Relationship Id="rId878" Type="http://schemas.openxmlformats.org/officeDocument/2006/relationships/hyperlink" Target="https://myiipea.com/media/etudiant/photo/WhatsApp_Image_2023-10-09_at_18.16.30.jpeg" TargetMode="External"/><Relationship Id="rId873" Type="http://schemas.openxmlformats.org/officeDocument/2006/relationships/hyperlink" Target="https://myiipea.com/media/etudiant/photo/WhatsApp_Image_2023-11-27_at_11.21.38_AM.jpeg" TargetMode="External"/><Relationship Id="rId872" Type="http://schemas.openxmlformats.org/officeDocument/2006/relationships/hyperlink" Target="https://myiipea.com/media/etudiant/photo/WhatsApp_Image_2023-11-06_at_17.10.33.jpeg" TargetMode="External"/><Relationship Id="rId871" Type="http://schemas.openxmlformats.org/officeDocument/2006/relationships/hyperlink" Target="https://myiipea.com/media/etudiant/photo/WhatsApp_Image_2023-10-03_at_14.52.08.jpeg" TargetMode="External"/><Relationship Id="rId3401" Type="http://schemas.openxmlformats.org/officeDocument/2006/relationships/hyperlink" Target="https://myiipea.com/media/etudiant/photo/WhatsApp_Image_2023-10-03_at_08.38.03.jpeg" TargetMode="External"/><Relationship Id="rId870" Type="http://schemas.openxmlformats.org/officeDocument/2006/relationships/hyperlink" Target="https://myiipea.com/media/etudiant/photo/WhatsApp_Image_2023-11-14_at_09.51.36.jpeg" TargetMode="External"/><Relationship Id="rId3400" Type="http://schemas.openxmlformats.org/officeDocument/2006/relationships/hyperlink" Target="https://myiipea.com/media/etudiant/photo/WhatsApp_Image_2023-10-06_at_12.30.35.jpeg" TargetMode="External"/><Relationship Id="rId1653" Type="http://schemas.openxmlformats.org/officeDocument/2006/relationships/hyperlink" Target="https://myiipea.com/media/etudiant/photo/WhatsApp_Image_2023-10-09_at_10.31.17.jpeg" TargetMode="External"/><Relationship Id="rId2984" Type="http://schemas.openxmlformats.org/officeDocument/2006/relationships/hyperlink" Target="https://myiipea.com/media/etudiant/photo/WhatsApp_Image_2023-10-03_at_15.53.12.jpeg" TargetMode="External"/><Relationship Id="rId1654" Type="http://schemas.openxmlformats.org/officeDocument/2006/relationships/hyperlink" Target="https://myiipea.com/media/etudiant/photo/WhatsApp_Image_2023-10-05_at_11.55.52.jpeg" TargetMode="External"/><Relationship Id="rId2985" Type="http://schemas.openxmlformats.org/officeDocument/2006/relationships/hyperlink" Target="https://myiipea.com/media/etudiant/photo/WhatsApp_Image_2023-11-06_at_4.34.01_PM.jpeg" TargetMode="External"/><Relationship Id="rId1655" Type="http://schemas.openxmlformats.org/officeDocument/2006/relationships/hyperlink" Target="https://myiipea.com/media/etudiant/photo/WhatsApp_Image_2023-09-29_at_11.20.53.jpeg" TargetMode="External"/><Relationship Id="rId2986" Type="http://schemas.openxmlformats.org/officeDocument/2006/relationships/hyperlink" Target="https://myiipea.com/media/etudiant/photo/WhatsApp_Image_2023-10-09_at_1.02.33_PM.jpeg" TargetMode="External"/><Relationship Id="rId1656" Type="http://schemas.openxmlformats.org/officeDocument/2006/relationships/hyperlink" Target="https://myiipea.com/media/etudiant/photo/WhatsApp_Image_2023-11-21_at_4.46.50_PM.jpeg" TargetMode="External"/><Relationship Id="rId2987" Type="http://schemas.openxmlformats.org/officeDocument/2006/relationships/hyperlink" Target="https://myiipea.com/media/etudiant/photo/WhatsApp_Image_2023-10-26_at_11.07.07.jpeg" TargetMode="External"/><Relationship Id="rId1657" Type="http://schemas.openxmlformats.org/officeDocument/2006/relationships/hyperlink" Target="https://myiipea.com/media/etudiant/photo/WhatsApp_Image_2023-10-20_at_1.52.37_PM.jpeg" TargetMode="External"/><Relationship Id="rId2988" Type="http://schemas.openxmlformats.org/officeDocument/2006/relationships/hyperlink" Target="https://myiipea.com/media/etudiant/photo/WhatsApp_Image_2023-10-12_at_3.24.19_PM.jpeg" TargetMode="External"/><Relationship Id="rId1658" Type="http://schemas.openxmlformats.org/officeDocument/2006/relationships/hyperlink" Target="https://myiipea.com/media/etudiant/photo/WhatsApp_Image_2023-11-13_at_3.57.14_PM.jpeg" TargetMode="External"/><Relationship Id="rId2989" Type="http://schemas.openxmlformats.org/officeDocument/2006/relationships/hyperlink" Target="https://myiipea.com/media/etudiant/photo/WhatsApp_Image_2023-11-14_at_14.37.28.jpeg" TargetMode="External"/><Relationship Id="rId1659" Type="http://schemas.openxmlformats.org/officeDocument/2006/relationships/hyperlink" Target="https://myiipea.com/media/etudiant/photo/WhatsApp_Image_2023-10-25_at_10.09.58.jpeg" TargetMode="External"/><Relationship Id="rId829" Type="http://schemas.openxmlformats.org/officeDocument/2006/relationships/hyperlink" Target="https://myiipea.com/media/etudiant/photo/WhatsApp_Image_2023-11-09_at_10.35.07_AM.jpeg" TargetMode="External"/><Relationship Id="rId828" Type="http://schemas.openxmlformats.org/officeDocument/2006/relationships/hyperlink" Target="https://myiipea.com/media/etudiant/photo/WhatsApp_Image_2023-10-06_at_15.03.42.jpeg" TargetMode="External"/><Relationship Id="rId827" Type="http://schemas.openxmlformats.org/officeDocument/2006/relationships/hyperlink" Target="https://myiipea.com/media/etudiant/photo/WhatsApp_Image_2023-10-05_at_13.03.36.jpeg" TargetMode="External"/><Relationship Id="rId822" Type="http://schemas.openxmlformats.org/officeDocument/2006/relationships/hyperlink" Target="https://myiipea.com/media/etudiant/photo/WhatsApp_Image_2023-10-14_at_08.21.24.jpeg" TargetMode="External"/><Relationship Id="rId821" Type="http://schemas.openxmlformats.org/officeDocument/2006/relationships/hyperlink" Target="https://myiipea.com/media/etudiant/photo/WhatsApp_Image_2023-11-14_at_2.22.58_PM.jpeg" TargetMode="External"/><Relationship Id="rId820" Type="http://schemas.openxmlformats.org/officeDocument/2006/relationships/hyperlink" Target="https://myiipea.com/media/etudiant/photo/WhatsApp_Image_2023-10-25_at_12.33.22.jpeg" TargetMode="External"/><Relationship Id="rId826" Type="http://schemas.openxmlformats.org/officeDocument/2006/relationships/hyperlink" Target="https://myiipea.com/media/etudiant/photo/WhatsApp_Image_2023-10-03_at_11.20.39_AM.jpeg" TargetMode="External"/><Relationship Id="rId825" Type="http://schemas.openxmlformats.org/officeDocument/2006/relationships/hyperlink" Target="https://myiipea.com/media/etudiant/photo/F3920254-2AB5-4C27-A09B-FDD23818E431_resized.png" TargetMode="External"/><Relationship Id="rId824" Type="http://schemas.openxmlformats.org/officeDocument/2006/relationships/hyperlink" Target="https://myiipea.com/media/etudiant/photo/WhatsApp_Image_2023-10-02_at_14.09.22.jpeg" TargetMode="External"/><Relationship Id="rId823" Type="http://schemas.openxmlformats.org/officeDocument/2006/relationships/hyperlink" Target="https://myiipea.com/media/etudiant/photo/WhatsApp_Image_2023-10-31_at_14.29.10.jpeg" TargetMode="External"/><Relationship Id="rId2980" Type="http://schemas.openxmlformats.org/officeDocument/2006/relationships/hyperlink" Target="https://myiipea.com/media/etudiant/photo/WhatsApp_Image_2023-10-11_at_17.27.17.jpeg" TargetMode="External"/><Relationship Id="rId1650" Type="http://schemas.openxmlformats.org/officeDocument/2006/relationships/hyperlink" Target="https://myiipea.com/media/etudiant/photo/WhatsApp_Image_2023-11-07_at_11.14.28_AM.jpeg" TargetMode="External"/><Relationship Id="rId2981" Type="http://schemas.openxmlformats.org/officeDocument/2006/relationships/hyperlink" Target="https://myiipea.com/media/etudiant/photo/OUEHE.jpg" TargetMode="External"/><Relationship Id="rId1651" Type="http://schemas.openxmlformats.org/officeDocument/2006/relationships/hyperlink" Target="https://myiipea.com/media/etudiant/photo/WhatsApp_Image_2023-10-30_at_09.21.07.jpeg" TargetMode="External"/><Relationship Id="rId2982" Type="http://schemas.openxmlformats.org/officeDocument/2006/relationships/hyperlink" Target="https://myiipea.com/media/etudiant/photo/WhatsApp_Image_2023-10-26_at_12.45.51_PM.jpeg" TargetMode="External"/><Relationship Id="rId1652" Type="http://schemas.openxmlformats.org/officeDocument/2006/relationships/hyperlink" Target="https://myiipea.com/media/etudiant/photo/WhatsApp_Image_2023-10-06_at_2_resized.png" TargetMode="External"/><Relationship Id="rId2983" Type="http://schemas.openxmlformats.org/officeDocument/2006/relationships/hyperlink" Target="https://myiipea.com/media/etudiant/photo/WhatsApp_Image_2023-11-27_at_13.21.31.jpeg" TargetMode="External"/><Relationship Id="rId1642" Type="http://schemas.openxmlformats.org/officeDocument/2006/relationships/hyperlink" Target="https://myiipea.com/media/etudiant/photo/WhatsApp_Image_2023-10-26_at_12.16.44.jpeg" TargetMode="External"/><Relationship Id="rId2973" Type="http://schemas.openxmlformats.org/officeDocument/2006/relationships/hyperlink" Target="https://myiipea.com/media/etudiant/photo/balakissa.jpg" TargetMode="External"/><Relationship Id="rId1643" Type="http://schemas.openxmlformats.org/officeDocument/2006/relationships/hyperlink" Target="https://myiipea.com/media/etudiant/photo/WhatsApp_Image_2023-10-03_at_15.04.02.jpeg" TargetMode="External"/><Relationship Id="rId2974" Type="http://schemas.openxmlformats.org/officeDocument/2006/relationships/hyperlink" Target="https://myiipea.com/media/etudiant/photo/WhatsApp_Image_2023-10-27_at_13.05.19.jpeg" TargetMode="External"/><Relationship Id="rId1644" Type="http://schemas.openxmlformats.org/officeDocument/2006/relationships/hyperlink" Target="https://myiipea.com/media/etudiant/photo/WhatsApp_Image_2023-11-16_at_13.20.27.jpeg" TargetMode="External"/><Relationship Id="rId2975" Type="http://schemas.openxmlformats.org/officeDocument/2006/relationships/hyperlink" Target="https://myiipea.com/media/etudiant/photo/WhatsApp_Image_2023-10-19_at_14.11.29.jpeg" TargetMode="External"/><Relationship Id="rId1645" Type="http://schemas.openxmlformats.org/officeDocument/2006/relationships/hyperlink" Target="https://myiipea.com/media/etudiant/photo/WhatsApp_Image_2023-10-13_at_12.22.18.jpeg" TargetMode="External"/><Relationship Id="rId2976" Type="http://schemas.openxmlformats.org/officeDocument/2006/relationships/hyperlink" Target="https://myiipea.com/media/etudiant/photo/WhatsApp_Image_2023-10-12_at_11.10.53.jpeg" TargetMode="External"/><Relationship Id="rId1646" Type="http://schemas.openxmlformats.org/officeDocument/2006/relationships/hyperlink" Target="https://myiipea.com/media/etudiant/photo/ALFRED.jpg" TargetMode="External"/><Relationship Id="rId2977" Type="http://schemas.openxmlformats.org/officeDocument/2006/relationships/hyperlink" Target="https://myiipea.com/media/etudiant/photo/WhatsApp_Image_2023-09-26_at_14.03.48.jpeg" TargetMode="External"/><Relationship Id="rId1647" Type="http://schemas.openxmlformats.org/officeDocument/2006/relationships/hyperlink" Target="https://myiipea.com/media/etudiant/photo/WhatsApp_Image_2023-10-16_at_15.46.29.jpeg" TargetMode="External"/><Relationship Id="rId2978" Type="http://schemas.openxmlformats.org/officeDocument/2006/relationships/hyperlink" Target="https://myiipea.com/media/etudiant/photo/WhatsApp_Image_2023-09-29_at_14.15.42.jpeg" TargetMode="External"/><Relationship Id="rId1648" Type="http://schemas.openxmlformats.org/officeDocument/2006/relationships/hyperlink" Target="https://myiipea.com/media/etudiant/photo/WhatsApp_Image_2023-10-11_at_10.31.51.jpeg" TargetMode="External"/><Relationship Id="rId2979" Type="http://schemas.openxmlformats.org/officeDocument/2006/relationships/hyperlink" Target="https://myiipea.com/media/etudiant/photo/WhatsApp_Image_2023-11-28_at_1.02.22_PM.jpeg" TargetMode="External"/><Relationship Id="rId1649" Type="http://schemas.openxmlformats.org/officeDocument/2006/relationships/hyperlink" Target="https://myiipea.com/media/etudiant/photo/WhatsApp_Image_2023-09-22_at_10.00.43.jpeg" TargetMode="External"/><Relationship Id="rId819" Type="http://schemas.openxmlformats.org/officeDocument/2006/relationships/hyperlink" Target="https://myiipea.com/media/etudiant/photo/WhatsApp_Image_2023-10-09_at_11.04.58.jpeg" TargetMode="External"/><Relationship Id="rId818" Type="http://schemas.openxmlformats.org/officeDocument/2006/relationships/hyperlink" Target="https://myiipea.com/media/etudiant/photo/WhatsApp_Image_2023-10-16_at_14.02.12.jpeg" TargetMode="External"/><Relationship Id="rId817" Type="http://schemas.openxmlformats.org/officeDocument/2006/relationships/hyperlink" Target="https://myiipea.com/media/etudiant/photo/WhatsApp_Image_2023-10-10_at_3.31.54_PM.jpeg" TargetMode="External"/><Relationship Id="rId816" Type="http://schemas.openxmlformats.org/officeDocument/2006/relationships/hyperlink" Target="https://myiipea.com/media/etudiant/photo/WhatsApp_Image_2023-10-12_at_13.10.03.jpeg" TargetMode="External"/><Relationship Id="rId811" Type="http://schemas.openxmlformats.org/officeDocument/2006/relationships/hyperlink" Target="https://myiipea.com/media/etudiant/photo/WhatsApp_Image_2023-10-04_at_10.47.19_AM.jpeg" TargetMode="External"/><Relationship Id="rId810" Type="http://schemas.openxmlformats.org/officeDocument/2006/relationships/hyperlink" Target="https://myiipea.com/media/etudiant/photo/WhatsApp_Image_2023-11-06_at_1.01.29_PM.jpeg" TargetMode="External"/><Relationship Id="rId815" Type="http://schemas.openxmlformats.org/officeDocument/2006/relationships/hyperlink" Target="https://myiipea.com/media/etudiant/photo/WhatsApp_Image_2023-10-03_at_11_resized_rpgGslA.png" TargetMode="External"/><Relationship Id="rId814" Type="http://schemas.openxmlformats.org/officeDocument/2006/relationships/hyperlink" Target="https://myiipea.com/media/etudiant/photo/WhatsApp_Image_2023-10-06_at_10.54.24.jpeg" TargetMode="External"/><Relationship Id="rId813" Type="http://schemas.openxmlformats.org/officeDocument/2006/relationships/hyperlink" Target="https://myiipea.com/media/etudiant/photo/WhatsApp_Image_2023-10-16_at_15.37.04.jpeg" TargetMode="External"/><Relationship Id="rId812" Type="http://schemas.openxmlformats.org/officeDocument/2006/relationships/hyperlink" Target="https://myiipea.com/media/etudiant/photo/WhatsApp_Image_2023-10-12_at_14.39.50.jpeg" TargetMode="External"/><Relationship Id="rId2970" Type="http://schemas.openxmlformats.org/officeDocument/2006/relationships/hyperlink" Target="https://myiipea.com/media/etudiant/photo/WhatsApp_Image_2023-11-16_at_11.25.28_AM.jpeg" TargetMode="External"/><Relationship Id="rId1640" Type="http://schemas.openxmlformats.org/officeDocument/2006/relationships/hyperlink" Target="https://myiipea.com/media/etudiant/photo/WhatsApp_Image_2023-10-11_at_6_resized.png" TargetMode="External"/><Relationship Id="rId2971" Type="http://schemas.openxmlformats.org/officeDocument/2006/relationships/hyperlink" Target="https://myiipea.com/media/etudiant/photo/WhatsApp_Image_2023-10-06_at_15.19.49.jpeg" TargetMode="External"/><Relationship Id="rId1641" Type="http://schemas.openxmlformats.org/officeDocument/2006/relationships/hyperlink" Target="https://myiipea.com/media/etudiant/photo/unnamed-2_Ec1qih3_resized_resized_resized.png" TargetMode="External"/><Relationship Id="rId2972" Type="http://schemas.openxmlformats.org/officeDocument/2006/relationships/hyperlink" Target="https://myiipea.com/media/etudiant/photo/WhatsApp_Image_2023-10-09_at_13.51.04.jpeg" TargetMode="External"/><Relationship Id="rId1675" Type="http://schemas.openxmlformats.org/officeDocument/2006/relationships/hyperlink" Target="https://myiipea.com/media/etudiant/photo/WhatsApp_Image_2023-11-23_at_4.22.28_PM.jpeg" TargetMode="External"/><Relationship Id="rId1676" Type="http://schemas.openxmlformats.org/officeDocument/2006/relationships/hyperlink" Target="https://myiipea.com/media/etudiant/photo/WhatsApp_Image_2023-11-07_at_11.43.56.jpeg" TargetMode="External"/><Relationship Id="rId1677" Type="http://schemas.openxmlformats.org/officeDocument/2006/relationships/hyperlink" Target="https://myiipea.com/media/etudiant/photo/WhatsApp_Image_2023-11-20_at_6.33.51_PM.jpeg" TargetMode="External"/><Relationship Id="rId1678" Type="http://schemas.openxmlformats.org/officeDocument/2006/relationships/hyperlink" Target="https://myiipea.com/media/etudiant/photo/WhatsApp_Image_2023-10-12_at_15.52.52.jpeg" TargetMode="External"/><Relationship Id="rId1679" Type="http://schemas.openxmlformats.org/officeDocument/2006/relationships/hyperlink" Target="https://myiipea.com/media/etudiant/photo/239422487_405915444207421_8131329350063382999_n_Z7SA3F5.jpg" TargetMode="External"/><Relationship Id="rId849" Type="http://schemas.openxmlformats.org/officeDocument/2006/relationships/hyperlink" Target="https://myiipea.com/media/etudiant/photo/WhatsApp_Image_2023-10-13_at_18.35.40.jpeg" TargetMode="External"/><Relationship Id="rId844" Type="http://schemas.openxmlformats.org/officeDocument/2006/relationships/hyperlink" Target="https://myiipea.com/media/etudiant/photo/WhatsApp_Image_2023-10-02_at_16.12.34.jpeg" TargetMode="External"/><Relationship Id="rId843" Type="http://schemas.openxmlformats.org/officeDocument/2006/relationships/hyperlink" Target="https://myiipea.com/media/etudiant/photo/WhatsApp_Image_2023-10-27_at_11.34.32_VdLzP5O.jpeg" TargetMode="External"/><Relationship Id="rId842" Type="http://schemas.openxmlformats.org/officeDocument/2006/relationships/hyperlink" Target="https://myiipea.com/media/etudiant/photo/WhatsApp_Image_2023-11-16_at_12.36.47_PM.jpeg" TargetMode="External"/><Relationship Id="rId841" Type="http://schemas.openxmlformats.org/officeDocument/2006/relationships/hyperlink" Target="https://myiipea.com/media/etudiant/photo/WhatsApp_Image_2023-10-02_at_10.26.58.jpeg" TargetMode="External"/><Relationship Id="rId848" Type="http://schemas.openxmlformats.org/officeDocument/2006/relationships/hyperlink" Target="https://myiipea.com/media/etudiant/photo/WhatsApp_Image_2023-10-02_at_18.32.50.jpeg" TargetMode="External"/><Relationship Id="rId847" Type="http://schemas.openxmlformats.org/officeDocument/2006/relationships/hyperlink" Target="https://myiipea.com/media/etudiant/photo/WhatsApp_Image_2023-10-24_at_10.01.36.jpeg" TargetMode="External"/><Relationship Id="rId846" Type="http://schemas.openxmlformats.org/officeDocument/2006/relationships/hyperlink" Target="https://myiipea.com/media/etudiant/photo/WhatsApp_Image_2023-10-09_at_19.38.53.jpeg" TargetMode="External"/><Relationship Id="rId845" Type="http://schemas.openxmlformats.org/officeDocument/2006/relationships/hyperlink" Target="https://myiipea.com/media/etudiant/photo/WhatsApp_Image_2023-10-13_at_15.41.01.jpeg" TargetMode="External"/><Relationship Id="rId1670" Type="http://schemas.openxmlformats.org/officeDocument/2006/relationships/hyperlink" Target="https://myiipea.com/media/etudiant/photo/WhatsApp_Image_2023-10-13_at_15.55.14.jpeg" TargetMode="External"/><Relationship Id="rId840" Type="http://schemas.openxmlformats.org/officeDocument/2006/relationships/hyperlink" Target="https://myiipea.com/media/etudiant/photo/WhatsApp_Image_2023-10-04_at_11.58.33.jpeg" TargetMode="External"/><Relationship Id="rId1671" Type="http://schemas.openxmlformats.org/officeDocument/2006/relationships/hyperlink" Target="https://myiipea.com/media/etudiant/photo/WhatsApp_Image_2023-10-12_at_17.11.04.jpeg" TargetMode="External"/><Relationship Id="rId1672" Type="http://schemas.openxmlformats.org/officeDocument/2006/relationships/hyperlink" Target="https://myiipea.com/media/etudiant/photo/WhatsApp_Image_2023-10-10_at_10_resized.png" TargetMode="External"/><Relationship Id="rId1673" Type="http://schemas.openxmlformats.org/officeDocument/2006/relationships/hyperlink" Target="https://myiipea.com/media/etudiant/photo/86784899-3329-4519-8FD0-6BAE7F3D7D98_resized.png" TargetMode="External"/><Relationship Id="rId1674" Type="http://schemas.openxmlformats.org/officeDocument/2006/relationships/hyperlink" Target="https://myiipea.com/media/etudiant/photo/WhatsApp_Image_2023-10-04_at_11.07.41.jpeg" TargetMode="External"/><Relationship Id="rId1664" Type="http://schemas.openxmlformats.org/officeDocument/2006/relationships/hyperlink" Target="https://myiipea.com/media/etudiant/photo/WhatsApp_Image_2023-10-06_at_11_resized.png" TargetMode="External"/><Relationship Id="rId2995" Type="http://schemas.openxmlformats.org/officeDocument/2006/relationships/hyperlink" Target="https://myiipea.com/media/etudiant/photo/WhatsApp_Image_2023-10-11_at_14.55.48.jpeg" TargetMode="External"/><Relationship Id="rId1665" Type="http://schemas.openxmlformats.org/officeDocument/2006/relationships/hyperlink" Target="https://myiipea.com/media/etudiant/photo/WhatsApp_Image_2023-10-19_at_16.36.20.jpeg" TargetMode="External"/><Relationship Id="rId2996" Type="http://schemas.openxmlformats.org/officeDocument/2006/relationships/hyperlink" Target="https://myiipea.com/media/etudiant/photo/WhatsApp_Image_2023-10-09_at_15.00.54.jpeg" TargetMode="External"/><Relationship Id="rId1666" Type="http://schemas.openxmlformats.org/officeDocument/2006/relationships/hyperlink" Target="https://myiipea.com/media/etudiant/photo/WhatsApp_Image_2023-10-14_at_10.54.16.jpeg" TargetMode="External"/><Relationship Id="rId2997" Type="http://schemas.openxmlformats.org/officeDocument/2006/relationships/hyperlink" Target="https://myiipea.com/media/etudiant/photo/WhatsApp_Image_2023-10-13_at_14.02.34.jpeg" TargetMode="External"/><Relationship Id="rId1667" Type="http://schemas.openxmlformats.org/officeDocument/2006/relationships/hyperlink" Target="https://myiipea.com/media/etudiant/photo/WhatsApp_Image_2023-10-09_at_17.32.46.jpeg" TargetMode="External"/><Relationship Id="rId2998" Type="http://schemas.openxmlformats.org/officeDocument/2006/relationships/hyperlink" Target="https://myiipea.com/media/etudiant/photo/IIPEA_OoH84bf.jpg" TargetMode="External"/><Relationship Id="rId1668" Type="http://schemas.openxmlformats.org/officeDocument/2006/relationships/hyperlink" Target="https://myiipea.com/media/etudiant/photo/WhatsApp_Image_2023-09-29_at_16.00.16.jpeg" TargetMode="External"/><Relationship Id="rId2999" Type="http://schemas.openxmlformats.org/officeDocument/2006/relationships/hyperlink" Target="https://myiipea.com/media/etudiant/photo/WhatsApp_Image_2023-10-23_at_11.02.37.jpeg" TargetMode="External"/><Relationship Id="rId1669" Type="http://schemas.openxmlformats.org/officeDocument/2006/relationships/hyperlink" Target="https://myiipea.com/media/etudiant/photo/WhatsApp_Image_2023-09-15_at_14.29.58.jpeg" TargetMode="External"/><Relationship Id="rId839" Type="http://schemas.openxmlformats.org/officeDocument/2006/relationships/hyperlink" Target="https://myiipea.com/media/etudiant/photo/IIPEA_g9bIV0E.jpg" TargetMode="External"/><Relationship Id="rId838" Type="http://schemas.openxmlformats.org/officeDocument/2006/relationships/hyperlink" Target="https://myiipea.com/media/etudiant/photo/WhatsApp_Image_2023-10-10_at_12.32.13.jpeg" TargetMode="External"/><Relationship Id="rId833" Type="http://schemas.openxmlformats.org/officeDocument/2006/relationships/hyperlink" Target="https://myiipea.com/media/etudiant/photo/WhatsApp_Image_2023-10-24_at_16.51.01.jpeg" TargetMode="External"/><Relationship Id="rId832" Type="http://schemas.openxmlformats.org/officeDocument/2006/relationships/hyperlink" Target="https://myiipea.com/media/etudiant/photo/WhatsApp_Image_2023-10-24_at_16.15.47.jpeg" TargetMode="External"/><Relationship Id="rId831" Type="http://schemas.openxmlformats.org/officeDocument/2006/relationships/hyperlink" Target="https://myiipea.com/media/etudiant/photo/WhatsApp_Image_2023-10-05_at_10.05.55.jpeg" TargetMode="External"/><Relationship Id="rId830" Type="http://schemas.openxmlformats.org/officeDocument/2006/relationships/hyperlink" Target="https://myiipea.com/media/etudiant/photo/WhatsApp_Image_2023-10-02_at_17.16.15.jpeg" TargetMode="External"/><Relationship Id="rId837" Type="http://schemas.openxmlformats.org/officeDocument/2006/relationships/hyperlink" Target="https://myiipea.com/media/etudiant/photo/WhatsApp_Image_2023-10-18_at_3.15.51_PM.jpeg" TargetMode="External"/><Relationship Id="rId836" Type="http://schemas.openxmlformats.org/officeDocument/2006/relationships/hyperlink" Target="https://myiipea.com/media/etudiant/photo/WhatsApp_Image_2023-10-31_at_10.41.58.jpeg" TargetMode="External"/><Relationship Id="rId835" Type="http://schemas.openxmlformats.org/officeDocument/2006/relationships/hyperlink" Target="https://myiipea.com/media/etudiant/photo/WhatsApp_Image_2023-11-06_at_11_resized.png" TargetMode="External"/><Relationship Id="rId834" Type="http://schemas.openxmlformats.org/officeDocument/2006/relationships/hyperlink" Target="https://myiipea.com/media/etudiant/photo/WhatsApp_Image_2023-11-20_at_14.39.23.jpeg" TargetMode="External"/><Relationship Id="rId2990" Type="http://schemas.openxmlformats.org/officeDocument/2006/relationships/hyperlink" Target="https://myiipea.com/media/etudiant/photo/WhatsApp_Image_2023-10-12_at_15.46.39.jpeg" TargetMode="External"/><Relationship Id="rId1660" Type="http://schemas.openxmlformats.org/officeDocument/2006/relationships/hyperlink" Target="https://myiipea.com/media/etudiant/photo/WhatsApp_Image_2023-09-28_at_11.46.50.jpeg" TargetMode="External"/><Relationship Id="rId2991" Type="http://schemas.openxmlformats.org/officeDocument/2006/relationships/hyperlink" Target="https://myiipea.com/media/etudiant/photo/WhatsApp_Image_2023-10-06_at_10.03.30.jpeg" TargetMode="External"/><Relationship Id="rId1661" Type="http://schemas.openxmlformats.org/officeDocument/2006/relationships/hyperlink" Target="https://myiipea.com/media/etudiant/photo/WhatsApp_Image_2023-10-03_at_15.41.18.jpeg" TargetMode="External"/><Relationship Id="rId2992" Type="http://schemas.openxmlformats.org/officeDocument/2006/relationships/hyperlink" Target="https://myiipea.com/media/etudiant/photo/WhatsApp_Image_2023-09-25_at_11.13.44.jpeg" TargetMode="External"/><Relationship Id="rId1662" Type="http://schemas.openxmlformats.org/officeDocument/2006/relationships/hyperlink" Target="https://myiipea.com/media/etudiant/photo/WhatsApp_Image_2023-10-09_at_15.11.37.jpeg" TargetMode="External"/><Relationship Id="rId2993" Type="http://schemas.openxmlformats.org/officeDocument/2006/relationships/hyperlink" Target="https://myiipea.com/media/etudiant/photo/WhatsApp_Image_2023-09-28_at_18.44.15.jpeg" TargetMode="External"/><Relationship Id="rId1663" Type="http://schemas.openxmlformats.org/officeDocument/2006/relationships/hyperlink" Target="https://myiipea.com/media/etudiant/photo/WhatsApp_Image_2023-10-05_at_2.23.24_PM.jpeg" TargetMode="External"/><Relationship Id="rId2994" Type="http://schemas.openxmlformats.org/officeDocument/2006/relationships/hyperlink" Target="https://myiipea.com/media/etudiant/photo/WhatsApp_Image_2023-10-23_at_17.26.48.jpeg" TargetMode="External"/><Relationship Id="rId2148" Type="http://schemas.openxmlformats.org/officeDocument/2006/relationships/hyperlink" Target="https://myiipea.com/media/etudiant/photo/WhatsApp_Image_2023-11-14_at_15.04.32.jpeg" TargetMode="External"/><Relationship Id="rId2149" Type="http://schemas.openxmlformats.org/officeDocument/2006/relationships/hyperlink" Target="https://myiipea.com/media/etudiant/photo/WhatsApp_Image_2023-10-27_at_16.28.56.jpeg" TargetMode="External"/><Relationship Id="rId3479" Type="http://schemas.openxmlformats.org/officeDocument/2006/relationships/hyperlink" Target="https://myiipea.com/media/etudiant/photo/WhatsApp_Image_2023-09-26_at_09.34.53.jpeg" TargetMode="External"/><Relationship Id="rId3470" Type="http://schemas.openxmlformats.org/officeDocument/2006/relationships/hyperlink" Target="https://myiipea.com/media/etudiant/photo/WhatsApp_Image_2023-11-17_at_11.58.24_AM.jpeg" TargetMode="External"/><Relationship Id="rId2140" Type="http://schemas.openxmlformats.org/officeDocument/2006/relationships/hyperlink" Target="https://myiipea.com/media/etudiant/photo/WhatsApp_Image_2023-10-05_at_17.28.31.jpeg" TargetMode="External"/><Relationship Id="rId3472" Type="http://schemas.openxmlformats.org/officeDocument/2006/relationships/hyperlink" Target="https://myiipea.com/media/etudiant/photo/WhatsApp_Image_2023-10-07_at_12.19.17.jpeg" TargetMode="External"/><Relationship Id="rId2141" Type="http://schemas.openxmlformats.org/officeDocument/2006/relationships/hyperlink" Target="https://myiipea.com/media/etudiant/photo/t%C3%A9l%C3%A9charg%C3%A9_nvuad5T.jpeg" TargetMode="External"/><Relationship Id="rId3471" Type="http://schemas.openxmlformats.org/officeDocument/2006/relationships/hyperlink" Target="https://myiipea.com/media/etudiant/photo/WhatsApp_Image_2023-10-04_at_12.40.00.jpeg" TargetMode="External"/><Relationship Id="rId2142" Type="http://schemas.openxmlformats.org/officeDocument/2006/relationships/hyperlink" Target="https://myiipea.com/media/etudiant/photo/WhatsApp_Image_2023-10-25_at_10.30.21.jpeg" TargetMode="External"/><Relationship Id="rId3474" Type="http://schemas.openxmlformats.org/officeDocument/2006/relationships/hyperlink" Target="https://myiipea.com/media/etudiant/photo/WhatsApp_Image_2023-10-11_at_15.04.06.jpeg" TargetMode="External"/><Relationship Id="rId2143" Type="http://schemas.openxmlformats.org/officeDocument/2006/relationships/hyperlink" Target="https://myiipea.com/media/etudiant/photo/WhatsApp_Image_2023-11-27_at_3.56.14_PM.jpeg" TargetMode="External"/><Relationship Id="rId3473" Type="http://schemas.openxmlformats.org/officeDocument/2006/relationships/hyperlink" Target="https://myiipea.com/media/etudiant/photo/WhatsApp_Image_2023-10-02_at_5.55.26_PM.jpeg" TargetMode="External"/><Relationship Id="rId2144" Type="http://schemas.openxmlformats.org/officeDocument/2006/relationships/hyperlink" Target="https://myiipea.com/media/etudiant/photo/WhatsApp_Image_2023-10-10_at_11.49.26_1.jpeg" TargetMode="External"/><Relationship Id="rId3476" Type="http://schemas.openxmlformats.org/officeDocument/2006/relationships/hyperlink" Target="https://myiipea.com/media/etudiant/photo/WhatsApp_Image_2023-11-23_at_5.21.51_PM.jpeg" TargetMode="External"/><Relationship Id="rId2145" Type="http://schemas.openxmlformats.org/officeDocument/2006/relationships/hyperlink" Target="https://myiipea.com/media/etudiant/photo/WhatsApp_Image_2023-10-12_at_12.19.45.jpeg" TargetMode="External"/><Relationship Id="rId3475" Type="http://schemas.openxmlformats.org/officeDocument/2006/relationships/hyperlink" Target="https://myiipea.com/media/etudiant/photo/WhatsApp_Image_2023-10-04_at_14.38.31.jpeg" TargetMode="External"/><Relationship Id="rId2146" Type="http://schemas.openxmlformats.org/officeDocument/2006/relationships/hyperlink" Target="https://myiipea.com/media/etudiant/photo/WhatsApp_Image_2023-10-04_at_11.43.54.jpeg" TargetMode="External"/><Relationship Id="rId3478" Type="http://schemas.openxmlformats.org/officeDocument/2006/relationships/hyperlink" Target="https://myiipea.com/media/etudiant/photo/WhatsApp_Image_2023-09-29_at_15_resized_NC7tuhc.png" TargetMode="External"/><Relationship Id="rId2147" Type="http://schemas.openxmlformats.org/officeDocument/2006/relationships/hyperlink" Target="https://myiipea.com/media/etudiant/photo/WhatsApp_Image_2023-10-24_at_09.54.41.jpeg" TargetMode="External"/><Relationship Id="rId3477" Type="http://schemas.openxmlformats.org/officeDocument/2006/relationships/hyperlink" Target="https://myiipea.com/media/etudiant/photo/WhatsApp_Image_2023-10-04_at_10.34.30.jpeg" TargetMode="External"/><Relationship Id="rId2137" Type="http://schemas.openxmlformats.org/officeDocument/2006/relationships/hyperlink" Target="https://myiipea.com/media/etudiant/photo/WhatsApp_Image_2023-10-02_at_17.11.19.jpeg" TargetMode="External"/><Relationship Id="rId3469" Type="http://schemas.openxmlformats.org/officeDocument/2006/relationships/hyperlink" Target="https://myiipea.com/media/etudiant/photo/WhatsApp_Image_2023-12-04_at_10_resized_eom80sn.png" TargetMode="External"/><Relationship Id="rId2138" Type="http://schemas.openxmlformats.org/officeDocument/2006/relationships/hyperlink" Target="https://myiipea.com/media/etudiant/photo/WhatsApp_Image_2023-10-05_at_12.14.35.jpeg" TargetMode="External"/><Relationship Id="rId3468" Type="http://schemas.openxmlformats.org/officeDocument/2006/relationships/hyperlink" Target="https://myiipea.com/media/etudiant/photo/WhatsApp_Image_2023-10-06_at_13.13.41.jpeg" TargetMode="External"/><Relationship Id="rId2139" Type="http://schemas.openxmlformats.org/officeDocument/2006/relationships/hyperlink" Target="https://myiipea.com/media/etudiant/photo/WhatsApp_Image_2023-10-16_at_14.05.10.jpeg" TargetMode="External"/><Relationship Id="rId3461" Type="http://schemas.openxmlformats.org/officeDocument/2006/relationships/hyperlink" Target="https://myiipea.com/media/etudiant/photo/WhatsApp_Image_2023-11-21_at_12.14.47.jpeg" TargetMode="External"/><Relationship Id="rId2130" Type="http://schemas.openxmlformats.org/officeDocument/2006/relationships/hyperlink" Target="https://myiipea.com/media/etudiant/photo/WhatsApp_Image_2023-10-19_at_18.52.09.jpeg" TargetMode="External"/><Relationship Id="rId3460" Type="http://schemas.openxmlformats.org/officeDocument/2006/relationships/hyperlink" Target="https://myiipea.com/media/etudiant/photo/WhatsApp_Image_2023-10-03_at_17.51.46.jpeg" TargetMode="External"/><Relationship Id="rId2131" Type="http://schemas.openxmlformats.org/officeDocument/2006/relationships/hyperlink" Target="https://myiipea.com/media/etudiant/photo/WhatsApp_Image_2023-10-23_at_10.54.53.jpeg" TargetMode="External"/><Relationship Id="rId3463" Type="http://schemas.openxmlformats.org/officeDocument/2006/relationships/hyperlink" Target="https://myiipea.com/media/etudiant/photo/WhatsApp_Image_2023-10-17_at_1.01.04_PM_T8jwinA.jpeg" TargetMode="External"/><Relationship Id="rId2132" Type="http://schemas.openxmlformats.org/officeDocument/2006/relationships/hyperlink" Target="https://myiipea.com/media/etudiant/photo/WhatsApp_Image_2023-11-20_at_6.50.45_PM.jpeg" TargetMode="External"/><Relationship Id="rId3462" Type="http://schemas.openxmlformats.org/officeDocument/2006/relationships/hyperlink" Target="https://myiipea.com/media/etudiant/photo/WhatsApp_Image_2023-10-24_at_12.36.54.jpeg" TargetMode="External"/><Relationship Id="rId2133" Type="http://schemas.openxmlformats.org/officeDocument/2006/relationships/hyperlink" Target="https://myiipea.com/media/etudiant/photo/unnamed-2_GyhnqSD.png" TargetMode="External"/><Relationship Id="rId3465" Type="http://schemas.openxmlformats.org/officeDocument/2006/relationships/hyperlink" Target="https://myiipea.com/media/etudiant/photo/WhatsApp_Image_2023-11-03_at_12.05.09.jpeg" TargetMode="External"/><Relationship Id="rId2134" Type="http://schemas.openxmlformats.org/officeDocument/2006/relationships/hyperlink" Target="https://myiipea.com/media/etudiant/photo/WhatsApp_Image_2023-10-16_at_17.38.09.jpeg" TargetMode="External"/><Relationship Id="rId3464" Type="http://schemas.openxmlformats.org/officeDocument/2006/relationships/hyperlink" Target="https://myiipea.com/media/etudiant/photo/WhatsApp_Image_2023-11-10_at_13.28.11.jpeg" TargetMode="External"/><Relationship Id="rId2135" Type="http://schemas.openxmlformats.org/officeDocument/2006/relationships/hyperlink" Target="https://myiipea.com/media/etudiant/photo/WhatsApp_Image_2023-09-19_at_12.00.38.jpeg" TargetMode="External"/><Relationship Id="rId3467" Type="http://schemas.openxmlformats.org/officeDocument/2006/relationships/hyperlink" Target="https://myiipea.com/media/etudiant/photo/WhatsApp_Image_2023-09-22_at_14.45.06.jpeg" TargetMode="External"/><Relationship Id="rId2136" Type="http://schemas.openxmlformats.org/officeDocument/2006/relationships/hyperlink" Target="https://myiipea.com/media/etudiant/photo/WhatsApp_Image_2023-10-16_at_3.17.43_PM.jpeg" TargetMode="External"/><Relationship Id="rId3466" Type="http://schemas.openxmlformats.org/officeDocument/2006/relationships/hyperlink" Target="https://myiipea.com/media/etudiant/photo/WhatsApp_Image_2023-10-12_at_14.06.07.jpeg" TargetMode="External"/><Relationship Id="rId3490" Type="http://schemas.openxmlformats.org/officeDocument/2006/relationships/hyperlink" Target="https://myiipea.com/media/etudiant/photo/WhatsApp_Image_2023-10-23_at_3.00.57_PM.jpeg" TargetMode="External"/><Relationship Id="rId2160" Type="http://schemas.openxmlformats.org/officeDocument/2006/relationships/hyperlink" Target="https://myiipea.com/media/etudiant/photo/WhatsApp_Image_2023-10-02_at_10.16.46.jpeg" TargetMode="External"/><Relationship Id="rId3492" Type="http://schemas.openxmlformats.org/officeDocument/2006/relationships/hyperlink" Target="https://myiipea.com/media/etudiant/photo/WhatsApp_Image_2023-10-24_at_5.23.55_PM.jpeg" TargetMode="External"/><Relationship Id="rId2161" Type="http://schemas.openxmlformats.org/officeDocument/2006/relationships/hyperlink" Target="https://myiipea.com/media/etudiant/photo/WhatsApp_Image_2023-10-03_at_13.04.18.jpeg" TargetMode="External"/><Relationship Id="rId3491" Type="http://schemas.openxmlformats.org/officeDocument/2006/relationships/hyperlink" Target="https://myiipea.com/media/etudiant/photo/WhatsApp_Image_2023-10-02_at_17.01.41.jpeg" TargetMode="External"/><Relationship Id="rId2162" Type="http://schemas.openxmlformats.org/officeDocument/2006/relationships/hyperlink" Target="https://myiipea.com/media/etudiant/photo/WhatsApp_Image_2023-11-09_at_15.02.44.jpeg" TargetMode="External"/><Relationship Id="rId3494" Type="http://schemas.openxmlformats.org/officeDocument/2006/relationships/hyperlink" Target="https://myiipea.com/media/etudiant/photo/WhatsApp_Image_2023-09-28_at_17.10.06.jpeg" TargetMode="External"/><Relationship Id="rId2163" Type="http://schemas.openxmlformats.org/officeDocument/2006/relationships/hyperlink" Target="https://myiipea.com/media/etudiant/photo/WhatsApp_Image_2023-10-13_at_14.55.27.jpeg" TargetMode="External"/><Relationship Id="rId3493" Type="http://schemas.openxmlformats.org/officeDocument/2006/relationships/hyperlink" Target="https://myiipea.com/media/etudiant/photo/WhatsApp_Image_2023-10-09_at_18.27.13.jpeg" TargetMode="External"/><Relationship Id="rId2164" Type="http://schemas.openxmlformats.org/officeDocument/2006/relationships/hyperlink" Target="https://myiipea.com/media/etudiant/photo/WhatsApp_Image_2023-10-10_at_10.51.06.jpeg" TargetMode="External"/><Relationship Id="rId3496" Type="http://schemas.openxmlformats.org/officeDocument/2006/relationships/hyperlink" Target="https://myiipea.com/media/etudiant/photo/WhatsApp_Image_2023-10-23_at_15.22.59_7_aXNwftf.jpeg" TargetMode="External"/><Relationship Id="rId2165" Type="http://schemas.openxmlformats.org/officeDocument/2006/relationships/hyperlink" Target="https://myiipea.com/media/etudiant/photo/WhatsApp_Image_2023-10-16_at_18.16.27.jpeg" TargetMode="External"/><Relationship Id="rId3495" Type="http://schemas.openxmlformats.org/officeDocument/2006/relationships/hyperlink" Target="https://myiipea.com/media/etudiant/photo/WhatsApp_Image_2023-09-29_at_14.10.21.jpeg" TargetMode="External"/><Relationship Id="rId2166" Type="http://schemas.openxmlformats.org/officeDocument/2006/relationships/hyperlink" Target="https://myiipea.com/media/etudiant/photo/KOUAKOU_KOFFI_resized.png" TargetMode="External"/><Relationship Id="rId3498" Type="http://schemas.openxmlformats.org/officeDocument/2006/relationships/hyperlink" Target="https://myiipea.com/media/etudiant/photo/WhatsApp_Image_2023-10-19_at_12.19.26_PM.jpeg" TargetMode="External"/><Relationship Id="rId2167" Type="http://schemas.openxmlformats.org/officeDocument/2006/relationships/hyperlink" Target="https://myiipea.com/media/etudiant/photo/WhatsApp_Image_2023-10-25_at_4.43.03_PM.jpeg" TargetMode="External"/><Relationship Id="rId3497" Type="http://schemas.openxmlformats.org/officeDocument/2006/relationships/hyperlink" Target="https://myiipea.com/media/etudiant/photo/WhatsApp_Image_2023-09-21_at_10.30.13.jpeg" TargetMode="External"/><Relationship Id="rId2168" Type="http://schemas.openxmlformats.org/officeDocument/2006/relationships/hyperlink" Target="https://myiipea.com/media/etudiant/photo/WhatsApp_Image_2023-11-30_at_5.02.54_PM.jpeg" TargetMode="External"/><Relationship Id="rId2169" Type="http://schemas.openxmlformats.org/officeDocument/2006/relationships/hyperlink" Target="https://myiipea.com/media/etudiant/photo/WhatsApp_Image_2023-10-20_at_4.16.54_PM.jpeg" TargetMode="External"/><Relationship Id="rId3499" Type="http://schemas.openxmlformats.org/officeDocument/2006/relationships/hyperlink" Target="https://myiipea.com/media/etudiant/photo/WhatsApp_Image_2023-10-20_at_15.05.35.jpeg" TargetMode="External"/><Relationship Id="rId2159" Type="http://schemas.openxmlformats.org/officeDocument/2006/relationships/hyperlink" Target="https://myiipea.com/media/etudiant/photo/WhatsApp_Image_2023-10-03_at_15.30.10.jpeg" TargetMode="External"/><Relationship Id="rId3481" Type="http://schemas.openxmlformats.org/officeDocument/2006/relationships/hyperlink" Target="https://myiipea.com/media/etudiant/photo/WhatsApp_Image_2023-10-30_at_14.08.33.jpeg" TargetMode="External"/><Relationship Id="rId2150" Type="http://schemas.openxmlformats.org/officeDocument/2006/relationships/hyperlink" Target="https://myiipea.com/media/etudiant/photo/ee805a7a-bd0f-4cfc-a70e-cbab604ca96a_otTTEGJ.jpeg" TargetMode="External"/><Relationship Id="rId3480" Type="http://schemas.openxmlformats.org/officeDocument/2006/relationships/hyperlink" Target="https://myiipea.com/media/etudiant/photo/WhatsApp_Image_2023-10-05_at_13.25.37.jpeg" TargetMode="External"/><Relationship Id="rId2151" Type="http://schemas.openxmlformats.org/officeDocument/2006/relationships/hyperlink" Target="https://myiipea.com/media/etudiant/photo/WhatsApp_Image_2023-10-12_at_12.42.39.jpeg" TargetMode="External"/><Relationship Id="rId3483" Type="http://schemas.openxmlformats.org/officeDocument/2006/relationships/hyperlink" Target="https://myiipea.com/media/etudiant/photo/WhatsApp_Image_2023-10-03_at_6.03.16_PM.jpeg" TargetMode="External"/><Relationship Id="rId2152" Type="http://schemas.openxmlformats.org/officeDocument/2006/relationships/hyperlink" Target="https://myiipea.com/media/etudiant/photo/WhatsApp_Image_2023-10-30_at_17.06.23.jpeg" TargetMode="External"/><Relationship Id="rId3482" Type="http://schemas.openxmlformats.org/officeDocument/2006/relationships/hyperlink" Target="https://myiipea.com/media/etudiant/photo/WhatsApp_Image_2023-09-29_at_13.22.41.jpeg" TargetMode="External"/><Relationship Id="rId2153" Type="http://schemas.openxmlformats.org/officeDocument/2006/relationships/hyperlink" Target="https://myiipea.com/media/etudiant/photo/WhatsApp_Image_2023-10-03_at_19_resized.png" TargetMode="External"/><Relationship Id="rId3485" Type="http://schemas.openxmlformats.org/officeDocument/2006/relationships/hyperlink" Target="https://myiipea.com/media/etudiant/photo/WhatsApp_Image_2023-10-13_at_16.14.09.jpeg" TargetMode="External"/><Relationship Id="rId2154" Type="http://schemas.openxmlformats.org/officeDocument/2006/relationships/hyperlink" Target="https://myiipea.com/media/etudiant/photo/WhatsApp_Image_2023-10-02_at_4.20.46_PM.jpeg" TargetMode="External"/><Relationship Id="rId3484" Type="http://schemas.openxmlformats.org/officeDocument/2006/relationships/hyperlink" Target="https://myiipea.com/media/etudiant/photo/WhatsApp_Image_2023-10-05_at_3.43.44_PM.jpeg" TargetMode="External"/><Relationship Id="rId2155" Type="http://schemas.openxmlformats.org/officeDocument/2006/relationships/hyperlink" Target="https://myiipea.com/media/etudiant/photo/WhatsApp_Image_2023-11-07_at_15.50.59.jpeg" TargetMode="External"/><Relationship Id="rId3487" Type="http://schemas.openxmlformats.org/officeDocument/2006/relationships/hyperlink" Target="https://myiipea.com/media/etudiant/photo/WhatsApp_Image_2023-10-12_at_12.06.29_PM.jpeg" TargetMode="External"/><Relationship Id="rId2156" Type="http://schemas.openxmlformats.org/officeDocument/2006/relationships/hyperlink" Target="https://myiipea.com/media/etudiant/photo/WhatsApp_Image_2023-10-30_at_16.53.42.jpeg" TargetMode="External"/><Relationship Id="rId3486" Type="http://schemas.openxmlformats.org/officeDocument/2006/relationships/hyperlink" Target="https://myiipea.com/media/etudiant/photo/WhatsApp_Image_2023-10-30_at_12.32.03.jpeg" TargetMode="External"/><Relationship Id="rId2157" Type="http://schemas.openxmlformats.org/officeDocument/2006/relationships/hyperlink" Target="https://myiipea.com/media/etudiant/photo/WhatsApp_Image_2023-10-09_at_6.22.16_PM.jpeg" TargetMode="External"/><Relationship Id="rId3489" Type="http://schemas.openxmlformats.org/officeDocument/2006/relationships/hyperlink" Target="https://myiipea.com/media/etudiant/photo/WhatsApp_Image_2023-10-18_at_15.17.36.jpeg" TargetMode="External"/><Relationship Id="rId2158" Type="http://schemas.openxmlformats.org/officeDocument/2006/relationships/hyperlink" Target="https://myiipea.com/media/etudiant/photo/WhatsApp_Image_2023-10-19_at_16.00.53.jpeg" TargetMode="External"/><Relationship Id="rId3488" Type="http://schemas.openxmlformats.org/officeDocument/2006/relationships/hyperlink" Target="https://myiipea.com/media/etudiant/photo/WhatsApp_Image_2023-10-27_at_11.32.17.jpeg" TargetMode="External"/><Relationship Id="rId2104" Type="http://schemas.openxmlformats.org/officeDocument/2006/relationships/hyperlink" Target="https://myiipea.com/media/etudiant/photo/WhatsApp_Image_2023-10-12_at_08.33.46.jpeg" TargetMode="External"/><Relationship Id="rId3436" Type="http://schemas.openxmlformats.org/officeDocument/2006/relationships/hyperlink" Target="https://myiipea.com/media/etudiant/photo/WhatsApp_Image_2023-11-07_at_4.29.45_PM.jpeg" TargetMode="External"/><Relationship Id="rId2105" Type="http://schemas.openxmlformats.org/officeDocument/2006/relationships/hyperlink" Target="https://myiipea.com/media/etudiant/photo/WhatsApp_Image_2023-11-22_at_10.41.05_AM.jpeg" TargetMode="External"/><Relationship Id="rId3435" Type="http://schemas.openxmlformats.org/officeDocument/2006/relationships/hyperlink" Target="https://myiipea.com/media/etudiant/photo/WhatsApp_Image_2023-11-24_at_11.12.37.jpeg" TargetMode="External"/><Relationship Id="rId2106" Type="http://schemas.openxmlformats.org/officeDocument/2006/relationships/hyperlink" Target="https://myiipea.com/media/etudiant/photo/WhatsApp_Image_2023-10-27_at_11.15.27.jpeg" TargetMode="External"/><Relationship Id="rId3438" Type="http://schemas.openxmlformats.org/officeDocument/2006/relationships/hyperlink" Target="https://myiipea.com/media/etudiant/photo/WhatsApp_Image_2023-09-26_%C3%A0_13.23.59.jpg" TargetMode="External"/><Relationship Id="rId2107" Type="http://schemas.openxmlformats.org/officeDocument/2006/relationships/hyperlink" Target="https://myiipea.com/media/etudiant/photo/WhatsApp_Image_2023-10-06_at_13.11.15.jpeg" TargetMode="External"/><Relationship Id="rId3437" Type="http://schemas.openxmlformats.org/officeDocument/2006/relationships/hyperlink" Target="https://myiipea.com/media/etudiant/photo/WhatsApp_Image_2023-11-07_at_13.40.49.jpeg" TargetMode="External"/><Relationship Id="rId2108" Type="http://schemas.openxmlformats.org/officeDocument/2006/relationships/hyperlink" Target="https://myiipea.com/media/etudiant/photo/WhatsApp_Image_2023-10-02_at_11.21.34.jpeg" TargetMode="External"/><Relationship Id="rId2109" Type="http://schemas.openxmlformats.org/officeDocument/2006/relationships/hyperlink" Target="https://myiipea.com/media/etudiant/photo/WhatsApp_Image_2023-10-11_at_11.22.22.jpeg" TargetMode="External"/><Relationship Id="rId3439" Type="http://schemas.openxmlformats.org/officeDocument/2006/relationships/hyperlink" Target="https://myiipea.com/media/etudiant/photo/WhatsApp_Image_2023-11-24_at_15.53.32.jpeg" TargetMode="External"/><Relationship Id="rId3430" Type="http://schemas.openxmlformats.org/officeDocument/2006/relationships/hyperlink" Target="https://myiipea.com/media/etudiant/photo/WhatsApp_Image_2023-10-14_at_08.50.55.jpeg" TargetMode="External"/><Relationship Id="rId2100" Type="http://schemas.openxmlformats.org/officeDocument/2006/relationships/hyperlink" Target="https://myiipea.com/media/etudiant/photo/WhatsApp_Image_2023-10-27_at_7.00.22_PM.jpeg" TargetMode="External"/><Relationship Id="rId3432" Type="http://schemas.openxmlformats.org/officeDocument/2006/relationships/hyperlink" Target="https://myiipea.com/media/etudiant/photo/t%C3%A9l%C3%A9chargement_T2SYNMO.png" TargetMode="External"/><Relationship Id="rId2101" Type="http://schemas.openxmlformats.org/officeDocument/2006/relationships/hyperlink" Target="https://myiipea.com/media/etudiant/photo/WhatsApp_Image_2023-11-09_at_4.05.25_PM.jpeg" TargetMode="External"/><Relationship Id="rId3431" Type="http://schemas.openxmlformats.org/officeDocument/2006/relationships/hyperlink" Target="https://myiipea.com/media/etudiant/photo/WhatsApp_Image_2023-10-23_at_4.16.32_PM.jpeg" TargetMode="External"/><Relationship Id="rId2102" Type="http://schemas.openxmlformats.org/officeDocument/2006/relationships/hyperlink" Target="https://myiipea.com/media/etudiant/photo/WhatsApp_Image_2023-10-03_at_11.14.56_AM_03xCwfs.jpeg" TargetMode="External"/><Relationship Id="rId3434" Type="http://schemas.openxmlformats.org/officeDocument/2006/relationships/hyperlink" Target="https://myiipea.com/media/etudiant/photo/WhatsApp_Image_2023-09-21_at_15.07.51.jpeg" TargetMode="External"/><Relationship Id="rId2103" Type="http://schemas.openxmlformats.org/officeDocument/2006/relationships/hyperlink" Target="https://myiipea.com/media/etudiant/photo/WhatsApp_Image_2023-09-28_at_16.50.51.jpeg" TargetMode="External"/><Relationship Id="rId3433" Type="http://schemas.openxmlformats.org/officeDocument/2006/relationships/hyperlink" Target="https://myiipea.com/media/etudiant/photo/WhatsApp_Image_2023-11-13_at_11.13.31.jpeg" TargetMode="External"/><Relationship Id="rId3425" Type="http://schemas.openxmlformats.org/officeDocument/2006/relationships/hyperlink" Target="https://myiipea.com/media/etudiant/photo/WhatsApp_Image_2023-10-19_at_18.21.17.jpeg" TargetMode="External"/><Relationship Id="rId3424" Type="http://schemas.openxmlformats.org/officeDocument/2006/relationships/hyperlink" Target="https://myiipea.com/media/etudiant/photo/WhatsApp_Image_2023-10-12_at_15.53.26.jpeg" TargetMode="External"/><Relationship Id="rId3427" Type="http://schemas.openxmlformats.org/officeDocument/2006/relationships/hyperlink" Target="https://myiipea.com/media/etudiant/photo/WhatsApp_Image_2023-10-20_at_12.48.56_PM.jpeg" TargetMode="External"/><Relationship Id="rId3426" Type="http://schemas.openxmlformats.org/officeDocument/2006/relationships/hyperlink" Target="https://myiipea.com/media/etudiant/photo/YELLI_resized.png" TargetMode="External"/><Relationship Id="rId3429" Type="http://schemas.openxmlformats.org/officeDocument/2006/relationships/hyperlink" Target="https://myiipea.com/media/etudiant/photo/WhatsApp_Image_2023-10-04_at_13_resized.png" TargetMode="External"/><Relationship Id="rId3428" Type="http://schemas.openxmlformats.org/officeDocument/2006/relationships/hyperlink" Target="https://myiipea.com/media/etudiant/photo/WhatsApp_Image_2023-10-16_at_11.03.42.jpeg" TargetMode="External"/><Relationship Id="rId899" Type="http://schemas.openxmlformats.org/officeDocument/2006/relationships/hyperlink" Target="https://myiipea.com/media/etudiant/photo/WhatsApp_Image_2023-10-17_at_10.36.14.jpeg" TargetMode="External"/><Relationship Id="rId898" Type="http://schemas.openxmlformats.org/officeDocument/2006/relationships/hyperlink" Target="https://myiipea.com/media/etudiant/photo/WhatsApp_Image_2023-10-17_at_17.28.37.jpeg" TargetMode="External"/><Relationship Id="rId897" Type="http://schemas.openxmlformats.org/officeDocument/2006/relationships/hyperlink" Target="https://myiipea.com/media/etudiant/photo/WhatsApp_Image_2023-10-06_at_11.09.06.jpeg" TargetMode="External"/><Relationship Id="rId896" Type="http://schemas.openxmlformats.org/officeDocument/2006/relationships/hyperlink" Target="https://myiipea.com/media/etudiant/photo/WhatsApp_Image_2023-10-31_at_16.49.38.jpeg" TargetMode="External"/><Relationship Id="rId891" Type="http://schemas.openxmlformats.org/officeDocument/2006/relationships/hyperlink" Target="https://myiipea.com/media/etudiant/photo/DELLA.jpg" TargetMode="External"/><Relationship Id="rId890" Type="http://schemas.openxmlformats.org/officeDocument/2006/relationships/hyperlink" Target="https://myiipea.com/media/etudiant/photo/WhatsApp_Image_2023-11-09_at_15.52.49.jpeg" TargetMode="External"/><Relationship Id="rId895" Type="http://schemas.openxmlformats.org/officeDocument/2006/relationships/hyperlink" Target="https://myiipea.com/media/etudiant/photo/239422487_405915444207421_8131329350063382999_n_m7pRFEo_resized.png" TargetMode="External"/><Relationship Id="rId3421" Type="http://schemas.openxmlformats.org/officeDocument/2006/relationships/hyperlink" Target="https://myiipea.com/media/etudiant/photo/WhatsApp_Image_2023-10-30_at_09.20.45.jpeg" TargetMode="External"/><Relationship Id="rId894" Type="http://schemas.openxmlformats.org/officeDocument/2006/relationships/hyperlink" Target="https://myiipea.com/media/etudiant/photo/WhatsApp_Image_2023-11-14_at_1.34.01_PM.jpeg" TargetMode="External"/><Relationship Id="rId3420" Type="http://schemas.openxmlformats.org/officeDocument/2006/relationships/hyperlink" Target="https://myiipea.com/media/etudiant/photo/WhatsApp_Image_2023-10-11_at_15.39.18.jpeg" TargetMode="External"/><Relationship Id="rId893" Type="http://schemas.openxmlformats.org/officeDocument/2006/relationships/hyperlink" Target="https://myiipea.com/media/etudiant/photo/WhatsApp_Image_2023-10-30_at_12.31.19.jpeg" TargetMode="External"/><Relationship Id="rId3423" Type="http://schemas.openxmlformats.org/officeDocument/2006/relationships/hyperlink" Target="https://myiipea.com/media/etudiant/photo/WhatsApp_Image_2023-10-03_at_11.14.56_AM_bsJXzXL.jpeg" TargetMode="External"/><Relationship Id="rId892" Type="http://schemas.openxmlformats.org/officeDocument/2006/relationships/hyperlink" Target="https://myiipea.com/media/etudiant/photo/WhatsApp_Image_2023-10-10_at_15.37.50.jpeg" TargetMode="External"/><Relationship Id="rId3422" Type="http://schemas.openxmlformats.org/officeDocument/2006/relationships/hyperlink" Target="https://myiipea.com/media/etudiant/photo/WhatsApp_Image_2023-12-01_at_4_resized_sB8yalR.png" TargetMode="External"/><Relationship Id="rId2126" Type="http://schemas.openxmlformats.org/officeDocument/2006/relationships/hyperlink" Target="https://myiipea.com/media/etudiant/photo/WhatsApp_Image_2023-11-27_at_13.01.30.jpeg" TargetMode="External"/><Relationship Id="rId3458" Type="http://schemas.openxmlformats.org/officeDocument/2006/relationships/hyperlink" Target="https://myiipea.com/media/etudiant/photo/WhatsApp_Image_2023-10-24_at_4.23.07_PM.jpeg" TargetMode="External"/><Relationship Id="rId2127" Type="http://schemas.openxmlformats.org/officeDocument/2006/relationships/hyperlink" Target="https://myiipea.com/media/etudiant/photo/WhatsApp_Image_2023-10-12_at_15.52.32.jpeg" TargetMode="External"/><Relationship Id="rId3457" Type="http://schemas.openxmlformats.org/officeDocument/2006/relationships/hyperlink" Target="https://myiipea.com/media/etudiant/photo/WhatsApp_Image_2023-11-07_at_13.42.30.jpeg" TargetMode="External"/><Relationship Id="rId2128" Type="http://schemas.openxmlformats.org/officeDocument/2006/relationships/hyperlink" Target="https://myiipea.com/media/etudiant/photo/WhatsApp_Image_2023-10-16_at_15.01.38.jpeg" TargetMode="External"/><Relationship Id="rId2129" Type="http://schemas.openxmlformats.org/officeDocument/2006/relationships/hyperlink" Target="https://myiipea.com/media/etudiant/photo/WhatsApp_Image_2023-10-13_at_19.06.42.jpeg" TargetMode="External"/><Relationship Id="rId3459" Type="http://schemas.openxmlformats.org/officeDocument/2006/relationships/hyperlink" Target="https://myiipea.com/media/etudiant/photo/WhatsApp_Image_2023-10-06_at_10.33.51.jpeg" TargetMode="External"/><Relationship Id="rId3450" Type="http://schemas.openxmlformats.org/officeDocument/2006/relationships/hyperlink" Target="https://myiipea.com/media/etudiant/photo/WhatsApp_Image_2023-10-06_at_12.43.40.jpeg" TargetMode="External"/><Relationship Id="rId2120" Type="http://schemas.openxmlformats.org/officeDocument/2006/relationships/hyperlink" Target="https://myiipea.com/media/etudiant/photo/WhatsApp_Image_2023-10-12_at_11.28.57.jpeg" TargetMode="External"/><Relationship Id="rId3452" Type="http://schemas.openxmlformats.org/officeDocument/2006/relationships/hyperlink" Target="https://myiipea.com/media/etudiant/photo/WhatsApp_Image_2023-09-22_%C3%A0_10.43.15.jpg" TargetMode="External"/><Relationship Id="rId2121" Type="http://schemas.openxmlformats.org/officeDocument/2006/relationships/hyperlink" Target="https://myiipea.com/media/etudiant/photo/WhatsApp_Image_2023-10-30_at_11.18.48.jpeg" TargetMode="External"/><Relationship Id="rId3451" Type="http://schemas.openxmlformats.org/officeDocument/2006/relationships/hyperlink" Target="https://myiipea.com/media/etudiant/photo/WhatsApp_Image_2023-10-16_at_18.32.39.jpeg" TargetMode="External"/><Relationship Id="rId2122" Type="http://schemas.openxmlformats.org/officeDocument/2006/relationships/hyperlink" Target="https://myiipea.com/media/etudiant/photo/WhatsApp_Image_2023-11-16_at_17.13.32.jpeg" TargetMode="External"/><Relationship Id="rId3454" Type="http://schemas.openxmlformats.org/officeDocument/2006/relationships/hyperlink" Target="https://myiipea.com/media/etudiant/photo/WhatsApp_Image_2023-10-09_at_4.37.55_PM.jpeg" TargetMode="External"/><Relationship Id="rId2123" Type="http://schemas.openxmlformats.org/officeDocument/2006/relationships/hyperlink" Target="https://myiipea.com/media/etudiant/photo/WhatsApp_Image_2023-10-03_at_08.48.42.jpeg" TargetMode="External"/><Relationship Id="rId3453" Type="http://schemas.openxmlformats.org/officeDocument/2006/relationships/hyperlink" Target="https://myiipea.com/media/etudiant/photo/WhatsApp_Image_2023-11-22_at_15.38.43.jpeg" TargetMode="External"/><Relationship Id="rId2124" Type="http://schemas.openxmlformats.org/officeDocument/2006/relationships/hyperlink" Target="https://myiipea.com/media/etudiant/photo/IIPEA_2RxeqNR.jpg" TargetMode="External"/><Relationship Id="rId3456" Type="http://schemas.openxmlformats.org/officeDocument/2006/relationships/hyperlink" Target="https://myiipea.com/media/etudiant/photo/WhatsApp_Image_2023-10-10_at_12.50.33.jpeg" TargetMode="External"/><Relationship Id="rId2125" Type="http://schemas.openxmlformats.org/officeDocument/2006/relationships/hyperlink" Target="https://myiipea.com/media/etudiant/photo/WhatsApp_Image_2023-09-29_at_12.34.27.jpeg" TargetMode="External"/><Relationship Id="rId3455" Type="http://schemas.openxmlformats.org/officeDocument/2006/relationships/hyperlink" Target="https://myiipea.com/media/etudiant/photo/WhatsApp_Image_2023-10-26_at_12.21.31.jpeg" TargetMode="External"/><Relationship Id="rId2115" Type="http://schemas.openxmlformats.org/officeDocument/2006/relationships/hyperlink" Target="https://myiipea.com/media/etudiant/photo/WhatsApp_Image_2023-10-12_at_10.10.19.jpeg" TargetMode="External"/><Relationship Id="rId3447" Type="http://schemas.openxmlformats.org/officeDocument/2006/relationships/hyperlink" Target="https://myiipea.com/media/etudiant/photo/WhatsApp_Image_2023-10-19_at_3.48.36_PM.jpeg" TargetMode="External"/><Relationship Id="rId2116" Type="http://schemas.openxmlformats.org/officeDocument/2006/relationships/hyperlink" Target="https://myiipea.com/media/etudiant/photo/WhatsApp_Image_2023-10-17_at_14.17.06.jpeg" TargetMode="External"/><Relationship Id="rId3446" Type="http://schemas.openxmlformats.org/officeDocument/2006/relationships/hyperlink" Target="https://myiipea.com/media/etudiant/photo/WhatsApp_Image_2023-10-21_at_12.18.28_1.jpeg" TargetMode="External"/><Relationship Id="rId2117" Type="http://schemas.openxmlformats.org/officeDocument/2006/relationships/hyperlink" Target="https://myiipea.com/media/etudiant/photo/WhatsApp_Image_2023-10-09_at_18.27.29.jpeg" TargetMode="External"/><Relationship Id="rId3449" Type="http://schemas.openxmlformats.org/officeDocument/2006/relationships/hyperlink" Target="https://myiipea.com/media/etudiant/photo/WhatsApp_Image_2023-09-25_%C3%A0_16.22.16.jpg" TargetMode="External"/><Relationship Id="rId2118" Type="http://schemas.openxmlformats.org/officeDocument/2006/relationships/hyperlink" Target="https://myiipea.com/media/etudiant/photo/WhatsApp_Image_2023-10-31_at_16.50.35.jpeg" TargetMode="External"/><Relationship Id="rId3448" Type="http://schemas.openxmlformats.org/officeDocument/2006/relationships/hyperlink" Target="https://myiipea.com/media/etudiant/photo/WhatsApp_Image_2023-10-10_at_4.07.41_PM.jpeg" TargetMode="External"/><Relationship Id="rId2119" Type="http://schemas.openxmlformats.org/officeDocument/2006/relationships/hyperlink" Target="https://myiipea.com/media/etudiant/photo/WhatsApp_Image_2023-11-07_at_11.44.24.jpeg" TargetMode="External"/><Relationship Id="rId3441" Type="http://schemas.openxmlformats.org/officeDocument/2006/relationships/hyperlink" Target="https://myiipea.com/media/etudiant/photo/WhatsApp_Image_2023-12-04_at_10_resized_0IEK9Fm.png" TargetMode="External"/><Relationship Id="rId2110" Type="http://schemas.openxmlformats.org/officeDocument/2006/relationships/hyperlink" Target="https://myiipea.com/media/etudiant/photo/WhatsApp_Image_2023-10-04_at_11.07.12.jpeg" TargetMode="External"/><Relationship Id="rId3440" Type="http://schemas.openxmlformats.org/officeDocument/2006/relationships/hyperlink" Target="https://myiipea.com/media/etudiant/photo/WhatsApp_Image_2023-10-16_at_16.15.53.jpeg" TargetMode="External"/><Relationship Id="rId2111" Type="http://schemas.openxmlformats.org/officeDocument/2006/relationships/hyperlink" Target="https://myiipea.com/media/etudiant/photo/WhatsApp_Image_2023-10-26_at_10.54.36.jpeg" TargetMode="External"/><Relationship Id="rId3443" Type="http://schemas.openxmlformats.org/officeDocument/2006/relationships/hyperlink" Target="https://myiipea.com/media/etudiant/photo/WhatsApp_Image_2023-10-19_at_13.49.17.jpeg" TargetMode="External"/><Relationship Id="rId2112" Type="http://schemas.openxmlformats.org/officeDocument/2006/relationships/hyperlink" Target="https://myiipea.com/media/etudiant/photo/WhatsApp_Image_2023-10-09_at_11.12.32.jpeg" TargetMode="External"/><Relationship Id="rId3442" Type="http://schemas.openxmlformats.org/officeDocument/2006/relationships/hyperlink" Target="https://myiipea.com/media/etudiant/photo/WhatsApp_Image_2023-10-04_at_14.55.35.jpeg" TargetMode="External"/><Relationship Id="rId2113" Type="http://schemas.openxmlformats.org/officeDocument/2006/relationships/hyperlink" Target="https://myiipea.com/media/etudiant/photo/WhatsApp_Image_2023-11-13_at_3.58.50_PM.jpeg" TargetMode="External"/><Relationship Id="rId3445" Type="http://schemas.openxmlformats.org/officeDocument/2006/relationships/hyperlink" Target="https://myiipea.com/media/etudiant/photo/WhatsApp_Image_2023-10-05_at_10.27.58.jpeg" TargetMode="External"/><Relationship Id="rId2114" Type="http://schemas.openxmlformats.org/officeDocument/2006/relationships/hyperlink" Target="https://myiipea.com/media/etudiant/photo/WhatsApp_Image_2023-10-25_at_12.39.07.jpeg" TargetMode="External"/><Relationship Id="rId3444" Type="http://schemas.openxmlformats.org/officeDocument/2006/relationships/hyperlink" Target="https://myiipea.com/media/etudiant/photo/abdoulay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6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 t="s">
        <v>14</v>
      </c>
      <c r="D2" s="1" t="s">
        <v>15</v>
      </c>
      <c r="E2" s="2">
        <v>38397.0</v>
      </c>
      <c r="F2" s="1" t="s">
        <v>16</v>
      </c>
      <c r="G2" s="1" t="s">
        <v>17</v>
      </c>
      <c r="H2" s="1" t="s">
        <v>18</v>
      </c>
      <c r="I2" s="3">
        <f>+2250702768677</f>
        <v>2250702768677</v>
      </c>
      <c r="J2" s="3">
        <f>+2250708583997</f>
        <v>2250708583997</v>
      </c>
      <c r="K2" s="1" t="s">
        <v>19</v>
      </c>
      <c r="L2" s="4" t="s">
        <v>20</v>
      </c>
    </row>
    <row r="3">
      <c r="A3" s="1" t="s">
        <v>12</v>
      </c>
      <c r="B3" s="1" t="s">
        <v>21</v>
      </c>
      <c r="C3" s="1" t="s">
        <v>22</v>
      </c>
      <c r="D3" s="1" t="s">
        <v>23</v>
      </c>
      <c r="E3" s="5">
        <v>38645.0</v>
      </c>
      <c r="F3" s="1" t="s">
        <v>24</v>
      </c>
      <c r="G3" s="1" t="s">
        <v>25</v>
      </c>
      <c r="H3" s="1" t="s">
        <v>18</v>
      </c>
      <c r="I3" s="3">
        <f>+2250170898842</f>
        <v>2250170898842</v>
      </c>
      <c r="J3" s="3">
        <f>+2250102197878</f>
        <v>2250102197878</v>
      </c>
      <c r="K3" s="1" t="s">
        <v>19</v>
      </c>
      <c r="L3" s="4" t="s">
        <v>26</v>
      </c>
    </row>
    <row r="4">
      <c r="A4" s="1" t="s">
        <v>12</v>
      </c>
      <c r="B4" s="1" t="s">
        <v>27</v>
      </c>
      <c r="C4" s="1" t="s">
        <v>28</v>
      </c>
      <c r="D4" s="1" t="s">
        <v>29</v>
      </c>
      <c r="E4" s="2">
        <v>36740.0</v>
      </c>
      <c r="F4" s="1" t="s">
        <v>30</v>
      </c>
      <c r="G4" s="1" t="s">
        <v>31</v>
      </c>
      <c r="H4" s="1" t="s">
        <v>32</v>
      </c>
      <c r="I4" s="3">
        <f>+2250799067891</f>
        <v>2250799067891</v>
      </c>
      <c r="J4" s="3">
        <f>+2250768402124</f>
        <v>2250768402124</v>
      </c>
      <c r="K4" s="1" t="s">
        <v>19</v>
      </c>
      <c r="L4" s="4" t="s">
        <v>33</v>
      </c>
    </row>
    <row r="5">
      <c r="A5" s="1" t="s">
        <v>12</v>
      </c>
      <c r="B5" s="1" t="s">
        <v>34</v>
      </c>
      <c r="C5" s="1" t="s">
        <v>35</v>
      </c>
      <c r="D5" s="1" t="s">
        <v>36</v>
      </c>
      <c r="E5" s="5">
        <v>36875.0</v>
      </c>
      <c r="F5" s="1" t="s">
        <v>37</v>
      </c>
      <c r="G5" s="1" t="s">
        <v>38</v>
      </c>
      <c r="H5" s="1" t="s">
        <v>39</v>
      </c>
      <c r="I5" s="3">
        <f>+2250777930769</f>
        <v>2250777930769</v>
      </c>
      <c r="J5" s="3">
        <f>+2250707681296</f>
        <v>2250707681296</v>
      </c>
      <c r="K5" s="1" t="s">
        <v>19</v>
      </c>
      <c r="L5" s="4" t="s">
        <v>40</v>
      </c>
    </row>
    <row r="6">
      <c r="A6" s="1" t="s">
        <v>12</v>
      </c>
      <c r="B6" s="1" t="s">
        <v>41</v>
      </c>
      <c r="C6" s="1" t="s">
        <v>42</v>
      </c>
      <c r="D6" s="1" t="s">
        <v>43</v>
      </c>
      <c r="E6" s="2">
        <v>38079.0</v>
      </c>
      <c r="F6" s="1" t="s">
        <v>16</v>
      </c>
      <c r="G6" s="1" t="s">
        <v>17</v>
      </c>
      <c r="H6" s="1" t="s">
        <v>18</v>
      </c>
      <c r="I6" s="3">
        <f>+2250140640478</f>
        <v>2250140640478</v>
      </c>
      <c r="J6" s="3">
        <f>+2250151179935</f>
        <v>2250151179935</v>
      </c>
      <c r="K6" s="1" t="s">
        <v>19</v>
      </c>
      <c r="L6" s="4" t="s">
        <v>44</v>
      </c>
    </row>
    <row r="7">
      <c r="A7" s="1" t="s">
        <v>12</v>
      </c>
      <c r="B7" s="1" t="s">
        <v>45</v>
      </c>
      <c r="C7" s="1" t="s">
        <v>46</v>
      </c>
      <c r="D7" s="1" t="s">
        <v>47</v>
      </c>
      <c r="E7" s="2">
        <v>37506.0</v>
      </c>
      <c r="F7" s="1" t="s">
        <v>48</v>
      </c>
      <c r="G7" s="1" t="s">
        <v>31</v>
      </c>
      <c r="H7" s="1" t="s">
        <v>32</v>
      </c>
      <c r="I7" s="3">
        <f>+2250150608322</f>
        <v>2250150608322</v>
      </c>
      <c r="J7" s="3">
        <f>+2250566561399</f>
        <v>2250566561399</v>
      </c>
      <c r="K7" s="1" t="s">
        <v>19</v>
      </c>
      <c r="L7" s="4" t="s">
        <v>49</v>
      </c>
    </row>
    <row r="8">
      <c r="A8" s="1" t="s">
        <v>12</v>
      </c>
      <c r="B8" s="1" t="s">
        <v>50</v>
      </c>
      <c r="C8" s="1" t="s">
        <v>51</v>
      </c>
      <c r="D8" s="1" t="s">
        <v>52</v>
      </c>
      <c r="E8" s="5">
        <v>38284.0</v>
      </c>
      <c r="F8" s="1" t="s">
        <v>53</v>
      </c>
      <c r="G8" s="1" t="s">
        <v>25</v>
      </c>
      <c r="H8" s="1" t="s">
        <v>18</v>
      </c>
      <c r="I8" s="3">
        <f>+2250787977481</f>
        <v>2250787977481</v>
      </c>
      <c r="J8" s="3">
        <f>+2250747822337</f>
        <v>2250747822337</v>
      </c>
      <c r="K8" s="1" t="s">
        <v>19</v>
      </c>
      <c r="L8" s="4" t="s">
        <v>54</v>
      </c>
    </row>
    <row r="9">
      <c r="A9" s="1" t="s">
        <v>12</v>
      </c>
      <c r="B9" s="1" t="s">
        <v>55</v>
      </c>
      <c r="C9" s="1" t="s">
        <v>56</v>
      </c>
      <c r="D9" s="1" t="s">
        <v>57</v>
      </c>
      <c r="E9" s="2">
        <v>38530.0</v>
      </c>
      <c r="F9" s="1" t="s">
        <v>53</v>
      </c>
      <c r="G9" s="1" t="s">
        <v>25</v>
      </c>
      <c r="H9" s="1" t="s">
        <v>18</v>
      </c>
      <c r="I9" s="3">
        <f>+2250103254820</f>
        <v>2250103254820</v>
      </c>
      <c r="J9" s="3">
        <f>+2250748797369</f>
        <v>2250748797369</v>
      </c>
      <c r="K9" s="1" t="s">
        <v>19</v>
      </c>
      <c r="L9" s="4" t="s">
        <v>58</v>
      </c>
    </row>
    <row r="10">
      <c r="A10" s="1" t="s">
        <v>12</v>
      </c>
      <c r="B10" s="1" t="s">
        <v>59</v>
      </c>
      <c r="C10" s="1" t="s">
        <v>60</v>
      </c>
      <c r="D10" s="1" t="s">
        <v>61</v>
      </c>
      <c r="E10" s="5">
        <v>38281.0</v>
      </c>
      <c r="F10" s="1" t="s">
        <v>62</v>
      </c>
      <c r="G10" s="1" t="s">
        <v>17</v>
      </c>
      <c r="H10" s="1" t="s">
        <v>18</v>
      </c>
      <c r="I10" s="3">
        <f>+2250707741225</f>
        <v>2250707741225</v>
      </c>
      <c r="J10" s="3">
        <f>+2250103592959</f>
        <v>2250103592959</v>
      </c>
      <c r="K10" s="1" t="s">
        <v>19</v>
      </c>
      <c r="L10" s="4" t="s">
        <v>63</v>
      </c>
    </row>
    <row r="11">
      <c r="A11" s="1" t="s">
        <v>12</v>
      </c>
      <c r="B11" s="1" t="s">
        <v>64</v>
      </c>
      <c r="C11" s="1" t="s">
        <v>60</v>
      </c>
      <c r="D11" s="1" t="s">
        <v>65</v>
      </c>
      <c r="E11" s="2">
        <v>38475.0</v>
      </c>
      <c r="F11" s="1" t="s">
        <v>62</v>
      </c>
      <c r="G11" s="1" t="s">
        <v>17</v>
      </c>
      <c r="H11" s="1" t="s">
        <v>18</v>
      </c>
      <c r="I11" s="3">
        <f>+2250596808616</f>
        <v>2250596808616</v>
      </c>
      <c r="J11" s="3">
        <f>+2250777402490</f>
        <v>2250777402490</v>
      </c>
      <c r="K11" s="1" t="s">
        <v>19</v>
      </c>
      <c r="L11" s="4" t="s">
        <v>66</v>
      </c>
    </row>
    <row r="12">
      <c r="A12" s="1" t="s">
        <v>12</v>
      </c>
      <c r="B12" s="1" t="s">
        <v>67</v>
      </c>
      <c r="C12" s="1" t="s">
        <v>68</v>
      </c>
      <c r="D12" s="1" t="s">
        <v>69</v>
      </c>
      <c r="E12" s="2">
        <v>37259.0</v>
      </c>
      <c r="F12" s="1" t="s">
        <v>70</v>
      </c>
      <c r="G12" s="1" t="s">
        <v>31</v>
      </c>
      <c r="H12" s="1" t="s">
        <v>32</v>
      </c>
      <c r="I12" s="3">
        <f>+2250749925070</f>
        <v>2250749925070</v>
      </c>
      <c r="J12" s="3">
        <f>+2250102612965</f>
        <v>2250102612965</v>
      </c>
      <c r="K12" s="1" t="s">
        <v>19</v>
      </c>
      <c r="L12" s="4" t="s">
        <v>71</v>
      </c>
    </row>
    <row r="13">
      <c r="A13" s="1" t="s">
        <v>12</v>
      </c>
      <c r="B13" s="1" t="s">
        <v>72</v>
      </c>
      <c r="C13" s="1" t="s">
        <v>73</v>
      </c>
      <c r="D13" s="1" t="s">
        <v>74</v>
      </c>
      <c r="E13" s="2">
        <v>37805.0</v>
      </c>
      <c r="F13" s="1" t="s">
        <v>75</v>
      </c>
      <c r="G13" s="1" t="s">
        <v>76</v>
      </c>
      <c r="H13" s="1" t="s">
        <v>32</v>
      </c>
      <c r="I13" s="3">
        <f>+2250707943182</f>
        <v>2250707943182</v>
      </c>
      <c r="J13" s="3">
        <f>+2250709448796</f>
        <v>2250709448796</v>
      </c>
      <c r="K13" s="1" t="s">
        <v>19</v>
      </c>
      <c r="L13" s="4" t="s">
        <v>77</v>
      </c>
    </row>
    <row r="14">
      <c r="A14" s="1" t="s">
        <v>12</v>
      </c>
      <c r="B14" s="1" t="s">
        <v>78</v>
      </c>
      <c r="C14" s="1" t="s">
        <v>79</v>
      </c>
      <c r="D14" s="1" t="s">
        <v>80</v>
      </c>
      <c r="E14" s="5">
        <v>36877.0</v>
      </c>
      <c r="F14" s="1" t="s">
        <v>81</v>
      </c>
      <c r="G14" s="1" t="s">
        <v>82</v>
      </c>
      <c r="H14" s="1" t="s">
        <v>18</v>
      </c>
      <c r="I14" s="3">
        <f>+2250142768523</f>
        <v>2250142768523</v>
      </c>
      <c r="J14" s="3">
        <f>+2250103035151</f>
        <v>2250103035151</v>
      </c>
      <c r="K14" s="1" t="s">
        <v>19</v>
      </c>
      <c r="L14" s="4" t="s">
        <v>83</v>
      </c>
    </row>
    <row r="15">
      <c r="A15" s="1" t="s">
        <v>12</v>
      </c>
      <c r="B15" s="1" t="s">
        <v>84</v>
      </c>
      <c r="C15" s="1" t="s">
        <v>85</v>
      </c>
      <c r="D15" s="1" t="s">
        <v>86</v>
      </c>
      <c r="E15" s="5">
        <v>39005.0</v>
      </c>
      <c r="F15" s="1" t="s">
        <v>87</v>
      </c>
      <c r="G15" s="1" t="s">
        <v>76</v>
      </c>
      <c r="H15" s="1" t="s">
        <v>32</v>
      </c>
      <c r="I15" s="3">
        <f>+2250585158179</f>
        <v>2250585158179</v>
      </c>
      <c r="J15" s="3">
        <f>+2250506902840</f>
        <v>2250506902840</v>
      </c>
      <c r="K15" s="1" t="s">
        <v>19</v>
      </c>
      <c r="L15" s="4" t="s">
        <v>88</v>
      </c>
    </row>
    <row r="16">
      <c r="A16" s="1" t="s">
        <v>12</v>
      </c>
      <c r="B16" s="1" t="s">
        <v>89</v>
      </c>
      <c r="C16" s="1" t="s">
        <v>90</v>
      </c>
      <c r="D16" s="1" t="s">
        <v>91</v>
      </c>
      <c r="E16" s="2">
        <v>38247.0</v>
      </c>
      <c r="F16" s="1" t="s">
        <v>92</v>
      </c>
      <c r="G16" s="1" t="s">
        <v>76</v>
      </c>
      <c r="H16" s="1" t="s">
        <v>32</v>
      </c>
      <c r="I16" s="3">
        <f>+2250769714330</f>
        <v>2250769714330</v>
      </c>
      <c r="J16" s="3">
        <f>+2250707002081</f>
        <v>2250707002081</v>
      </c>
      <c r="K16" s="1" t="s">
        <v>19</v>
      </c>
      <c r="L16" s="4" t="s">
        <v>93</v>
      </c>
    </row>
    <row r="17">
      <c r="A17" s="1" t="s">
        <v>12</v>
      </c>
      <c r="B17" s="1" t="s">
        <v>94</v>
      </c>
      <c r="C17" s="1" t="s">
        <v>95</v>
      </c>
      <c r="D17" s="1" t="s">
        <v>96</v>
      </c>
      <c r="E17" s="2">
        <v>38250.0</v>
      </c>
      <c r="F17" s="1" t="s">
        <v>97</v>
      </c>
      <c r="G17" s="1" t="s">
        <v>82</v>
      </c>
      <c r="H17" s="1" t="s">
        <v>18</v>
      </c>
      <c r="I17" s="3">
        <f>+2250711068094</f>
        <v>2250711068094</v>
      </c>
      <c r="J17" s="3">
        <f>+2250787958031</f>
        <v>2250787958031</v>
      </c>
      <c r="K17" s="1" t="s">
        <v>19</v>
      </c>
      <c r="L17" s="4" t="s">
        <v>98</v>
      </c>
    </row>
    <row r="18">
      <c r="A18" s="1" t="s">
        <v>12</v>
      </c>
      <c r="B18" s="1" t="s">
        <v>99</v>
      </c>
      <c r="C18" s="1" t="s">
        <v>95</v>
      </c>
      <c r="D18" s="1" t="s">
        <v>100</v>
      </c>
      <c r="E18" s="5">
        <v>37984.0</v>
      </c>
      <c r="F18" s="1" t="s">
        <v>101</v>
      </c>
      <c r="G18" s="1" t="s">
        <v>31</v>
      </c>
      <c r="H18" s="1" t="s">
        <v>32</v>
      </c>
      <c r="I18" s="3">
        <f>+2250700842263</f>
        <v>2250700842263</v>
      </c>
      <c r="J18" s="3">
        <f>+2250778005048</f>
        <v>2250778005048</v>
      </c>
      <c r="K18" s="1" t="s">
        <v>19</v>
      </c>
      <c r="L18" s="4" t="s">
        <v>102</v>
      </c>
    </row>
    <row r="19">
      <c r="A19" s="1" t="s">
        <v>12</v>
      </c>
      <c r="B19" s="1" t="s">
        <v>103</v>
      </c>
      <c r="C19" s="1" t="s">
        <v>104</v>
      </c>
      <c r="D19" s="1" t="s">
        <v>105</v>
      </c>
      <c r="E19" s="2">
        <v>37421.0</v>
      </c>
      <c r="F19" s="1" t="s">
        <v>24</v>
      </c>
      <c r="G19" s="1" t="s">
        <v>17</v>
      </c>
      <c r="H19" s="1" t="s">
        <v>18</v>
      </c>
      <c r="I19" s="3">
        <f>+2250141426642</f>
        <v>2250141426642</v>
      </c>
      <c r="J19" s="3">
        <f>+2250152117176</f>
        <v>2250152117176</v>
      </c>
      <c r="K19" s="1" t="s">
        <v>19</v>
      </c>
      <c r="L19" s="4" t="s">
        <v>106</v>
      </c>
    </row>
    <row r="20">
      <c r="A20" s="1" t="s">
        <v>12</v>
      </c>
      <c r="B20" s="1" t="s">
        <v>107</v>
      </c>
      <c r="C20" s="1" t="s">
        <v>108</v>
      </c>
      <c r="D20" s="1" t="s">
        <v>109</v>
      </c>
      <c r="E20" s="2">
        <v>38081.0</v>
      </c>
      <c r="F20" s="1" t="s">
        <v>110</v>
      </c>
      <c r="G20" s="1" t="s">
        <v>82</v>
      </c>
      <c r="H20" s="1" t="s">
        <v>18</v>
      </c>
      <c r="I20" s="3">
        <f>+2250161327464</f>
        <v>2250161327464</v>
      </c>
      <c r="J20" s="3">
        <f>+2250747845575</f>
        <v>2250747845575</v>
      </c>
      <c r="K20" s="1" t="s">
        <v>19</v>
      </c>
      <c r="L20" s="4" t="s">
        <v>111</v>
      </c>
    </row>
    <row r="21">
      <c r="A21" s="1" t="s">
        <v>12</v>
      </c>
      <c r="B21" s="1" t="s">
        <v>112</v>
      </c>
      <c r="C21" s="1" t="s">
        <v>113</v>
      </c>
      <c r="D21" s="1" t="s">
        <v>114</v>
      </c>
      <c r="E21" s="5">
        <v>38349.0</v>
      </c>
      <c r="F21" s="1" t="s">
        <v>92</v>
      </c>
      <c r="G21" s="1" t="s">
        <v>76</v>
      </c>
      <c r="H21" s="1" t="s">
        <v>32</v>
      </c>
      <c r="I21" s="3">
        <f>+2250749596529</f>
        <v>2250749596529</v>
      </c>
      <c r="J21" s="3">
        <f>+2250749787209</f>
        <v>2250749787209</v>
      </c>
      <c r="K21" s="1" t="s">
        <v>19</v>
      </c>
      <c r="L21" s="4" t="s">
        <v>115</v>
      </c>
    </row>
    <row r="22">
      <c r="A22" s="1" t="s">
        <v>12</v>
      </c>
      <c r="B22" s="1" t="s">
        <v>116</v>
      </c>
      <c r="C22" s="1" t="s">
        <v>117</v>
      </c>
      <c r="D22" s="1" t="s">
        <v>118</v>
      </c>
      <c r="E22" s="5">
        <v>36517.0</v>
      </c>
      <c r="F22" s="1" t="s">
        <v>97</v>
      </c>
      <c r="G22" s="1" t="s">
        <v>82</v>
      </c>
      <c r="H22" s="1" t="s">
        <v>18</v>
      </c>
      <c r="I22" s="3">
        <f>+2250574517129</f>
        <v>2250574517129</v>
      </c>
      <c r="J22" s="3">
        <f>+2250757679478</f>
        <v>2250757679478</v>
      </c>
      <c r="K22" s="1" t="s">
        <v>19</v>
      </c>
      <c r="L22" s="4" t="s">
        <v>119</v>
      </c>
    </row>
    <row r="23">
      <c r="A23" s="1" t="s">
        <v>12</v>
      </c>
      <c r="B23" s="1" t="s">
        <v>120</v>
      </c>
      <c r="C23" s="1" t="s">
        <v>121</v>
      </c>
      <c r="D23" s="1" t="s">
        <v>122</v>
      </c>
      <c r="E23" s="2">
        <v>38538.0</v>
      </c>
      <c r="F23" s="1" t="s">
        <v>70</v>
      </c>
      <c r="G23" s="1" t="s">
        <v>76</v>
      </c>
      <c r="H23" s="1" t="s">
        <v>32</v>
      </c>
      <c r="I23" s="3">
        <f>+2250141124518</f>
        <v>2250141124518</v>
      </c>
      <c r="J23" s="3">
        <f>+2250102771087</f>
        <v>2250102771087</v>
      </c>
      <c r="K23" s="1" t="s">
        <v>19</v>
      </c>
      <c r="L23" s="4" t="s">
        <v>123</v>
      </c>
    </row>
    <row r="24">
      <c r="A24" s="1" t="s">
        <v>12</v>
      </c>
      <c r="B24" s="1" t="s">
        <v>124</v>
      </c>
      <c r="C24" s="1" t="s">
        <v>121</v>
      </c>
      <c r="D24" s="1" t="s">
        <v>125</v>
      </c>
      <c r="E24" s="2">
        <v>38592.0</v>
      </c>
      <c r="F24" s="1" t="s">
        <v>48</v>
      </c>
      <c r="G24" s="1" t="s">
        <v>31</v>
      </c>
      <c r="H24" s="1" t="s">
        <v>32</v>
      </c>
      <c r="I24" s="3">
        <f>+2250788957672</f>
        <v>2250788957672</v>
      </c>
      <c r="J24" s="3">
        <f>+2250707071752</f>
        <v>2250707071752</v>
      </c>
      <c r="K24" s="1" t="s">
        <v>19</v>
      </c>
      <c r="L24" s="4" t="s">
        <v>126</v>
      </c>
    </row>
    <row r="25">
      <c r="A25" s="1" t="s">
        <v>12</v>
      </c>
      <c r="B25" s="1" t="s">
        <v>127</v>
      </c>
      <c r="C25" s="1" t="s">
        <v>128</v>
      </c>
      <c r="D25" s="1" t="s">
        <v>129</v>
      </c>
      <c r="E25" s="2">
        <v>38771.0</v>
      </c>
      <c r="F25" s="1" t="s">
        <v>92</v>
      </c>
      <c r="G25" s="1" t="s">
        <v>76</v>
      </c>
      <c r="H25" s="1" t="s">
        <v>32</v>
      </c>
      <c r="I25" s="3">
        <f>+2250757672746</f>
        <v>2250757672746</v>
      </c>
      <c r="J25" s="3">
        <f>+2250757097895</f>
        <v>2250757097895</v>
      </c>
      <c r="K25" s="1" t="s">
        <v>19</v>
      </c>
      <c r="L25" s="4" t="s">
        <v>130</v>
      </c>
    </row>
    <row r="26">
      <c r="A26" s="1" t="s">
        <v>12</v>
      </c>
      <c r="B26" s="1" t="s">
        <v>131</v>
      </c>
      <c r="C26" s="1" t="s">
        <v>132</v>
      </c>
      <c r="D26" s="1" t="s">
        <v>133</v>
      </c>
      <c r="E26" s="5">
        <v>38302.0</v>
      </c>
      <c r="F26" s="1" t="s">
        <v>48</v>
      </c>
      <c r="G26" s="1" t="s">
        <v>76</v>
      </c>
      <c r="H26" s="1" t="s">
        <v>32</v>
      </c>
      <c r="I26" s="3">
        <f>+2250758339364</f>
        <v>2250758339364</v>
      </c>
      <c r="J26" s="3">
        <f>+2250707656947</f>
        <v>2250707656947</v>
      </c>
      <c r="K26" s="1" t="s">
        <v>19</v>
      </c>
      <c r="L26" s="4" t="s">
        <v>134</v>
      </c>
    </row>
    <row r="27">
      <c r="A27" s="1" t="s">
        <v>12</v>
      </c>
      <c r="B27" s="1" t="s">
        <v>135</v>
      </c>
      <c r="C27" s="1" t="s">
        <v>136</v>
      </c>
      <c r="D27" s="1" t="s">
        <v>137</v>
      </c>
      <c r="E27" s="2">
        <v>37868.0</v>
      </c>
      <c r="F27" s="1" t="s">
        <v>138</v>
      </c>
      <c r="G27" s="1" t="s">
        <v>76</v>
      </c>
      <c r="H27" s="1" t="s">
        <v>32</v>
      </c>
      <c r="I27" s="3">
        <f>+2250789377372</f>
        <v>2250789377372</v>
      </c>
      <c r="J27" s="3">
        <f>+2250505942770</f>
        <v>2250505942770</v>
      </c>
      <c r="K27" s="1" t="s">
        <v>19</v>
      </c>
      <c r="L27" s="4" t="s">
        <v>139</v>
      </c>
    </row>
    <row r="28">
      <c r="A28" s="1" t="s">
        <v>12</v>
      </c>
      <c r="B28" s="1" t="s">
        <v>140</v>
      </c>
      <c r="C28" s="1" t="s">
        <v>141</v>
      </c>
      <c r="D28" s="1" t="s">
        <v>142</v>
      </c>
      <c r="E28" s="2">
        <v>31657.0</v>
      </c>
      <c r="F28" s="1" t="s">
        <v>48</v>
      </c>
      <c r="G28" s="1" t="s">
        <v>82</v>
      </c>
      <c r="H28" s="1" t="s">
        <v>18</v>
      </c>
      <c r="I28" s="3">
        <f>+2250748028834</f>
        <v>2250748028834</v>
      </c>
      <c r="J28" s="3">
        <f>+2250545355880</f>
        <v>2250545355880</v>
      </c>
      <c r="K28" s="1" t="s">
        <v>19</v>
      </c>
      <c r="L28" s="4" t="s">
        <v>143</v>
      </c>
    </row>
    <row r="29">
      <c r="A29" s="1" t="s">
        <v>12</v>
      </c>
      <c r="B29" s="1" t="s">
        <v>144</v>
      </c>
      <c r="C29" s="1" t="s">
        <v>145</v>
      </c>
      <c r="D29" s="1" t="s">
        <v>146</v>
      </c>
      <c r="E29" s="5">
        <v>38681.0</v>
      </c>
      <c r="F29" s="1" t="s">
        <v>147</v>
      </c>
      <c r="G29" s="1" t="s">
        <v>25</v>
      </c>
      <c r="H29" s="1" t="s">
        <v>18</v>
      </c>
      <c r="I29" s="3">
        <f>+2250143411529</f>
        <v>2250143411529</v>
      </c>
      <c r="J29" s="3">
        <f>+2250777357374</f>
        <v>2250777357374</v>
      </c>
      <c r="K29" s="1" t="s">
        <v>19</v>
      </c>
      <c r="L29" s="4" t="s">
        <v>148</v>
      </c>
    </row>
    <row r="30">
      <c r="A30" s="1" t="s">
        <v>12</v>
      </c>
      <c r="B30" s="1" t="s">
        <v>149</v>
      </c>
      <c r="C30" s="1" t="s">
        <v>150</v>
      </c>
      <c r="D30" s="1" t="s">
        <v>151</v>
      </c>
      <c r="E30" s="5">
        <v>38270.0</v>
      </c>
      <c r="F30" s="1" t="s">
        <v>62</v>
      </c>
      <c r="G30" s="1" t="s">
        <v>17</v>
      </c>
      <c r="H30" s="1" t="s">
        <v>18</v>
      </c>
      <c r="I30" s="3">
        <f>+2250701556421</f>
        <v>2250701556421</v>
      </c>
      <c r="J30" s="3">
        <f>+2250709747360</f>
        <v>2250709747360</v>
      </c>
      <c r="K30" s="1" t="s">
        <v>19</v>
      </c>
      <c r="L30" s="4" t="s">
        <v>152</v>
      </c>
    </row>
    <row r="31">
      <c r="A31" s="1" t="s">
        <v>12</v>
      </c>
      <c r="B31" s="1" t="s">
        <v>153</v>
      </c>
      <c r="C31" s="1" t="s">
        <v>150</v>
      </c>
      <c r="D31" s="1" t="s">
        <v>154</v>
      </c>
      <c r="E31" s="2">
        <v>38845.0</v>
      </c>
      <c r="F31" s="1" t="s">
        <v>155</v>
      </c>
      <c r="G31" s="1" t="s">
        <v>76</v>
      </c>
      <c r="H31" s="1" t="s">
        <v>32</v>
      </c>
      <c r="I31" s="3">
        <f>+2250502116210</f>
        <v>2250502116210</v>
      </c>
      <c r="J31" s="3">
        <f>+2250102894428</f>
        <v>2250102894428</v>
      </c>
      <c r="K31" s="1" t="s">
        <v>19</v>
      </c>
      <c r="L31" s="4" t="s">
        <v>156</v>
      </c>
    </row>
    <row r="32">
      <c r="A32" s="1" t="s">
        <v>12</v>
      </c>
      <c r="B32" s="1" t="s">
        <v>157</v>
      </c>
      <c r="C32" s="1" t="s">
        <v>150</v>
      </c>
      <c r="D32" s="1" t="s">
        <v>158</v>
      </c>
      <c r="E32" s="2">
        <v>37808.0</v>
      </c>
      <c r="F32" s="1" t="s">
        <v>53</v>
      </c>
      <c r="G32" s="1" t="s">
        <v>17</v>
      </c>
      <c r="H32" s="1" t="s">
        <v>18</v>
      </c>
      <c r="I32" s="3">
        <f>+2250759535147</f>
        <v>2250759535147</v>
      </c>
      <c r="J32" s="3">
        <f>+2250708104663</f>
        <v>2250708104663</v>
      </c>
      <c r="K32" s="1" t="s">
        <v>19</v>
      </c>
      <c r="L32" s="4" t="s">
        <v>159</v>
      </c>
    </row>
    <row r="33">
      <c r="A33" s="1" t="s">
        <v>12</v>
      </c>
      <c r="B33" s="1" t="s">
        <v>160</v>
      </c>
      <c r="C33" s="1" t="s">
        <v>161</v>
      </c>
      <c r="D33" s="1" t="s">
        <v>162</v>
      </c>
      <c r="E33" s="2">
        <v>38419.0</v>
      </c>
      <c r="F33" s="1" t="s">
        <v>62</v>
      </c>
      <c r="G33" s="1" t="s">
        <v>17</v>
      </c>
      <c r="H33" s="1" t="s">
        <v>18</v>
      </c>
      <c r="I33" s="3">
        <f>+2250142874059</f>
        <v>2250142874059</v>
      </c>
      <c r="J33" s="3">
        <f>+2250707512538</f>
        <v>2250707512538</v>
      </c>
      <c r="K33" s="1" t="s">
        <v>19</v>
      </c>
      <c r="L33" s="4" t="s">
        <v>163</v>
      </c>
    </row>
    <row r="34">
      <c r="A34" s="1" t="s">
        <v>12</v>
      </c>
      <c r="B34" s="1" t="s">
        <v>164</v>
      </c>
      <c r="C34" s="1" t="s">
        <v>165</v>
      </c>
      <c r="D34" s="1" t="s">
        <v>166</v>
      </c>
      <c r="E34" s="2">
        <v>36334.0</v>
      </c>
      <c r="F34" s="1" t="s">
        <v>167</v>
      </c>
      <c r="G34" s="1" t="s">
        <v>17</v>
      </c>
      <c r="H34" s="1" t="s">
        <v>18</v>
      </c>
      <c r="I34" s="3">
        <f>+2250747767583</f>
        <v>2250747767583</v>
      </c>
      <c r="J34" s="3">
        <f>+2250503713136</f>
        <v>2250503713136</v>
      </c>
      <c r="K34" s="1" t="s">
        <v>19</v>
      </c>
      <c r="L34" s="4" t="s">
        <v>168</v>
      </c>
    </row>
    <row r="35">
      <c r="A35" s="1" t="s">
        <v>12</v>
      </c>
      <c r="B35" s="1" t="s">
        <v>169</v>
      </c>
      <c r="C35" s="1" t="s">
        <v>170</v>
      </c>
      <c r="D35" s="1" t="s">
        <v>171</v>
      </c>
      <c r="E35" s="2">
        <v>37883.0</v>
      </c>
      <c r="F35" s="1" t="s">
        <v>101</v>
      </c>
      <c r="G35" s="1" t="s">
        <v>76</v>
      </c>
      <c r="H35" s="1" t="s">
        <v>32</v>
      </c>
      <c r="I35" s="3">
        <f>+2250705057037</f>
        <v>2250705057037</v>
      </c>
      <c r="J35" s="3">
        <f>+2250709182412</f>
        <v>2250709182412</v>
      </c>
      <c r="K35" s="1" t="s">
        <v>19</v>
      </c>
      <c r="L35" s="4" t="s">
        <v>172</v>
      </c>
    </row>
    <row r="36">
      <c r="A36" s="1" t="s">
        <v>12</v>
      </c>
      <c r="B36" s="1" t="s">
        <v>173</v>
      </c>
      <c r="C36" s="1" t="s">
        <v>174</v>
      </c>
      <c r="D36" s="1" t="s">
        <v>175</v>
      </c>
      <c r="E36" s="2">
        <v>38225.0</v>
      </c>
      <c r="F36" s="1" t="s">
        <v>48</v>
      </c>
      <c r="G36" s="1" t="s">
        <v>31</v>
      </c>
      <c r="H36" s="1" t="s">
        <v>32</v>
      </c>
      <c r="I36" s="3">
        <f>+2250787891550</f>
        <v>2250787891550</v>
      </c>
      <c r="J36" s="3">
        <f>+2250709181805</f>
        <v>2250709181805</v>
      </c>
      <c r="K36" s="1" t="s">
        <v>19</v>
      </c>
      <c r="L36" s="4" t="s">
        <v>176</v>
      </c>
    </row>
    <row r="37">
      <c r="A37" s="1" t="s">
        <v>12</v>
      </c>
      <c r="B37" s="1" t="s">
        <v>177</v>
      </c>
      <c r="C37" s="1" t="s">
        <v>174</v>
      </c>
      <c r="D37" s="1" t="s">
        <v>178</v>
      </c>
      <c r="E37" s="5">
        <v>38703.0</v>
      </c>
      <c r="F37" s="1" t="s">
        <v>48</v>
      </c>
      <c r="G37" s="1" t="s">
        <v>76</v>
      </c>
      <c r="H37" s="1" t="s">
        <v>32</v>
      </c>
      <c r="I37" s="3">
        <f>+2250140877467</f>
        <v>2250140877467</v>
      </c>
      <c r="J37" s="3">
        <f>+2250152060217</f>
        <v>2250152060217</v>
      </c>
      <c r="K37" s="1" t="s">
        <v>19</v>
      </c>
      <c r="L37" s="4" t="s">
        <v>179</v>
      </c>
    </row>
    <row r="38">
      <c r="A38" s="1" t="s">
        <v>12</v>
      </c>
      <c r="B38" s="1" t="s">
        <v>180</v>
      </c>
      <c r="C38" s="1" t="s">
        <v>174</v>
      </c>
      <c r="D38" s="1" t="s">
        <v>181</v>
      </c>
      <c r="E38" s="5">
        <v>36819.0</v>
      </c>
      <c r="F38" s="1" t="s">
        <v>182</v>
      </c>
      <c r="G38" s="1" t="s">
        <v>82</v>
      </c>
      <c r="H38" s="1" t="s">
        <v>18</v>
      </c>
      <c r="I38" s="3">
        <f>+2250707562265</f>
        <v>2250707562265</v>
      </c>
      <c r="J38" s="3">
        <f>+2250709261033</f>
        <v>2250709261033</v>
      </c>
      <c r="K38" s="1" t="s">
        <v>19</v>
      </c>
      <c r="L38" s="4" t="s">
        <v>183</v>
      </c>
    </row>
    <row r="39">
      <c r="A39" s="1" t="s">
        <v>12</v>
      </c>
      <c r="B39" s="1" t="s">
        <v>184</v>
      </c>
      <c r="C39" s="1" t="s">
        <v>185</v>
      </c>
      <c r="D39" s="1" t="s">
        <v>186</v>
      </c>
      <c r="E39" s="2">
        <v>38560.0</v>
      </c>
      <c r="F39" s="1" t="s">
        <v>62</v>
      </c>
      <c r="G39" s="1" t="s">
        <v>17</v>
      </c>
      <c r="H39" s="1" t="s">
        <v>18</v>
      </c>
      <c r="I39" s="3">
        <f>+2250701839233</f>
        <v>2250701839233</v>
      </c>
      <c r="J39" s="3">
        <f>+2250544505511</f>
        <v>2250544505511</v>
      </c>
      <c r="K39" s="1" t="s">
        <v>19</v>
      </c>
      <c r="L39" s="4" t="s">
        <v>187</v>
      </c>
    </row>
    <row r="40">
      <c r="A40" s="1" t="s">
        <v>12</v>
      </c>
      <c r="B40" s="1" t="s">
        <v>188</v>
      </c>
      <c r="C40" s="1" t="s">
        <v>185</v>
      </c>
      <c r="D40" s="1" t="s">
        <v>189</v>
      </c>
      <c r="E40" s="2">
        <v>37288.0</v>
      </c>
      <c r="F40" s="1" t="s">
        <v>30</v>
      </c>
      <c r="G40" s="1" t="s">
        <v>31</v>
      </c>
      <c r="H40" s="1" t="s">
        <v>32</v>
      </c>
      <c r="I40" s="3">
        <f>+2250797359734</f>
        <v>2250797359734</v>
      </c>
      <c r="J40" s="3">
        <f>+2250748012235</f>
        <v>2250748012235</v>
      </c>
      <c r="K40" s="1" t="s">
        <v>19</v>
      </c>
      <c r="L40" s="4" t="s">
        <v>190</v>
      </c>
    </row>
    <row r="41">
      <c r="A41" s="1" t="s">
        <v>12</v>
      </c>
      <c r="B41" s="1" t="s">
        <v>191</v>
      </c>
      <c r="C41" s="1" t="s">
        <v>192</v>
      </c>
      <c r="D41" s="1" t="s">
        <v>193</v>
      </c>
      <c r="E41" s="2">
        <v>38112.0</v>
      </c>
      <c r="F41" s="1" t="s">
        <v>92</v>
      </c>
      <c r="G41" s="1" t="s">
        <v>31</v>
      </c>
      <c r="H41" s="1" t="s">
        <v>32</v>
      </c>
      <c r="I41" s="3">
        <f>+2250170804282</f>
        <v>2250170804282</v>
      </c>
      <c r="J41" s="3">
        <f>+2250141045380</f>
        <v>2250141045380</v>
      </c>
      <c r="K41" s="1" t="s">
        <v>19</v>
      </c>
      <c r="L41" s="4" t="s">
        <v>194</v>
      </c>
    </row>
    <row r="42">
      <c r="A42" s="1" t="s">
        <v>12</v>
      </c>
      <c r="B42" s="1" t="s">
        <v>195</v>
      </c>
      <c r="C42" s="1" t="s">
        <v>196</v>
      </c>
      <c r="D42" s="1" t="s">
        <v>197</v>
      </c>
      <c r="E42" s="2">
        <v>36701.0</v>
      </c>
      <c r="F42" s="1" t="s">
        <v>16</v>
      </c>
      <c r="G42" s="1" t="s">
        <v>17</v>
      </c>
      <c r="H42" s="1" t="s">
        <v>18</v>
      </c>
      <c r="I42" s="3">
        <f>+2250769043730</f>
        <v>2250769043730</v>
      </c>
      <c r="J42" s="3">
        <f>+2250505023264</f>
        <v>2250505023264</v>
      </c>
      <c r="K42" s="1" t="s">
        <v>19</v>
      </c>
      <c r="L42" s="4" t="s">
        <v>198</v>
      </c>
    </row>
    <row r="43">
      <c r="A43" s="1" t="s">
        <v>12</v>
      </c>
      <c r="B43" s="1" t="s">
        <v>199</v>
      </c>
      <c r="C43" s="1" t="s">
        <v>200</v>
      </c>
      <c r="D43" s="1" t="s">
        <v>201</v>
      </c>
      <c r="E43" s="2">
        <v>38154.0</v>
      </c>
      <c r="F43" s="1" t="s">
        <v>16</v>
      </c>
      <c r="G43" s="1" t="s">
        <v>17</v>
      </c>
      <c r="H43" s="1" t="s">
        <v>18</v>
      </c>
      <c r="I43" s="3">
        <f>+2250700421363</f>
        <v>2250700421363</v>
      </c>
      <c r="J43" s="3">
        <f>+2250702575628</f>
        <v>2250702575628</v>
      </c>
      <c r="K43" s="1" t="s">
        <v>19</v>
      </c>
      <c r="L43" s="4" t="s">
        <v>202</v>
      </c>
    </row>
    <row r="44">
      <c r="A44" s="1" t="s">
        <v>12</v>
      </c>
      <c r="B44" s="1" t="s">
        <v>203</v>
      </c>
      <c r="C44" s="1" t="s">
        <v>204</v>
      </c>
      <c r="D44" s="1" t="s">
        <v>205</v>
      </c>
      <c r="E44" s="2">
        <v>38759.0</v>
      </c>
      <c r="F44" s="1" t="s">
        <v>30</v>
      </c>
      <c r="G44" s="1" t="s">
        <v>76</v>
      </c>
      <c r="H44" s="1" t="s">
        <v>32</v>
      </c>
      <c r="I44" s="3">
        <f>+2250151459588</f>
        <v>2250151459588</v>
      </c>
      <c r="J44" s="3">
        <f>+2250779868792</f>
        <v>2250779868792</v>
      </c>
      <c r="K44" s="1" t="s">
        <v>19</v>
      </c>
      <c r="L44" s="4" t="s">
        <v>206</v>
      </c>
    </row>
    <row r="45">
      <c r="A45" s="1" t="s">
        <v>12</v>
      </c>
      <c r="B45" s="1" t="s">
        <v>207</v>
      </c>
      <c r="C45" s="1" t="s">
        <v>208</v>
      </c>
      <c r="D45" s="1" t="s">
        <v>209</v>
      </c>
      <c r="E45" s="5">
        <v>37222.0</v>
      </c>
      <c r="F45" s="1" t="s">
        <v>24</v>
      </c>
      <c r="G45" s="1" t="s">
        <v>82</v>
      </c>
      <c r="H45" s="1" t="s">
        <v>18</v>
      </c>
      <c r="I45" s="3">
        <f t="shared" ref="I45:J45" si="1">+2250767755057</f>
        <v>2250767755057</v>
      </c>
      <c r="J45" s="3">
        <f t="shared" si="1"/>
        <v>2250767755057</v>
      </c>
      <c r="K45" s="1" t="s">
        <v>19</v>
      </c>
      <c r="L45" s="4" t="s">
        <v>210</v>
      </c>
    </row>
    <row r="46">
      <c r="A46" s="1" t="s">
        <v>12</v>
      </c>
      <c r="B46" s="1" t="s">
        <v>211</v>
      </c>
      <c r="C46" s="1" t="s">
        <v>212</v>
      </c>
      <c r="D46" s="1" t="s">
        <v>213</v>
      </c>
      <c r="E46" s="2">
        <v>37318.0</v>
      </c>
      <c r="F46" s="1" t="s">
        <v>101</v>
      </c>
      <c r="G46" s="1" t="s">
        <v>25</v>
      </c>
      <c r="H46" s="1" t="s">
        <v>18</v>
      </c>
      <c r="I46" s="3">
        <f>+2250759891642</f>
        <v>2250759891642</v>
      </c>
      <c r="J46" s="3">
        <f>+2250788494113</f>
        <v>2250788494113</v>
      </c>
      <c r="K46" s="1" t="s">
        <v>19</v>
      </c>
      <c r="L46" s="4" t="s">
        <v>214</v>
      </c>
    </row>
    <row r="47">
      <c r="A47" s="1" t="s">
        <v>12</v>
      </c>
      <c r="B47" s="1" t="s">
        <v>215</v>
      </c>
      <c r="C47" s="1" t="s">
        <v>216</v>
      </c>
      <c r="D47" s="1" t="s">
        <v>217</v>
      </c>
      <c r="E47" s="2">
        <v>37454.0</v>
      </c>
      <c r="F47" s="1" t="s">
        <v>16</v>
      </c>
      <c r="G47" s="1" t="s">
        <v>17</v>
      </c>
      <c r="H47" s="1" t="s">
        <v>18</v>
      </c>
      <c r="I47" s="3">
        <f>+2250171228679</f>
        <v>2250171228679</v>
      </c>
      <c r="J47" s="3">
        <f>+2250555913325</f>
        <v>2250555913325</v>
      </c>
      <c r="K47" s="1" t="s">
        <v>19</v>
      </c>
      <c r="L47" s="4" t="s">
        <v>218</v>
      </c>
    </row>
    <row r="48">
      <c r="A48" s="1" t="s">
        <v>12</v>
      </c>
      <c r="B48" s="1" t="s">
        <v>219</v>
      </c>
      <c r="C48" s="1" t="s">
        <v>220</v>
      </c>
      <c r="D48" s="1" t="s">
        <v>221</v>
      </c>
      <c r="E48" s="2">
        <v>38926.0</v>
      </c>
      <c r="F48" s="1" t="s">
        <v>16</v>
      </c>
      <c r="G48" s="1" t="s">
        <v>25</v>
      </c>
      <c r="H48" s="1" t="s">
        <v>18</v>
      </c>
      <c r="I48" s="3">
        <f>+2250153184828</f>
        <v>2250153184828</v>
      </c>
      <c r="J48" s="3">
        <f>+2250506412929</f>
        <v>2250506412929</v>
      </c>
      <c r="K48" s="1" t="s">
        <v>19</v>
      </c>
      <c r="L48" s="4" t="s">
        <v>222</v>
      </c>
    </row>
    <row r="49">
      <c r="A49" s="1" t="s">
        <v>12</v>
      </c>
      <c r="B49" s="1" t="s">
        <v>223</v>
      </c>
      <c r="C49" s="1" t="s">
        <v>224</v>
      </c>
      <c r="D49" s="1" t="s">
        <v>225</v>
      </c>
      <c r="E49" s="2">
        <v>38148.0</v>
      </c>
      <c r="F49" s="1" t="s">
        <v>30</v>
      </c>
      <c r="G49" s="1" t="s">
        <v>76</v>
      </c>
      <c r="H49" s="1" t="s">
        <v>32</v>
      </c>
      <c r="I49" s="3">
        <f>+2250788999817</f>
        <v>2250788999817</v>
      </c>
      <c r="J49" s="3">
        <f>+2250709095384</f>
        <v>2250709095384</v>
      </c>
      <c r="K49" s="1" t="s">
        <v>19</v>
      </c>
      <c r="L49" s="4" t="s">
        <v>226</v>
      </c>
    </row>
    <row r="50">
      <c r="A50" s="1" t="s">
        <v>12</v>
      </c>
      <c r="B50" s="1" t="s">
        <v>227</v>
      </c>
      <c r="C50" s="1" t="s">
        <v>228</v>
      </c>
      <c r="D50" s="1" t="s">
        <v>229</v>
      </c>
      <c r="E50" s="2">
        <v>37492.0</v>
      </c>
      <c r="F50" s="1" t="s">
        <v>30</v>
      </c>
      <c r="G50" s="1" t="s">
        <v>31</v>
      </c>
      <c r="H50" s="1" t="s">
        <v>32</v>
      </c>
      <c r="I50" s="3">
        <f>+2250767488148</f>
        <v>2250767488148</v>
      </c>
      <c r="J50" s="3">
        <f>+2250709012203</f>
        <v>2250709012203</v>
      </c>
      <c r="K50" s="1" t="s">
        <v>19</v>
      </c>
      <c r="L50" s="4" t="s">
        <v>230</v>
      </c>
    </row>
    <row r="51">
      <c r="A51" s="1" t="s">
        <v>12</v>
      </c>
      <c r="B51" s="1" t="s">
        <v>231</v>
      </c>
      <c r="C51" s="1" t="s">
        <v>232</v>
      </c>
      <c r="D51" s="1" t="s">
        <v>233</v>
      </c>
      <c r="E51" s="5">
        <v>36858.0</v>
      </c>
      <c r="F51" s="1" t="s">
        <v>62</v>
      </c>
      <c r="G51" s="1" t="s">
        <v>17</v>
      </c>
      <c r="H51" s="1" t="s">
        <v>18</v>
      </c>
      <c r="I51" s="3">
        <f>+2250103241296</f>
        <v>2250103241296</v>
      </c>
      <c r="J51" s="3">
        <f>+2250505051472</f>
        <v>2250505051472</v>
      </c>
      <c r="K51" s="1" t="s">
        <v>19</v>
      </c>
      <c r="L51" s="4" t="s">
        <v>234</v>
      </c>
    </row>
    <row r="52">
      <c r="A52" s="1" t="s">
        <v>12</v>
      </c>
      <c r="B52" s="1" t="s">
        <v>235</v>
      </c>
      <c r="C52" s="1" t="s">
        <v>236</v>
      </c>
      <c r="D52" s="1" t="s">
        <v>237</v>
      </c>
      <c r="E52" s="5">
        <v>37553.0</v>
      </c>
      <c r="F52" s="1" t="s">
        <v>182</v>
      </c>
      <c r="G52" s="1" t="s">
        <v>82</v>
      </c>
      <c r="H52" s="1" t="s">
        <v>18</v>
      </c>
      <c r="I52" s="3">
        <f>+2250709069289</f>
        <v>2250709069289</v>
      </c>
      <c r="J52" s="3">
        <f>+2250707346160</f>
        <v>2250707346160</v>
      </c>
      <c r="K52" s="1" t="s">
        <v>19</v>
      </c>
      <c r="L52" s="4" t="s">
        <v>238</v>
      </c>
    </row>
    <row r="53">
      <c r="A53" s="1" t="s">
        <v>12</v>
      </c>
      <c r="B53" s="1" t="s">
        <v>239</v>
      </c>
      <c r="C53" s="1" t="s">
        <v>240</v>
      </c>
      <c r="D53" s="1" t="s">
        <v>241</v>
      </c>
      <c r="E53" s="2">
        <v>36323.0</v>
      </c>
      <c r="F53" s="1" t="s">
        <v>101</v>
      </c>
      <c r="G53" s="1" t="s">
        <v>31</v>
      </c>
      <c r="H53" s="1" t="s">
        <v>32</v>
      </c>
      <c r="I53" s="3">
        <f>+2250711626057</f>
        <v>2250711626057</v>
      </c>
      <c r="J53" s="3">
        <f>+2250705169191</f>
        <v>2250705169191</v>
      </c>
      <c r="K53" s="1" t="s">
        <v>19</v>
      </c>
      <c r="L53" s="4" t="s">
        <v>242</v>
      </c>
    </row>
    <row r="54">
      <c r="A54" s="1" t="s">
        <v>12</v>
      </c>
      <c r="B54" s="1" t="s">
        <v>243</v>
      </c>
      <c r="C54" s="1" t="s">
        <v>244</v>
      </c>
      <c r="D54" s="1" t="s">
        <v>245</v>
      </c>
      <c r="E54" s="2">
        <v>37775.0</v>
      </c>
      <c r="F54" s="1" t="s">
        <v>155</v>
      </c>
      <c r="G54" s="1" t="s">
        <v>31</v>
      </c>
      <c r="H54" s="1" t="s">
        <v>32</v>
      </c>
      <c r="I54" s="3">
        <f>+2250787632928</f>
        <v>2250787632928</v>
      </c>
      <c r="J54" s="3">
        <f>+2250759597336</f>
        <v>2250759597336</v>
      </c>
      <c r="K54" s="1" t="s">
        <v>19</v>
      </c>
      <c r="L54" s="4" t="s">
        <v>246</v>
      </c>
    </row>
    <row r="55">
      <c r="A55" s="1" t="s">
        <v>12</v>
      </c>
      <c r="B55" s="1" t="s">
        <v>247</v>
      </c>
      <c r="C55" s="1" t="s">
        <v>248</v>
      </c>
      <c r="D55" s="1" t="s">
        <v>249</v>
      </c>
      <c r="E55" s="2">
        <v>36990.0</v>
      </c>
      <c r="F55" s="1" t="s">
        <v>16</v>
      </c>
      <c r="G55" s="1" t="s">
        <v>17</v>
      </c>
      <c r="H55" s="1" t="s">
        <v>18</v>
      </c>
      <c r="I55" s="3">
        <f>+2250777810493</f>
        <v>2250777810493</v>
      </c>
      <c r="J55" s="3">
        <f>+2250787537187</f>
        <v>2250787537187</v>
      </c>
      <c r="K55" s="1" t="s">
        <v>19</v>
      </c>
      <c r="L55" s="4" t="s">
        <v>250</v>
      </c>
    </row>
    <row r="56">
      <c r="A56" s="1" t="s">
        <v>12</v>
      </c>
      <c r="B56" s="1" t="s">
        <v>251</v>
      </c>
      <c r="C56" s="1" t="s">
        <v>252</v>
      </c>
      <c r="D56" s="1" t="s">
        <v>253</v>
      </c>
      <c r="E56" s="2">
        <v>36997.0</v>
      </c>
      <c r="F56" s="1" t="s">
        <v>138</v>
      </c>
      <c r="G56" s="1" t="s">
        <v>31</v>
      </c>
      <c r="H56" s="1" t="s">
        <v>32</v>
      </c>
      <c r="I56" s="3">
        <f>+2250709127199</f>
        <v>2250709127199</v>
      </c>
      <c r="J56" s="3">
        <f>+2250777020555</f>
        <v>2250777020555</v>
      </c>
      <c r="K56" s="1" t="s">
        <v>19</v>
      </c>
      <c r="L56" s="4" t="s">
        <v>254</v>
      </c>
    </row>
    <row r="57">
      <c r="A57" s="1" t="s">
        <v>12</v>
      </c>
      <c r="B57" s="1" t="s">
        <v>255</v>
      </c>
      <c r="C57" s="1" t="s">
        <v>256</v>
      </c>
      <c r="D57" s="1" t="s">
        <v>257</v>
      </c>
      <c r="E57" s="2">
        <v>36354.0</v>
      </c>
      <c r="F57" s="1" t="s">
        <v>138</v>
      </c>
      <c r="G57" s="1" t="s">
        <v>76</v>
      </c>
      <c r="H57" s="1" t="s">
        <v>32</v>
      </c>
      <c r="I57" s="3">
        <f>+2250102259819</f>
        <v>2250102259819</v>
      </c>
      <c r="J57" s="3">
        <f>+2250779169973</f>
        <v>2250779169973</v>
      </c>
      <c r="K57" s="1" t="s">
        <v>19</v>
      </c>
      <c r="L57" s="4" t="s">
        <v>258</v>
      </c>
    </row>
    <row r="58">
      <c r="A58" s="1" t="s">
        <v>12</v>
      </c>
      <c r="B58" s="1" t="s">
        <v>259</v>
      </c>
      <c r="C58" s="1" t="s">
        <v>256</v>
      </c>
      <c r="D58" s="1" t="s">
        <v>260</v>
      </c>
      <c r="E58" s="2">
        <v>37263.0</v>
      </c>
      <c r="F58" s="1" t="s">
        <v>62</v>
      </c>
      <c r="G58" s="1" t="s">
        <v>17</v>
      </c>
      <c r="H58" s="1" t="s">
        <v>18</v>
      </c>
      <c r="I58" s="3">
        <f>+2250769926999</f>
        <v>2250769926999</v>
      </c>
      <c r="J58" s="3">
        <f>+2250707802855</f>
        <v>2250707802855</v>
      </c>
      <c r="K58" s="1" t="s">
        <v>19</v>
      </c>
      <c r="L58" s="4" t="s">
        <v>261</v>
      </c>
    </row>
    <row r="59">
      <c r="A59" s="1" t="s">
        <v>12</v>
      </c>
      <c r="B59" s="1" t="s">
        <v>262</v>
      </c>
      <c r="C59" s="1" t="s">
        <v>256</v>
      </c>
      <c r="D59" s="1" t="s">
        <v>263</v>
      </c>
      <c r="E59" s="2">
        <v>35474.0</v>
      </c>
      <c r="F59" s="1" t="s">
        <v>24</v>
      </c>
      <c r="G59" s="1" t="s">
        <v>82</v>
      </c>
      <c r="H59" s="1" t="s">
        <v>18</v>
      </c>
      <c r="I59" s="3">
        <f>+2250566455979</f>
        <v>2250566455979</v>
      </c>
      <c r="J59" s="3">
        <f>+2250141280800</f>
        <v>2250141280800</v>
      </c>
      <c r="K59" s="1" t="s">
        <v>19</v>
      </c>
      <c r="L59" s="4" t="s">
        <v>264</v>
      </c>
    </row>
    <row r="60">
      <c r="A60" s="1" t="s">
        <v>12</v>
      </c>
      <c r="B60" s="1" t="s">
        <v>265</v>
      </c>
      <c r="C60" s="1" t="s">
        <v>256</v>
      </c>
      <c r="D60" s="1" t="s">
        <v>266</v>
      </c>
      <c r="E60" s="2">
        <v>37343.0</v>
      </c>
      <c r="F60" s="1" t="s">
        <v>62</v>
      </c>
      <c r="G60" s="1" t="s">
        <v>17</v>
      </c>
      <c r="H60" s="1" t="s">
        <v>18</v>
      </c>
      <c r="I60" s="3">
        <f>+2250769686412</f>
        <v>2250769686412</v>
      </c>
      <c r="J60" s="3">
        <f>+2250707547822</f>
        <v>2250707547822</v>
      </c>
      <c r="K60" s="1" t="s">
        <v>19</v>
      </c>
      <c r="L60" s="4" t="s">
        <v>267</v>
      </c>
    </row>
    <row r="61">
      <c r="A61" s="1" t="s">
        <v>12</v>
      </c>
      <c r="B61" s="1" t="s">
        <v>268</v>
      </c>
      <c r="C61" s="1" t="s">
        <v>269</v>
      </c>
      <c r="D61" s="1" t="s">
        <v>270</v>
      </c>
      <c r="E61" s="2">
        <v>37766.0</v>
      </c>
      <c r="F61" s="1" t="s">
        <v>92</v>
      </c>
      <c r="G61" s="1" t="s">
        <v>31</v>
      </c>
      <c r="H61" s="1" t="s">
        <v>32</v>
      </c>
      <c r="I61" s="3">
        <f>+2250142338490</f>
        <v>2250142338490</v>
      </c>
      <c r="J61" s="3">
        <f>+2250101127114</f>
        <v>2250101127114</v>
      </c>
      <c r="K61" s="1" t="s">
        <v>19</v>
      </c>
      <c r="L61" s="4" t="s">
        <v>271</v>
      </c>
    </row>
    <row r="62">
      <c r="A62" s="1" t="s">
        <v>12</v>
      </c>
      <c r="B62" s="1" t="s">
        <v>272</v>
      </c>
      <c r="C62" s="1" t="s">
        <v>269</v>
      </c>
      <c r="D62" s="1" t="s">
        <v>273</v>
      </c>
      <c r="E62" s="2">
        <v>37730.0</v>
      </c>
      <c r="F62" s="1" t="s">
        <v>87</v>
      </c>
      <c r="G62" s="1" t="s">
        <v>31</v>
      </c>
      <c r="H62" s="1" t="s">
        <v>32</v>
      </c>
      <c r="I62" s="3">
        <f>+2250140005552</f>
        <v>2250140005552</v>
      </c>
      <c r="J62" s="3">
        <f>+2250143742588</f>
        <v>2250143742588</v>
      </c>
      <c r="K62" s="1" t="s">
        <v>19</v>
      </c>
      <c r="L62" s="4" t="s">
        <v>274</v>
      </c>
    </row>
    <row r="63">
      <c r="A63" s="1" t="s">
        <v>12</v>
      </c>
      <c r="B63" s="1" t="s">
        <v>275</v>
      </c>
      <c r="C63" s="1" t="s">
        <v>269</v>
      </c>
      <c r="D63" s="1" t="s">
        <v>276</v>
      </c>
      <c r="E63" s="5">
        <v>37980.0</v>
      </c>
      <c r="F63" s="1" t="s">
        <v>147</v>
      </c>
      <c r="G63" s="1" t="s">
        <v>17</v>
      </c>
      <c r="H63" s="1" t="s">
        <v>18</v>
      </c>
      <c r="I63" s="3">
        <f>+2250142562754</f>
        <v>2250142562754</v>
      </c>
      <c r="J63" s="3">
        <f>+2250708103686</f>
        <v>2250708103686</v>
      </c>
      <c r="K63" s="1" t="s">
        <v>19</v>
      </c>
      <c r="L63" s="4" t="s">
        <v>277</v>
      </c>
    </row>
    <row r="64">
      <c r="A64" s="1" t="s">
        <v>12</v>
      </c>
      <c r="B64" s="1" t="s">
        <v>278</v>
      </c>
      <c r="C64" s="1" t="s">
        <v>269</v>
      </c>
      <c r="D64" s="1" t="s">
        <v>279</v>
      </c>
      <c r="E64" s="2">
        <v>37771.0</v>
      </c>
      <c r="F64" s="1" t="s">
        <v>101</v>
      </c>
      <c r="G64" s="1" t="s">
        <v>82</v>
      </c>
      <c r="H64" s="1" t="s">
        <v>18</v>
      </c>
      <c r="I64" s="3">
        <f>+2250170584291</f>
        <v>2250170584291</v>
      </c>
      <c r="J64" s="3">
        <f>+2250708403372</f>
        <v>2250708403372</v>
      </c>
      <c r="K64" s="1" t="s">
        <v>19</v>
      </c>
      <c r="L64" s="4" t="s">
        <v>280</v>
      </c>
    </row>
    <row r="65">
      <c r="A65" s="1" t="s">
        <v>12</v>
      </c>
      <c r="B65" s="1" t="s">
        <v>281</v>
      </c>
      <c r="C65" s="1" t="s">
        <v>282</v>
      </c>
      <c r="D65" s="1" t="s">
        <v>283</v>
      </c>
      <c r="E65" s="2">
        <v>35098.0</v>
      </c>
      <c r="F65" s="1" t="s">
        <v>155</v>
      </c>
      <c r="G65" s="1" t="s">
        <v>76</v>
      </c>
      <c r="H65" s="1" t="s">
        <v>32</v>
      </c>
      <c r="I65" s="3">
        <f>+2250506532518</f>
        <v>2250506532518</v>
      </c>
      <c r="J65" s="3">
        <f>+2250707399501</f>
        <v>2250707399501</v>
      </c>
      <c r="K65" s="1" t="s">
        <v>19</v>
      </c>
      <c r="L65" s="4" t="s">
        <v>284</v>
      </c>
    </row>
    <row r="66">
      <c r="A66" s="1" t="s">
        <v>12</v>
      </c>
      <c r="B66" s="1" t="s">
        <v>285</v>
      </c>
      <c r="C66" s="1" t="s">
        <v>286</v>
      </c>
      <c r="D66" s="1" t="s">
        <v>287</v>
      </c>
      <c r="E66" s="2">
        <v>38607.0</v>
      </c>
      <c r="F66" s="1" t="s">
        <v>288</v>
      </c>
      <c r="G66" s="1" t="s">
        <v>76</v>
      </c>
      <c r="H66" s="1" t="s">
        <v>32</v>
      </c>
      <c r="I66" s="3">
        <f>+2250778072090</f>
        <v>2250778072090</v>
      </c>
      <c r="J66" s="3">
        <f>+2250749723760</f>
        <v>2250749723760</v>
      </c>
      <c r="K66" s="1" t="s">
        <v>19</v>
      </c>
      <c r="L66" s="4" t="s">
        <v>289</v>
      </c>
    </row>
    <row r="67">
      <c r="A67" s="1" t="s">
        <v>12</v>
      </c>
      <c r="B67" s="1" t="s">
        <v>290</v>
      </c>
      <c r="C67" s="1" t="s">
        <v>291</v>
      </c>
      <c r="D67" s="1" t="s">
        <v>292</v>
      </c>
      <c r="E67" s="2">
        <v>37931.0</v>
      </c>
      <c r="F67" s="1" t="s">
        <v>48</v>
      </c>
      <c r="G67" s="1" t="s">
        <v>76</v>
      </c>
      <c r="H67" s="1" t="s">
        <v>32</v>
      </c>
      <c r="I67" s="3">
        <f>+2250101385005</f>
        <v>2250101385005</v>
      </c>
      <c r="J67" s="3">
        <f>+2250101335850</f>
        <v>2250101335850</v>
      </c>
      <c r="K67" s="1" t="s">
        <v>19</v>
      </c>
      <c r="L67" s="4" t="s">
        <v>293</v>
      </c>
    </row>
    <row r="68">
      <c r="A68" s="1" t="s">
        <v>12</v>
      </c>
      <c r="B68" s="1" t="s">
        <v>294</v>
      </c>
      <c r="C68" s="1" t="s">
        <v>295</v>
      </c>
      <c r="D68" s="1" t="s">
        <v>296</v>
      </c>
      <c r="E68" s="2">
        <v>37857.0</v>
      </c>
      <c r="F68" s="1" t="s">
        <v>16</v>
      </c>
      <c r="G68" s="1" t="s">
        <v>25</v>
      </c>
      <c r="H68" s="1" t="s">
        <v>18</v>
      </c>
      <c r="I68" s="3">
        <f>+2250701832609</f>
        <v>2250701832609</v>
      </c>
      <c r="J68" s="3">
        <f>+2250140755335</f>
        <v>2250140755335</v>
      </c>
      <c r="K68" s="1" t="s">
        <v>19</v>
      </c>
      <c r="L68" s="4" t="s">
        <v>297</v>
      </c>
    </row>
    <row r="69">
      <c r="A69" s="1" t="s">
        <v>12</v>
      </c>
      <c r="B69" s="1" t="s">
        <v>298</v>
      </c>
      <c r="C69" s="1" t="s">
        <v>299</v>
      </c>
      <c r="D69" s="1" t="s">
        <v>300</v>
      </c>
      <c r="E69" s="2">
        <v>38368.0</v>
      </c>
      <c r="F69" s="1" t="s">
        <v>62</v>
      </c>
      <c r="G69" s="1" t="s">
        <v>17</v>
      </c>
      <c r="H69" s="1" t="s">
        <v>18</v>
      </c>
      <c r="I69" s="3">
        <f>+2250747183338</f>
        <v>2250747183338</v>
      </c>
      <c r="J69" s="3">
        <f>+2250555526969</f>
        <v>2250555526969</v>
      </c>
      <c r="K69" s="1" t="s">
        <v>19</v>
      </c>
      <c r="L69" s="4" t="s">
        <v>301</v>
      </c>
    </row>
    <row r="70">
      <c r="A70" s="1" t="s">
        <v>12</v>
      </c>
      <c r="B70" s="1" t="s">
        <v>302</v>
      </c>
      <c r="C70" s="1" t="s">
        <v>303</v>
      </c>
      <c r="D70" s="1" t="s">
        <v>304</v>
      </c>
      <c r="E70" s="2">
        <v>38218.0</v>
      </c>
      <c r="F70" s="1" t="s">
        <v>155</v>
      </c>
      <c r="G70" s="1" t="s">
        <v>31</v>
      </c>
      <c r="H70" s="1" t="s">
        <v>32</v>
      </c>
      <c r="I70" s="3">
        <f>+2250595194111</f>
        <v>2250595194111</v>
      </c>
      <c r="J70" s="3">
        <f>+2250103734381</f>
        <v>2250103734381</v>
      </c>
      <c r="K70" s="1" t="s">
        <v>19</v>
      </c>
      <c r="L70" s="4" t="s">
        <v>305</v>
      </c>
    </row>
    <row r="71">
      <c r="A71" s="1" t="s">
        <v>12</v>
      </c>
      <c r="B71" s="1" t="s">
        <v>306</v>
      </c>
      <c r="C71" s="1" t="s">
        <v>307</v>
      </c>
      <c r="D71" s="1" t="s">
        <v>308</v>
      </c>
      <c r="E71" s="2">
        <v>38033.0</v>
      </c>
      <c r="F71" s="1" t="s">
        <v>75</v>
      </c>
      <c r="G71" s="1" t="s">
        <v>76</v>
      </c>
      <c r="H71" s="1" t="s">
        <v>32</v>
      </c>
      <c r="I71" s="3">
        <f>+2250707287896</f>
        <v>2250707287896</v>
      </c>
      <c r="J71" s="3">
        <f>+2250546973364</f>
        <v>2250546973364</v>
      </c>
      <c r="K71" s="1" t="s">
        <v>19</v>
      </c>
      <c r="L71" s="4" t="s">
        <v>309</v>
      </c>
    </row>
    <row r="72">
      <c r="A72" s="1" t="s">
        <v>12</v>
      </c>
      <c r="B72" s="1" t="s">
        <v>310</v>
      </c>
      <c r="C72" s="1" t="s">
        <v>311</v>
      </c>
      <c r="D72" s="1" t="s">
        <v>312</v>
      </c>
      <c r="E72" s="2">
        <v>39023.0</v>
      </c>
      <c r="F72" s="1" t="s">
        <v>62</v>
      </c>
      <c r="G72" s="1" t="s">
        <v>25</v>
      </c>
      <c r="H72" s="1" t="s">
        <v>18</v>
      </c>
      <c r="I72" s="3">
        <f>+2250171807963</f>
        <v>2250171807963</v>
      </c>
      <c r="J72" s="3">
        <f>+2250140166325</f>
        <v>2250140166325</v>
      </c>
      <c r="K72" s="1" t="s">
        <v>19</v>
      </c>
      <c r="L72" s="4" t="s">
        <v>313</v>
      </c>
    </row>
    <row r="73">
      <c r="A73" s="1" t="s">
        <v>12</v>
      </c>
      <c r="B73" s="1" t="s">
        <v>314</v>
      </c>
      <c r="C73" s="1" t="s">
        <v>311</v>
      </c>
      <c r="D73" s="1" t="s">
        <v>315</v>
      </c>
      <c r="E73" s="2">
        <v>38224.0</v>
      </c>
      <c r="F73" s="1" t="s">
        <v>53</v>
      </c>
      <c r="G73" s="1" t="s">
        <v>25</v>
      </c>
      <c r="H73" s="1" t="s">
        <v>18</v>
      </c>
      <c r="I73" s="3">
        <f>+2250757862160</f>
        <v>2250757862160</v>
      </c>
      <c r="J73" s="3">
        <f>+2250708257059</f>
        <v>2250708257059</v>
      </c>
      <c r="K73" s="1" t="s">
        <v>19</v>
      </c>
      <c r="L73" s="4" t="s">
        <v>316</v>
      </c>
    </row>
    <row r="74">
      <c r="A74" s="1" t="s">
        <v>12</v>
      </c>
      <c r="B74" s="1" t="s">
        <v>317</v>
      </c>
      <c r="C74" s="1" t="s">
        <v>318</v>
      </c>
      <c r="D74" s="1" t="s">
        <v>319</v>
      </c>
      <c r="E74" s="2">
        <v>38355.0</v>
      </c>
      <c r="F74" s="1" t="s">
        <v>16</v>
      </c>
      <c r="G74" s="1" t="s">
        <v>25</v>
      </c>
      <c r="H74" s="1" t="s">
        <v>18</v>
      </c>
      <c r="I74" s="3">
        <f>+2250768645115</f>
        <v>2250768645115</v>
      </c>
      <c r="J74" s="3">
        <f>+2250101937170</f>
        <v>2250101937170</v>
      </c>
      <c r="K74" s="1" t="s">
        <v>19</v>
      </c>
      <c r="L74" s="4" t="s">
        <v>320</v>
      </c>
    </row>
    <row r="75">
      <c r="A75" s="1" t="s">
        <v>12</v>
      </c>
      <c r="B75" s="1" t="s">
        <v>321</v>
      </c>
      <c r="C75" s="1" t="s">
        <v>318</v>
      </c>
      <c r="D75" s="1" t="s">
        <v>322</v>
      </c>
      <c r="E75" s="5">
        <v>37971.0</v>
      </c>
      <c r="F75" s="1" t="s">
        <v>62</v>
      </c>
      <c r="G75" s="1" t="s">
        <v>25</v>
      </c>
      <c r="H75" s="1" t="s">
        <v>18</v>
      </c>
      <c r="I75" s="3">
        <f>+2250778105700</f>
        <v>2250778105700</v>
      </c>
      <c r="J75" s="3">
        <f>+2250153781817</f>
        <v>2250153781817</v>
      </c>
      <c r="K75" s="1" t="s">
        <v>19</v>
      </c>
      <c r="L75" s="4" t="s">
        <v>323</v>
      </c>
    </row>
    <row r="76">
      <c r="A76" s="1" t="s">
        <v>12</v>
      </c>
      <c r="B76" s="1" t="s">
        <v>324</v>
      </c>
      <c r="C76" s="1" t="s">
        <v>325</v>
      </c>
      <c r="D76" s="1" t="s">
        <v>326</v>
      </c>
      <c r="E76" s="2">
        <v>37451.0</v>
      </c>
      <c r="F76" s="1" t="s">
        <v>48</v>
      </c>
      <c r="G76" s="1" t="s">
        <v>76</v>
      </c>
      <c r="H76" s="1" t="s">
        <v>32</v>
      </c>
      <c r="I76" s="3">
        <f>+2250502018498</f>
        <v>2250502018498</v>
      </c>
      <c r="J76" s="3">
        <f>+2250101642656</f>
        <v>2250101642656</v>
      </c>
      <c r="K76" s="1" t="s">
        <v>19</v>
      </c>
      <c r="L76" s="4" t="s">
        <v>327</v>
      </c>
    </row>
    <row r="77">
      <c r="A77" s="1" t="s">
        <v>12</v>
      </c>
      <c r="B77" s="1" t="s">
        <v>328</v>
      </c>
      <c r="C77" s="1" t="s">
        <v>329</v>
      </c>
      <c r="D77" s="1" t="s">
        <v>330</v>
      </c>
      <c r="E77" s="2">
        <v>38223.0</v>
      </c>
      <c r="F77" s="1" t="s">
        <v>53</v>
      </c>
      <c r="G77" s="1" t="s">
        <v>25</v>
      </c>
      <c r="H77" s="1" t="s">
        <v>18</v>
      </c>
      <c r="I77" s="3">
        <f>+2250141133960</f>
        <v>2250141133960</v>
      </c>
      <c r="J77" s="3">
        <f>+2250140274804</f>
        <v>2250140274804</v>
      </c>
      <c r="K77" s="1" t="s">
        <v>19</v>
      </c>
      <c r="L77" s="4" t="s">
        <v>331</v>
      </c>
    </row>
    <row r="78">
      <c r="A78" s="1" t="s">
        <v>12</v>
      </c>
      <c r="B78" s="1" t="s">
        <v>332</v>
      </c>
      <c r="C78" s="1" t="s">
        <v>333</v>
      </c>
      <c r="D78" s="1" t="s">
        <v>334</v>
      </c>
      <c r="E78" s="2">
        <v>37386.0</v>
      </c>
      <c r="F78" s="1" t="s">
        <v>101</v>
      </c>
      <c r="G78" s="1" t="s">
        <v>31</v>
      </c>
      <c r="H78" s="1" t="s">
        <v>32</v>
      </c>
      <c r="I78" s="3">
        <f>+2250768801301</f>
        <v>2250768801301</v>
      </c>
      <c r="J78" s="3">
        <f>+2250749876426</f>
        <v>2250749876426</v>
      </c>
      <c r="K78" s="1" t="s">
        <v>19</v>
      </c>
      <c r="L78" s="4" t="s">
        <v>335</v>
      </c>
    </row>
    <row r="79">
      <c r="A79" s="1" t="s">
        <v>12</v>
      </c>
      <c r="B79" s="1" t="s">
        <v>336</v>
      </c>
      <c r="C79" s="1" t="s">
        <v>337</v>
      </c>
      <c r="D79" s="1" t="s">
        <v>338</v>
      </c>
      <c r="E79" s="2">
        <v>36324.0</v>
      </c>
      <c r="F79" s="1" t="s">
        <v>16</v>
      </c>
      <c r="G79" s="1" t="s">
        <v>17</v>
      </c>
      <c r="H79" s="1" t="s">
        <v>18</v>
      </c>
      <c r="I79" s="3">
        <f t="shared" ref="I79:J79" si="2">+2250757872500</f>
        <v>2250757872500</v>
      </c>
      <c r="J79" s="3">
        <f t="shared" si="2"/>
        <v>2250757872500</v>
      </c>
      <c r="K79" s="1" t="s">
        <v>19</v>
      </c>
      <c r="L79" s="4" t="s">
        <v>339</v>
      </c>
    </row>
    <row r="80">
      <c r="A80" s="1" t="s">
        <v>12</v>
      </c>
      <c r="B80" s="1" t="s">
        <v>340</v>
      </c>
      <c r="C80" s="1" t="s">
        <v>337</v>
      </c>
      <c r="D80" s="1" t="s">
        <v>341</v>
      </c>
      <c r="E80" s="2">
        <v>36685.0</v>
      </c>
      <c r="F80" s="1" t="s">
        <v>342</v>
      </c>
      <c r="G80" s="1" t="s">
        <v>82</v>
      </c>
      <c r="H80" s="1" t="s">
        <v>18</v>
      </c>
      <c r="I80" s="3">
        <f>+2250749623071</f>
        <v>2250749623071</v>
      </c>
      <c r="J80" s="3">
        <f>+2250101641165</f>
        <v>2250101641165</v>
      </c>
      <c r="K80" s="1" t="s">
        <v>19</v>
      </c>
      <c r="L80" s="4" t="s">
        <v>343</v>
      </c>
    </row>
    <row r="81">
      <c r="A81" s="1" t="s">
        <v>12</v>
      </c>
      <c r="B81" s="1" t="s">
        <v>344</v>
      </c>
      <c r="C81" s="1" t="s">
        <v>345</v>
      </c>
      <c r="D81" s="1" t="s">
        <v>346</v>
      </c>
      <c r="E81" s="2">
        <v>36688.0</v>
      </c>
      <c r="F81" s="1" t="s">
        <v>167</v>
      </c>
      <c r="G81" s="1" t="s">
        <v>17</v>
      </c>
      <c r="H81" s="1" t="s">
        <v>18</v>
      </c>
      <c r="I81" s="3">
        <f>+2250140124294</f>
        <v>2250140124294</v>
      </c>
      <c r="J81" s="3">
        <f>+2250707650482</f>
        <v>2250707650482</v>
      </c>
      <c r="K81" s="1" t="s">
        <v>19</v>
      </c>
      <c r="L81" s="4" t="s">
        <v>347</v>
      </c>
    </row>
    <row r="82">
      <c r="A82" s="1" t="s">
        <v>12</v>
      </c>
      <c r="B82" s="1" t="s">
        <v>348</v>
      </c>
      <c r="C82" s="1" t="s">
        <v>349</v>
      </c>
      <c r="D82" s="1" t="s">
        <v>350</v>
      </c>
      <c r="E82" s="2">
        <v>36928.0</v>
      </c>
      <c r="F82" s="1" t="s">
        <v>351</v>
      </c>
      <c r="G82" s="1" t="s">
        <v>76</v>
      </c>
      <c r="H82" s="1" t="s">
        <v>32</v>
      </c>
      <c r="I82" s="3">
        <f>+2250141816178</f>
        <v>2250141816178</v>
      </c>
      <c r="J82" s="3">
        <f>+2250152128071</f>
        <v>2250152128071</v>
      </c>
      <c r="K82" s="1" t="s">
        <v>19</v>
      </c>
      <c r="L82" s="4" t="s">
        <v>352</v>
      </c>
    </row>
    <row r="83">
      <c r="A83" s="1" t="s">
        <v>12</v>
      </c>
      <c r="B83" s="1" t="s">
        <v>353</v>
      </c>
      <c r="C83" s="1" t="s">
        <v>349</v>
      </c>
      <c r="D83" s="1" t="s">
        <v>354</v>
      </c>
      <c r="E83" s="5">
        <v>38309.0</v>
      </c>
      <c r="F83" s="1" t="s">
        <v>155</v>
      </c>
      <c r="G83" s="1" t="s">
        <v>76</v>
      </c>
      <c r="H83" s="1" t="s">
        <v>32</v>
      </c>
      <c r="I83" s="3">
        <f>+2250143954850</f>
        <v>2250143954850</v>
      </c>
      <c r="J83" s="3">
        <f>+2250504707241</f>
        <v>2250504707241</v>
      </c>
      <c r="K83" s="1" t="s">
        <v>19</v>
      </c>
      <c r="L83" s="4" t="s">
        <v>355</v>
      </c>
    </row>
    <row r="84">
      <c r="A84" s="1" t="s">
        <v>12</v>
      </c>
      <c r="B84" s="1" t="s">
        <v>356</v>
      </c>
      <c r="C84" s="1" t="s">
        <v>357</v>
      </c>
      <c r="D84" s="1" t="s">
        <v>358</v>
      </c>
      <c r="E84" s="5">
        <v>37245.0</v>
      </c>
      <c r="F84" s="1" t="s">
        <v>16</v>
      </c>
      <c r="G84" s="1" t="s">
        <v>17</v>
      </c>
      <c r="H84" s="1" t="s">
        <v>18</v>
      </c>
      <c r="I84" s="3">
        <f>+2250566433308</f>
        <v>2250566433308</v>
      </c>
      <c r="J84" s="3">
        <f>+2250788157705</f>
        <v>2250788157705</v>
      </c>
      <c r="K84" s="1" t="s">
        <v>19</v>
      </c>
      <c r="L84" s="4" t="s">
        <v>359</v>
      </c>
    </row>
    <row r="85">
      <c r="A85" s="1" t="s">
        <v>12</v>
      </c>
      <c r="B85" s="1" t="s">
        <v>360</v>
      </c>
      <c r="C85" s="1" t="s">
        <v>361</v>
      </c>
      <c r="D85" s="1" t="s">
        <v>362</v>
      </c>
      <c r="E85" s="2">
        <v>38147.0</v>
      </c>
      <c r="F85" s="1" t="s">
        <v>87</v>
      </c>
      <c r="G85" s="1" t="s">
        <v>76</v>
      </c>
      <c r="H85" s="1" t="s">
        <v>32</v>
      </c>
      <c r="I85" s="3">
        <f>+2250711254252</f>
        <v>2250711254252</v>
      </c>
      <c r="J85" s="3">
        <f>+2250757259799</f>
        <v>2250757259799</v>
      </c>
      <c r="K85" s="1" t="s">
        <v>19</v>
      </c>
      <c r="L85" s="4" t="s">
        <v>363</v>
      </c>
    </row>
    <row r="86">
      <c r="A86" s="1" t="s">
        <v>12</v>
      </c>
      <c r="B86" s="1" t="s">
        <v>364</v>
      </c>
      <c r="C86" s="1" t="s">
        <v>361</v>
      </c>
      <c r="D86" s="1" t="s">
        <v>365</v>
      </c>
      <c r="E86" s="2">
        <v>38200.0</v>
      </c>
      <c r="F86" s="1" t="s">
        <v>62</v>
      </c>
      <c r="G86" s="1" t="s">
        <v>17</v>
      </c>
      <c r="H86" s="1" t="s">
        <v>18</v>
      </c>
      <c r="I86" s="3">
        <f>+2250172701784</f>
        <v>2250172701784</v>
      </c>
      <c r="J86" s="3">
        <f>+2250707180728</f>
        <v>2250707180728</v>
      </c>
      <c r="K86" s="1" t="s">
        <v>19</v>
      </c>
      <c r="L86" s="4" t="s">
        <v>366</v>
      </c>
    </row>
    <row r="87">
      <c r="A87" s="1" t="s">
        <v>12</v>
      </c>
      <c r="B87" s="1" t="s">
        <v>367</v>
      </c>
      <c r="C87" s="1" t="s">
        <v>368</v>
      </c>
      <c r="D87" s="1" t="s">
        <v>369</v>
      </c>
      <c r="E87" s="2">
        <v>37902.0</v>
      </c>
      <c r="F87" s="1" t="s">
        <v>30</v>
      </c>
      <c r="G87" s="1" t="s">
        <v>76</v>
      </c>
      <c r="H87" s="1" t="s">
        <v>32</v>
      </c>
      <c r="I87" s="3">
        <f t="shared" ref="I87:J87" si="3">+2250757823088</f>
        <v>2250757823088</v>
      </c>
      <c r="J87" s="3">
        <f t="shared" si="3"/>
        <v>2250757823088</v>
      </c>
      <c r="K87" s="1" t="s">
        <v>19</v>
      </c>
      <c r="L87" s="4" t="s">
        <v>370</v>
      </c>
    </row>
    <row r="88">
      <c r="A88" s="1" t="s">
        <v>12</v>
      </c>
      <c r="B88" s="1" t="s">
        <v>371</v>
      </c>
      <c r="C88" s="1" t="s">
        <v>372</v>
      </c>
      <c r="D88" s="1" t="s">
        <v>373</v>
      </c>
      <c r="E88" s="2">
        <v>38144.0</v>
      </c>
      <c r="F88" s="1" t="s">
        <v>62</v>
      </c>
      <c r="G88" s="1" t="s">
        <v>17</v>
      </c>
      <c r="H88" s="1" t="s">
        <v>18</v>
      </c>
      <c r="I88" s="3">
        <f>+2250787131105</f>
        <v>2250787131105</v>
      </c>
      <c r="J88" s="3">
        <f>+2250748089915</f>
        <v>2250748089915</v>
      </c>
      <c r="K88" s="1" t="s">
        <v>19</v>
      </c>
      <c r="L88" s="4" t="s">
        <v>374</v>
      </c>
    </row>
    <row r="89">
      <c r="A89" s="1" t="s">
        <v>12</v>
      </c>
      <c r="B89" s="1" t="s">
        <v>375</v>
      </c>
      <c r="C89" s="1" t="s">
        <v>372</v>
      </c>
      <c r="D89" s="1" t="s">
        <v>376</v>
      </c>
      <c r="E89" s="2">
        <v>38417.0</v>
      </c>
      <c r="F89" s="1" t="s">
        <v>53</v>
      </c>
      <c r="G89" s="1" t="s">
        <v>25</v>
      </c>
      <c r="H89" s="1" t="s">
        <v>18</v>
      </c>
      <c r="I89" s="3">
        <f>+2250704030183</f>
        <v>2250704030183</v>
      </c>
      <c r="J89" s="3">
        <f>+2250504005455</f>
        <v>2250504005455</v>
      </c>
      <c r="K89" s="1" t="s">
        <v>19</v>
      </c>
      <c r="L89" s="4" t="s">
        <v>377</v>
      </c>
    </row>
    <row r="90">
      <c r="A90" s="1" t="s">
        <v>12</v>
      </c>
      <c r="B90" s="1" t="s">
        <v>378</v>
      </c>
      <c r="C90" s="1" t="s">
        <v>372</v>
      </c>
      <c r="D90" s="1" t="s">
        <v>379</v>
      </c>
      <c r="E90" s="2">
        <v>35181.0</v>
      </c>
      <c r="F90" s="1" t="s">
        <v>62</v>
      </c>
      <c r="G90" s="1" t="s">
        <v>25</v>
      </c>
      <c r="H90" s="1" t="s">
        <v>18</v>
      </c>
      <c r="I90" s="3">
        <f>+2250749993080</f>
        <v>2250749993080</v>
      </c>
      <c r="J90" s="3">
        <f>+2250747210298</f>
        <v>2250747210298</v>
      </c>
      <c r="K90" s="1" t="s">
        <v>19</v>
      </c>
      <c r="L90" s="4" t="s">
        <v>380</v>
      </c>
    </row>
    <row r="91">
      <c r="A91" s="1" t="s">
        <v>12</v>
      </c>
      <c r="B91" s="1" t="s">
        <v>381</v>
      </c>
      <c r="C91" s="1" t="s">
        <v>372</v>
      </c>
      <c r="D91" s="1" t="s">
        <v>382</v>
      </c>
      <c r="E91" s="5">
        <v>37254.0</v>
      </c>
      <c r="F91" s="1" t="s">
        <v>97</v>
      </c>
      <c r="G91" s="1" t="s">
        <v>82</v>
      </c>
      <c r="H91" s="1" t="s">
        <v>18</v>
      </c>
      <c r="I91" s="3">
        <f>+2250160511471</f>
        <v>2250160511471</v>
      </c>
      <c r="J91" s="3">
        <f>+2250709774751</f>
        <v>2250709774751</v>
      </c>
      <c r="K91" s="1" t="s">
        <v>19</v>
      </c>
      <c r="L91" s="4" t="s">
        <v>383</v>
      </c>
    </row>
    <row r="92">
      <c r="A92" s="1" t="s">
        <v>12</v>
      </c>
      <c r="B92" s="1" t="s">
        <v>384</v>
      </c>
      <c r="C92" s="1" t="s">
        <v>372</v>
      </c>
      <c r="D92" s="1" t="s">
        <v>385</v>
      </c>
      <c r="E92" s="2">
        <v>36422.0</v>
      </c>
      <c r="F92" s="1" t="s">
        <v>75</v>
      </c>
      <c r="G92" s="1" t="s">
        <v>76</v>
      </c>
      <c r="H92" s="1" t="s">
        <v>32</v>
      </c>
      <c r="I92" s="3">
        <f>+2250758560592</f>
        <v>2250758560592</v>
      </c>
      <c r="J92" s="3">
        <f>+2250707667991</f>
        <v>2250707667991</v>
      </c>
      <c r="K92" s="1" t="s">
        <v>19</v>
      </c>
      <c r="L92" s="4" t="s">
        <v>386</v>
      </c>
    </row>
    <row r="93">
      <c r="A93" s="1" t="s">
        <v>12</v>
      </c>
      <c r="B93" s="1" t="s">
        <v>387</v>
      </c>
      <c r="C93" s="1" t="s">
        <v>372</v>
      </c>
      <c r="D93" s="1" t="s">
        <v>388</v>
      </c>
      <c r="E93" s="2">
        <v>38466.0</v>
      </c>
      <c r="F93" s="1" t="s">
        <v>62</v>
      </c>
      <c r="G93" s="1" t="s">
        <v>17</v>
      </c>
      <c r="H93" s="1" t="s">
        <v>18</v>
      </c>
      <c r="I93" s="3">
        <f>+2250101642974</f>
        <v>2250101642974</v>
      </c>
      <c r="J93" s="3">
        <f>+2250103366460</f>
        <v>2250103366460</v>
      </c>
      <c r="K93" s="1" t="s">
        <v>19</v>
      </c>
      <c r="L93" s="4" t="s">
        <v>389</v>
      </c>
    </row>
    <row r="94">
      <c r="A94" s="1" t="s">
        <v>12</v>
      </c>
      <c r="B94" s="1" t="s">
        <v>390</v>
      </c>
      <c r="C94" s="1" t="s">
        <v>372</v>
      </c>
      <c r="D94" s="1" t="s">
        <v>391</v>
      </c>
      <c r="E94" s="2">
        <v>36902.0</v>
      </c>
      <c r="F94" s="1" t="s">
        <v>155</v>
      </c>
      <c r="G94" s="1" t="s">
        <v>31</v>
      </c>
      <c r="H94" s="1" t="s">
        <v>32</v>
      </c>
      <c r="I94" s="3">
        <f>+2250757839246</f>
        <v>2250757839246</v>
      </c>
      <c r="J94" s="3">
        <f>+2250709245133</f>
        <v>2250709245133</v>
      </c>
      <c r="K94" s="1" t="s">
        <v>19</v>
      </c>
      <c r="L94" s="4" t="s">
        <v>392</v>
      </c>
    </row>
    <row r="95">
      <c r="A95" s="1" t="s">
        <v>12</v>
      </c>
      <c r="B95" s="1" t="s">
        <v>393</v>
      </c>
      <c r="C95" s="1" t="s">
        <v>372</v>
      </c>
      <c r="D95" s="1" t="s">
        <v>394</v>
      </c>
      <c r="E95" s="2">
        <v>36335.0</v>
      </c>
      <c r="F95" s="1" t="s">
        <v>155</v>
      </c>
      <c r="G95" s="1" t="s">
        <v>76</v>
      </c>
      <c r="H95" s="1" t="s">
        <v>32</v>
      </c>
      <c r="I95" s="3">
        <f>+2250171404920</f>
        <v>2250171404920</v>
      </c>
      <c r="J95" s="3">
        <f>+2250143999964</f>
        <v>2250143999964</v>
      </c>
      <c r="K95" s="1" t="s">
        <v>19</v>
      </c>
      <c r="L95" s="4" t="s">
        <v>395</v>
      </c>
    </row>
    <row r="96">
      <c r="A96" s="1" t="s">
        <v>12</v>
      </c>
      <c r="B96" s="1" t="s">
        <v>396</v>
      </c>
      <c r="C96" s="1" t="s">
        <v>372</v>
      </c>
      <c r="D96" s="1" t="s">
        <v>397</v>
      </c>
      <c r="E96" s="2">
        <v>38097.0</v>
      </c>
      <c r="F96" s="1" t="s">
        <v>62</v>
      </c>
      <c r="G96" s="1" t="s">
        <v>17</v>
      </c>
      <c r="H96" s="1" t="s">
        <v>18</v>
      </c>
      <c r="I96" s="3">
        <f>+2250749392752</f>
        <v>2250749392752</v>
      </c>
      <c r="J96" s="3">
        <f>+2250505351355</f>
        <v>2250505351355</v>
      </c>
      <c r="K96" s="1" t="s">
        <v>19</v>
      </c>
      <c r="L96" s="4" t="s">
        <v>398</v>
      </c>
    </row>
    <row r="97">
      <c r="A97" s="1" t="s">
        <v>12</v>
      </c>
      <c r="B97" s="1" t="s">
        <v>399</v>
      </c>
      <c r="C97" s="1" t="s">
        <v>372</v>
      </c>
      <c r="D97" s="1" t="s">
        <v>400</v>
      </c>
      <c r="E97" s="5">
        <v>38706.0</v>
      </c>
      <c r="F97" s="1" t="s">
        <v>16</v>
      </c>
      <c r="G97" s="1" t="s">
        <v>25</v>
      </c>
      <c r="H97" s="1" t="s">
        <v>18</v>
      </c>
      <c r="I97" s="3">
        <f>+2250584616066</f>
        <v>2250584616066</v>
      </c>
      <c r="J97" s="3">
        <f>+2250758703885</f>
        <v>2250758703885</v>
      </c>
      <c r="K97" s="1" t="s">
        <v>19</v>
      </c>
      <c r="L97" s="4" t="s">
        <v>401</v>
      </c>
    </row>
    <row r="98">
      <c r="A98" s="1" t="s">
        <v>12</v>
      </c>
      <c r="B98" s="1" t="s">
        <v>402</v>
      </c>
      <c r="C98" s="1" t="s">
        <v>403</v>
      </c>
      <c r="D98" s="1" t="s">
        <v>404</v>
      </c>
      <c r="E98" s="2">
        <v>37659.0</v>
      </c>
      <c r="F98" s="1" t="s">
        <v>101</v>
      </c>
      <c r="G98" s="1" t="s">
        <v>31</v>
      </c>
      <c r="H98" s="1" t="s">
        <v>32</v>
      </c>
      <c r="I98" s="3">
        <f>+2250787630503</f>
        <v>2250787630503</v>
      </c>
      <c r="J98" s="3">
        <f>+2250504202482</f>
        <v>2250504202482</v>
      </c>
      <c r="K98" s="1" t="s">
        <v>19</v>
      </c>
      <c r="L98" s="4" t="s">
        <v>405</v>
      </c>
    </row>
    <row r="99">
      <c r="A99" s="1" t="s">
        <v>12</v>
      </c>
      <c r="B99" s="1" t="s">
        <v>406</v>
      </c>
      <c r="C99" s="1" t="s">
        <v>407</v>
      </c>
      <c r="D99" s="1" t="s">
        <v>408</v>
      </c>
      <c r="E99" s="2">
        <v>37386.0</v>
      </c>
      <c r="F99" s="1" t="s">
        <v>62</v>
      </c>
      <c r="G99" s="1" t="s">
        <v>25</v>
      </c>
      <c r="H99" s="1" t="s">
        <v>18</v>
      </c>
      <c r="I99" s="3">
        <f>+2250143270233</f>
        <v>2250143270233</v>
      </c>
      <c r="J99" s="3">
        <f>+2250707395509</f>
        <v>2250707395509</v>
      </c>
      <c r="K99" s="1" t="s">
        <v>19</v>
      </c>
      <c r="L99" s="4" t="s">
        <v>409</v>
      </c>
    </row>
    <row r="100">
      <c r="A100" s="1" t="s">
        <v>12</v>
      </c>
      <c r="B100" s="1" t="s">
        <v>410</v>
      </c>
      <c r="C100" s="1" t="s">
        <v>407</v>
      </c>
      <c r="D100" s="1" t="s">
        <v>411</v>
      </c>
      <c r="E100" s="2">
        <v>38799.0</v>
      </c>
      <c r="F100" s="1" t="s">
        <v>30</v>
      </c>
      <c r="G100" s="1" t="s">
        <v>76</v>
      </c>
      <c r="H100" s="1" t="s">
        <v>32</v>
      </c>
      <c r="I100" s="3">
        <f>+2250151035263</f>
        <v>2250151035263</v>
      </c>
      <c r="J100" s="3">
        <f>+2250759575468</f>
        <v>2250759575468</v>
      </c>
      <c r="K100" s="1" t="s">
        <v>19</v>
      </c>
      <c r="L100" s="4" t="s">
        <v>412</v>
      </c>
    </row>
    <row r="101">
      <c r="A101" s="1" t="s">
        <v>12</v>
      </c>
      <c r="B101" s="1" t="s">
        <v>413</v>
      </c>
      <c r="C101" s="1" t="s">
        <v>414</v>
      </c>
      <c r="D101" s="1" t="s">
        <v>415</v>
      </c>
      <c r="E101" s="2">
        <v>38733.0</v>
      </c>
      <c r="F101" s="1" t="s">
        <v>416</v>
      </c>
      <c r="G101" s="1" t="s">
        <v>76</v>
      </c>
      <c r="H101" s="1" t="s">
        <v>32</v>
      </c>
      <c r="I101" s="3">
        <f>+2250502987240</f>
        <v>2250502987240</v>
      </c>
      <c r="J101" s="3">
        <f>+2250747416079</f>
        <v>2250747416079</v>
      </c>
      <c r="K101" s="1" t="s">
        <v>19</v>
      </c>
      <c r="L101" s="4" t="s">
        <v>417</v>
      </c>
    </row>
    <row r="102">
      <c r="A102" s="1" t="s">
        <v>12</v>
      </c>
      <c r="B102" s="1" t="s">
        <v>418</v>
      </c>
      <c r="C102" s="1" t="s">
        <v>419</v>
      </c>
      <c r="D102" s="1" t="s">
        <v>420</v>
      </c>
      <c r="E102" s="5">
        <v>37611.0</v>
      </c>
      <c r="F102" s="1" t="s">
        <v>62</v>
      </c>
      <c r="G102" s="1" t="s">
        <v>17</v>
      </c>
      <c r="H102" s="1" t="s">
        <v>18</v>
      </c>
      <c r="I102" s="3">
        <f>+2250709233082</f>
        <v>2250709233082</v>
      </c>
      <c r="J102" s="3">
        <f>+2250140312792</f>
        <v>2250140312792</v>
      </c>
      <c r="K102" s="1" t="s">
        <v>19</v>
      </c>
      <c r="L102" s="4" t="s">
        <v>421</v>
      </c>
    </row>
    <row r="103">
      <c r="A103" s="1" t="s">
        <v>12</v>
      </c>
      <c r="B103" s="1" t="s">
        <v>422</v>
      </c>
      <c r="C103" s="1" t="s">
        <v>423</v>
      </c>
      <c r="D103" s="1" t="s">
        <v>424</v>
      </c>
      <c r="E103" s="2">
        <v>36717.0</v>
      </c>
      <c r="F103" s="1" t="s">
        <v>92</v>
      </c>
      <c r="G103" s="1" t="s">
        <v>82</v>
      </c>
      <c r="H103" s="1" t="s">
        <v>18</v>
      </c>
      <c r="I103" s="3">
        <f>+2250701915280</f>
        <v>2250701915280</v>
      </c>
      <c r="J103" s="3">
        <f>+2250778585595</f>
        <v>2250778585595</v>
      </c>
      <c r="K103" s="1" t="s">
        <v>19</v>
      </c>
      <c r="L103" s="4" t="s">
        <v>425</v>
      </c>
    </row>
    <row r="104">
      <c r="A104" s="1" t="s">
        <v>12</v>
      </c>
      <c r="B104" s="1" t="s">
        <v>426</v>
      </c>
      <c r="C104" s="1" t="s">
        <v>427</v>
      </c>
      <c r="D104" s="1" t="s">
        <v>428</v>
      </c>
      <c r="E104" s="5">
        <v>38349.0</v>
      </c>
      <c r="F104" s="1" t="s">
        <v>75</v>
      </c>
      <c r="G104" s="1" t="s">
        <v>76</v>
      </c>
      <c r="H104" s="1" t="s">
        <v>32</v>
      </c>
      <c r="I104" s="3">
        <f>+2250141961128</f>
        <v>2250141961128</v>
      </c>
      <c r="J104" s="3">
        <f>+2250757267188</f>
        <v>2250757267188</v>
      </c>
      <c r="K104" s="1" t="s">
        <v>19</v>
      </c>
      <c r="L104" s="4" t="s">
        <v>429</v>
      </c>
    </row>
    <row r="105">
      <c r="A105" s="1" t="s">
        <v>12</v>
      </c>
      <c r="B105" s="1" t="s">
        <v>430</v>
      </c>
      <c r="C105" s="1" t="s">
        <v>431</v>
      </c>
      <c r="D105" s="1" t="s">
        <v>432</v>
      </c>
      <c r="E105" s="2">
        <v>37756.0</v>
      </c>
      <c r="F105" s="1" t="s">
        <v>48</v>
      </c>
      <c r="G105" s="1" t="s">
        <v>82</v>
      </c>
      <c r="H105" s="1" t="s">
        <v>18</v>
      </c>
      <c r="I105" s="3">
        <f>+2250789514122</f>
        <v>2250789514122</v>
      </c>
      <c r="J105" s="3">
        <f>+2250707092498</f>
        <v>2250707092498</v>
      </c>
      <c r="K105" s="1" t="s">
        <v>19</v>
      </c>
      <c r="L105" s="4" t="s">
        <v>433</v>
      </c>
    </row>
    <row r="106">
      <c r="A106" s="1" t="s">
        <v>12</v>
      </c>
      <c r="B106" s="1" t="s">
        <v>434</v>
      </c>
      <c r="C106" s="1" t="s">
        <v>435</v>
      </c>
      <c r="D106" s="1" t="s">
        <v>436</v>
      </c>
      <c r="E106" s="2">
        <v>38072.0</v>
      </c>
      <c r="F106" s="1" t="s">
        <v>62</v>
      </c>
      <c r="G106" s="1" t="s">
        <v>25</v>
      </c>
      <c r="H106" s="1" t="s">
        <v>18</v>
      </c>
      <c r="I106" s="3">
        <f>+2250788859578</f>
        <v>2250788859578</v>
      </c>
      <c r="J106" s="3">
        <f>+2250747918606</f>
        <v>2250747918606</v>
      </c>
      <c r="K106" s="1" t="s">
        <v>19</v>
      </c>
      <c r="L106" s="4" t="s">
        <v>437</v>
      </c>
    </row>
    <row r="107">
      <c r="A107" s="1" t="s">
        <v>12</v>
      </c>
      <c r="B107" s="1" t="s">
        <v>438</v>
      </c>
      <c r="C107" s="1" t="s">
        <v>439</v>
      </c>
      <c r="D107" s="1" t="s">
        <v>440</v>
      </c>
      <c r="E107" s="2">
        <v>37879.0</v>
      </c>
      <c r="F107" s="1" t="s">
        <v>48</v>
      </c>
      <c r="G107" s="1" t="s">
        <v>31</v>
      </c>
      <c r="H107" s="1" t="s">
        <v>32</v>
      </c>
      <c r="I107" s="3">
        <f>+2250704642957</f>
        <v>2250704642957</v>
      </c>
      <c r="J107" s="3">
        <f>+2250789549428</f>
        <v>2250789549428</v>
      </c>
      <c r="K107" s="1" t="s">
        <v>19</v>
      </c>
      <c r="L107" s="4" t="s">
        <v>441</v>
      </c>
    </row>
    <row r="108">
      <c r="A108" s="1" t="s">
        <v>12</v>
      </c>
      <c r="B108" s="1" t="s">
        <v>442</v>
      </c>
      <c r="C108" s="1" t="s">
        <v>439</v>
      </c>
      <c r="D108" s="1" t="s">
        <v>443</v>
      </c>
      <c r="E108" s="2">
        <v>38092.0</v>
      </c>
      <c r="F108" s="1" t="s">
        <v>62</v>
      </c>
      <c r="G108" s="1" t="s">
        <v>17</v>
      </c>
      <c r="H108" s="1" t="s">
        <v>18</v>
      </c>
      <c r="I108" s="3">
        <f>+2250747349279</f>
        <v>2250747349279</v>
      </c>
      <c r="J108" s="3">
        <f>+2250777078663</f>
        <v>2250777078663</v>
      </c>
      <c r="K108" s="1" t="s">
        <v>19</v>
      </c>
      <c r="L108" s="4" t="s">
        <v>444</v>
      </c>
    </row>
    <row r="109">
      <c r="A109" s="1" t="s">
        <v>12</v>
      </c>
      <c r="B109" s="1" t="s">
        <v>445</v>
      </c>
      <c r="C109" s="1" t="s">
        <v>439</v>
      </c>
      <c r="D109" s="1" t="s">
        <v>446</v>
      </c>
      <c r="E109" s="2">
        <v>38053.0</v>
      </c>
      <c r="F109" s="1" t="s">
        <v>30</v>
      </c>
      <c r="G109" s="1" t="s">
        <v>76</v>
      </c>
      <c r="H109" s="1" t="s">
        <v>32</v>
      </c>
      <c r="I109" s="3">
        <f>+2250757667336</f>
        <v>2250757667336</v>
      </c>
      <c r="J109" s="3">
        <f>+2250707448246</f>
        <v>2250707448246</v>
      </c>
      <c r="K109" s="1" t="s">
        <v>19</v>
      </c>
      <c r="L109" s="4" t="s">
        <v>447</v>
      </c>
    </row>
    <row r="110">
      <c r="A110" s="1" t="s">
        <v>12</v>
      </c>
      <c r="B110" s="1" t="s">
        <v>448</v>
      </c>
      <c r="C110" s="1" t="s">
        <v>449</v>
      </c>
      <c r="D110" s="1" t="s">
        <v>450</v>
      </c>
      <c r="E110" s="2">
        <v>38449.0</v>
      </c>
      <c r="F110" s="1" t="s">
        <v>48</v>
      </c>
      <c r="G110" s="1" t="s">
        <v>76</v>
      </c>
      <c r="H110" s="1" t="s">
        <v>32</v>
      </c>
      <c r="I110" s="3">
        <f>+2250710567838</f>
        <v>2250710567838</v>
      </c>
      <c r="J110" s="3">
        <f>+2250707406001</f>
        <v>2250707406001</v>
      </c>
      <c r="K110" s="1" t="s">
        <v>19</v>
      </c>
      <c r="L110" s="4" t="s">
        <v>451</v>
      </c>
    </row>
    <row r="111">
      <c r="A111" s="1" t="s">
        <v>12</v>
      </c>
      <c r="B111" s="1" t="s">
        <v>452</v>
      </c>
      <c r="C111" s="1" t="s">
        <v>453</v>
      </c>
      <c r="D111" s="1" t="s">
        <v>454</v>
      </c>
      <c r="E111" s="2">
        <v>37887.0</v>
      </c>
      <c r="F111" s="1" t="s">
        <v>351</v>
      </c>
      <c r="G111" s="1" t="s">
        <v>76</v>
      </c>
      <c r="H111" s="1" t="s">
        <v>32</v>
      </c>
      <c r="I111" s="3">
        <f>+2250101415404</f>
        <v>2250101415404</v>
      </c>
      <c r="J111" s="3">
        <f>+2250748321482</f>
        <v>2250748321482</v>
      </c>
      <c r="K111" s="1" t="s">
        <v>19</v>
      </c>
      <c r="L111" s="4" t="s">
        <v>455</v>
      </c>
    </row>
    <row r="112">
      <c r="A112" s="1" t="s">
        <v>12</v>
      </c>
      <c r="B112" s="1" t="s">
        <v>456</v>
      </c>
      <c r="C112" s="1" t="s">
        <v>457</v>
      </c>
      <c r="D112" s="1" t="s">
        <v>458</v>
      </c>
      <c r="E112" s="2">
        <v>37824.0</v>
      </c>
      <c r="F112" s="1" t="s">
        <v>16</v>
      </c>
      <c r="G112" s="1" t="s">
        <v>82</v>
      </c>
      <c r="H112" s="1" t="s">
        <v>18</v>
      </c>
      <c r="I112" s="3">
        <f>+2250152785257</f>
        <v>2250152785257</v>
      </c>
      <c r="J112" s="3">
        <f>+2250778305189</f>
        <v>2250778305189</v>
      </c>
      <c r="K112" s="1" t="s">
        <v>19</v>
      </c>
      <c r="L112" s="4" t="s">
        <v>459</v>
      </c>
    </row>
    <row r="113">
      <c r="A113" s="1" t="s">
        <v>12</v>
      </c>
      <c r="B113" s="1" t="s">
        <v>460</v>
      </c>
      <c r="C113" s="1" t="s">
        <v>457</v>
      </c>
      <c r="D113" s="1" t="s">
        <v>461</v>
      </c>
      <c r="E113" s="2">
        <v>38751.0</v>
      </c>
      <c r="F113" s="1" t="s">
        <v>48</v>
      </c>
      <c r="G113" s="1" t="s">
        <v>76</v>
      </c>
      <c r="H113" s="1" t="s">
        <v>32</v>
      </c>
      <c r="I113" s="3">
        <f>+2250506642622</f>
        <v>2250506642622</v>
      </c>
      <c r="J113" s="3">
        <f>+2250555360573</f>
        <v>2250555360573</v>
      </c>
      <c r="K113" s="1" t="s">
        <v>19</v>
      </c>
      <c r="L113" s="4" t="s">
        <v>462</v>
      </c>
    </row>
    <row r="114">
      <c r="A114" s="1" t="s">
        <v>12</v>
      </c>
      <c r="B114" s="1" t="s">
        <v>463</v>
      </c>
      <c r="C114" s="1" t="s">
        <v>464</v>
      </c>
      <c r="D114" s="1" t="s">
        <v>465</v>
      </c>
      <c r="E114" s="2">
        <v>38772.0</v>
      </c>
      <c r="F114" s="1" t="s">
        <v>110</v>
      </c>
      <c r="G114" s="1" t="s">
        <v>82</v>
      </c>
      <c r="H114" s="1" t="s">
        <v>18</v>
      </c>
      <c r="I114" s="3">
        <f>+2250710084983</f>
        <v>2250710084983</v>
      </c>
      <c r="J114" s="3">
        <f>+2250708507475</f>
        <v>2250708507475</v>
      </c>
      <c r="K114" s="1" t="s">
        <v>19</v>
      </c>
      <c r="L114" s="4" t="s">
        <v>466</v>
      </c>
    </row>
    <row r="115">
      <c r="A115" s="1" t="s">
        <v>12</v>
      </c>
      <c r="B115" s="1" t="s">
        <v>467</v>
      </c>
      <c r="C115" s="1" t="s">
        <v>468</v>
      </c>
      <c r="D115" s="1" t="s">
        <v>469</v>
      </c>
      <c r="E115" s="2">
        <v>38041.0</v>
      </c>
      <c r="F115" s="1" t="s">
        <v>24</v>
      </c>
      <c r="G115" s="1" t="s">
        <v>82</v>
      </c>
      <c r="H115" s="1" t="s">
        <v>18</v>
      </c>
      <c r="I115" s="3">
        <f>+2250152728263</f>
        <v>2250152728263</v>
      </c>
      <c r="J115" s="3">
        <f>+2250575447987</f>
        <v>2250575447987</v>
      </c>
      <c r="K115" s="1" t="s">
        <v>19</v>
      </c>
      <c r="L115" s="4" t="s">
        <v>470</v>
      </c>
    </row>
    <row r="116">
      <c r="A116" s="1" t="s">
        <v>12</v>
      </c>
      <c r="B116" s="1" t="s">
        <v>471</v>
      </c>
      <c r="C116" s="1" t="s">
        <v>472</v>
      </c>
      <c r="D116" s="1" t="s">
        <v>473</v>
      </c>
      <c r="E116" s="2">
        <v>38627.0</v>
      </c>
      <c r="F116" s="1" t="s">
        <v>70</v>
      </c>
      <c r="G116" s="1" t="s">
        <v>76</v>
      </c>
      <c r="H116" s="1" t="s">
        <v>32</v>
      </c>
      <c r="I116" s="3">
        <f>+2250150137819</f>
        <v>2250150137819</v>
      </c>
      <c r="J116" s="3">
        <f>+2250748201713</f>
        <v>2250748201713</v>
      </c>
      <c r="K116" s="1" t="s">
        <v>19</v>
      </c>
      <c r="L116" s="4" t="s">
        <v>474</v>
      </c>
    </row>
    <row r="117">
      <c r="A117" s="1" t="s">
        <v>12</v>
      </c>
      <c r="B117" s="1" t="s">
        <v>475</v>
      </c>
      <c r="C117" s="1" t="s">
        <v>476</v>
      </c>
      <c r="D117" s="1" t="s">
        <v>477</v>
      </c>
      <c r="E117" s="2">
        <v>45159.0</v>
      </c>
      <c r="F117" s="1" t="s">
        <v>62</v>
      </c>
      <c r="G117" s="1" t="s">
        <v>25</v>
      </c>
      <c r="H117" s="1" t="s">
        <v>18</v>
      </c>
      <c r="I117" s="3">
        <f>+2250787390305</f>
        <v>2250787390305</v>
      </c>
      <c r="J117" s="3">
        <f>+2250103306819</f>
        <v>2250103306819</v>
      </c>
      <c r="K117" s="1" t="s">
        <v>19</v>
      </c>
      <c r="L117" s="4" t="s">
        <v>478</v>
      </c>
    </row>
    <row r="118">
      <c r="A118" s="1" t="s">
        <v>12</v>
      </c>
      <c r="B118" s="1" t="s">
        <v>479</v>
      </c>
      <c r="C118" s="1" t="s">
        <v>480</v>
      </c>
      <c r="D118" s="1" t="s">
        <v>481</v>
      </c>
      <c r="E118" s="5">
        <v>36870.0</v>
      </c>
      <c r="F118" s="1" t="s">
        <v>30</v>
      </c>
      <c r="G118" s="1" t="s">
        <v>76</v>
      </c>
      <c r="H118" s="1" t="s">
        <v>32</v>
      </c>
      <c r="I118" s="3">
        <f>+2250789676603</f>
        <v>2250789676603</v>
      </c>
      <c r="J118" s="3">
        <f>+2250709726723</f>
        <v>2250709726723</v>
      </c>
      <c r="K118" s="1" t="s">
        <v>19</v>
      </c>
      <c r="L118" s="4" t="s">
        <v>482</v>
      </c>
    </row>
    <row r="119">
      <c r="A119" s="1" t="s">
        <v>12</v>
      </c>
      <c r="B119" s="1" t="s">
        <v>483</v>
      </c>
      <c r="C119" s="1" t="s">
        <v>484</v>
      </c>
      <c r="D119" s="1" t="s">
        <v>485</v>
      </c>
      <c r="E119" s="2">
        <v>38425.0</v>
      </c>
      <c r="F119" s="1" t="s">
        <v>16</v>
      </c>
      <c r="G119" s="1" t="s">
        <v>25</v>
      </c>
      <c r="H119" s="1" t="s">
        <v>18</v>
      </c>
      <c r="I119" s="3">
        <f>+2250711736413</f>
        <v>2250711736413</v>
      </c>
      <c r="J119" s="3">
        <f>+2250709143711</f>
        <v>2250709143711</v>
      </c>
      <c r="K119" s="1" t="s">
        <v>19</v>
      </c>
      <c r="L119" s="4" t="s">
        <v>486</v>
      </c>
    </row>
    <row r="120">
      <c r="A120" s="1" t="s">
        <v>12</v>
      </c>
      <c r="B120" s="1" t="s">
        <v>487</v>
      </c>
      <c r="C120" s="1" t="s">
        <v>488</v>
      </c>
      <c r="D120" s="1" t="s">
        <v>489</v>
      </c>
      <c r="E120" s="5">
        <v>37980.0</v>
      </c>
      <c r="F120" s="1" t="s">
        <v>53</v>
      </c>
      <c r="G120" s="1" t="s">
        <v>17</v>
      </c>
      <c r="H120" s="1" t="s">
        <v>18</v>
      </c>
      <c r="I120" s="3">
        <f>+2250769693714</f>
        <v>2250769693714</v>
      </c>
      <c r="J120" s="3">
        <f>+2250153190968</f>
        <v>2250153190968</v>
      </c>
      <c r="K120" s="1" t="s">
        <v>19</v>
      </c>
      <c r="L120" s="4" t="s">
        <v>490</v>
      </c>
    </row>
    <row r="121">
      <c r="A121" s="1" t="s">
        <v>12</v>
      </c>
      <c r="B121" s="1" t="s">
        <v>491</v>
      </c>
      <c r="C121" s="1" t="s">
        <v>492</v>
      </c>
      <c r="D121" s="1" t="s">
        <v>493</v>
      </c>
      <c r="E121" s="2">
        <v>37414.0</v>
      </c>
      <c r="F121" s="1" t="s">
        <v>16</v>
      </c>
      <c r="G121" s="1" t="s">
        <v>17</v>
      </c>
      <c r="H121" s="1" t="s">
        <v>18</v>
      </c>
      <c r="I121" s="3">
        <f>+2250103664337</f>
        <v>2250103664337</v>
      </c>
      <c r="J121" s="3">
        <f>+2250101444111</f>
        <v>2250101444111</v>
      </c>
      <c r="K121" s="1" t="s">
        <v>19</v>
      </c>
      <c r="L121" s="4" t="s">
        <v>494</v>
      </c>
    </row>
    <row r="122">
      <c r="A122" s="1" t="s">
        <v>12</v>
      </c>
      <c r="B122" s="1" t="s">
        <v>495</v>
      </c>
      <c r="C122" s="1" t="s">
        <v>496</v>
      </c>
      <c r="D122" s="1" t="s">
        <v>497</v>
      </c>
      <c r="E122" s="5">
        <v>36512.0</v>
      </c>
      <c r="F122" s="1" t="s">
        <v>155</v>
      </c>
      <c r="G122" s="1" t="s">
        <v>31</v>
      </c>
      <c r="H122" s="1" t="s">
        <v>32</v>
      </c>
      <c r="I122" s="3">
        <f>+2250501784559</f>
        <v>2250501784559</v>
      </c>
      <c r="J122" s="3">
        <f>+2250748737281</f>
        <v>2250748737281</v>
      </c>
      <c r="K122" s="1" t="s">
        <v>19</v>
      </c>
      <c r="L122" s="4" t="s">
        <v>498</v>
      </c>
    </row>
    <row r="123">
      <c r="A123" s="1" t="s">
        <v>12</v>
      </c>
      <c r="B123" s="1" t="s">
        <v>499</v>
      </c>
      <c r="C123" s="1" t="s">
        <v>496</v>
      </c>
      <c r="D123" s="1" t="s">
        <v>500</v>
      </c>
      <c r="E123" s="2">
        <v>37796.0</v>
      </c>
      <c r="F123" s="1" t="s">
        <v>97</v>
      </c>
      <c r="G123" s="1" t="s">
        <v>82</v>
      </c>
      <c r="H123" s="1" t="s">
        <v>18</v>
      </c>
      <c r="I123" s="3">
        <f>+2250777371895</f>
        <v>2250777371895</v>
      </c>
      <c r="J123" s="3">
        <f>+2250788464697</f>
        <v>2250788464697</v>
      </c>
      <c r="K123" s="1" t="s">
        <v>19</v>
      </c>
      <c r="L123" s="4" t="s">
        <v>501</v>
      </c>
    </row>
    <row r="124">
      <c r="A124" s="1" t="s">
        <v>12</v>
      </c>
      <c r="B124" s="1" t="s">
        <v>502</v>
      </c>
      <c r="C124" s="1" t="s">
        <v>503</v>
      </c>
      <c r="D124" s="1" t="s">
        <v>504</v>
      </c>
      <c r="E124" s="5">
        <v>37175.0</v>
      </c>
      <c r="F124" s="1" t="s">
        <v>101</v>
      </c>
      <c r="G124" s="1" t="s">
        <v>25</v>
      </c>
      <c r="H124" s="1" t="s">
        <v>18</v>
      </c>
      <c r="I124" s="3">
        <f>+2250778402091</f>
        <v>2250778402091</v>
      </c>
      <c r="J124" s="3">
        <f>+2250707772740</f>
        <v>2250707772740</v>
      </c>
      <c r="K124" s="1" t="s">
        <v>19</v>
      </c>
      <c r="L124" s="4" t="s">
        <v>505</v>
      </c>
    </row>
    <row r="125">
      <c r="A125" s="1" t="s">
        <v>12</v>
      </c>
      <c r="B125" s="1" t="s">
        <v>506</v>
      </c>
      <c r="C125" s="1" t="s">
        <v>507</v>
      </c>
      <c r="D125" s="1" t="s">
        <v>508</v>
      </c>
      <c r="E125" s="2">
        <v>38772.0</v>
      </c>
      <c r="F125" s="1" t="s">
        <v>16</v>
      </c>
      <c r="G125" s="1" t="s">
        <v>17</v>
      </c>
      <c r="H125" s="1" t="s">
        <v>18</v>
      </c>
      <c r="I125" s="3">
        <f>+2250709917713</f>
        <v>2250709917713</v>
      </c>
      <c r="J125" s="3">
        <f>+2250707742097</f>
        <v>2250707742097</v>
      </c>
      <c r="K125" s="1" t="s">
        <v>19</v>
      </c>
      <c r="L125" s="4" t="s">
        <v>509</v>
      </c>
    </row>
    <row r="126">
      <c r="A126" s="1" t="s">
        <v>12</v>
      </c>
      <c r="B126" s="1" t="s">
        <v>510</v>
      </c>
      <c r="C126" s="1" t="s">
        <v>511</v>
      </c>
      <c r="D126" s="1" t="s">
        <v>512</v>
      </c>
      <c r="E126" s="5">
        <v>37222.0</v>
      </c>
      <c r="F126" s="1" t="s">
        <v>101</v>
      </c>
      <c r="G126" s="1" t="s">
        <v>76</v>
      </c>
      <c r="H126" s="1" t="s">
        <v>32</v>
      </c>
      <c r="I126" s="3">
        <f>+2250797424599</f>
        <v>2250797424599</v>
      </c>
      <c r="J126" s="3">
        <f>+2250759883762</f>
        <v>2250759883762</v>
      </c>
      <c r="K126" s="1" t="s">
        <v>19</v>
      </c>
      <c r="L126" s="4" t="s">
        <v>513</v>
      </c>
    </row>
    <row r="127">
      <c r="A127" s="1" t="s">
        <v>12</v>
      </c>
      <c r="B127" s="1" t="s">
        <v>514</v>
      </c>
      <c r="C127" s="1" t="s">
        <v>511</v>
      </c>
      <c r="D127" s="1" t="s">
        <v>515</v>
      </c>
      <c r="E127" s="2">
        <v>37788.0</v>
      </c>
      <c r="F127" s="1" t="s">
        <v>53</v>
      </c>
      <c r="G127" s="1" t="s">
        <v>25</v>
      </c>
      <c r="H127" s="1" t="s">
        <v>18</v>
      </c>
      <c r="I127" s="3">
        <f>+2250749160274</f>
        <v>2250749160274</v>
      </c>
      <c r="J127" s="3">
        <f>+2250758780186</f>
        <v>2250758780186</v>
      </c>
      <c r="K127" s="1" t="s">
        <v>19</v>
      </c>
      <c r="L127" s="4" t="s">
        <v>516</v>
      </c>
    </row>
    <row r="128">
      <c r="A128" s="1" t="s">
        <v>12</v>
      </c>
      <c r="B128" s="1" t="s">
        <v>517</v>
      </c>
      <c r="C128" s="1" t="s">
        <v>518</v>
      </c>
      <c r="D128" s="1" t="s">
        <v>519</v>
      </c>
      <c r="E128" s="5">
        <v>37573.0</v>
      </c>
      <c r="F128" s="1" t="s">
        <v>48</v>
      </c>
      <c r="G128" s="1" t="s">
        <v>82</v>
      </c>
      <c r="H128" s="1" t="s">
        <v>18</v>
      </c>
      <c r="I128" s="3">
        <f>+2250779351601</f>
        <v>2250779351601</v>
      </c>
      <c r="J128" s="3">
        <f>+2250749908716</f>
        <v>2250749908716</v>
      </c>
      <c r="K128" s="1" t="s">
        <v>19</v>
      </c>
      <c r="L128" s="4" t="s">
        <v>520</v>
      </c>
    </row>
    <row r="129">
      <c r="A129" s="1" t="s">
        <v>12</v>
      </c>
      <c r="B129" s="1" t="s">
        <v>521</v>
      </c>
      <c r="C129" s="1" t="s">
        <v>522</v>
      </c>
      <c r="D129" s="1" t="s">
        <v>523</v>
      </c>
      <c r="E129" s="2">
        <v>36391.0</v>
      </c>
      <c r="F129" s="1" t="s">
        <v>48</v>
      </c>
      <c r="G129" s="1" t="s">
        <v>76</v>
      </c>
      <c r="H129" s="1" t="s">
        <v>32</v>
      </c>
      <c r="I129" s="3">
        <f>+2250160484438</f>
        <v>2250160484438</v>
      </c>
      <c r="J129" s="3">
        <f>+2250103834921</f>
        <v>2250103834921</v>
      </c>
      <c r="K129" s="1" t="s">
        <v>19</v>
      </c>
      <c r="L129" s="4" t="s">
        <v>524</v>
      </c>
    </row>
    <row r="130">
      <c r="A130" s="1" t="s">
        <v>12</v>
      </c>
      <c r="B130" s="1" t="s">
        <v>525</v>
      </c>
      <c r="C130" s="1" t="s">
        <v>526</v>
      </c>
      <c r="D130" s="1" t="s">
        <v>527</v>
      </c>
      <c r="E130" s="2">
        <v>37405.0</v>
      </c>
      <c r="F130" s="1" t="s">
        <v>30</v>
      </c>
      <c r="G130" s="1" t="s">
        <v>76</v>
      </c>
      <c r="H130" s="1" t="s">
        <v>32</v>
      </c>
      <c r="I130" s="3">
        <f>+2250769361516</f>
        <v>2250769361516</v>
      </c>
      <c r="J130" s="3">
        <f>+2250779012102</f>
        <v>2250779012102</v>
      </c>
      <c r="K130" s="1" t="s">
        <v>19</v>
      </c>
      <c r="L130" s="4" t="s">
        <v>528</v>
      </c>
    </row>
    <row r="131">
      <c r="A131" s="1" t="s">
        <v>12</v>
      </c>
      <c r="B131" s="1" t="s">
        <v>529</v>
      </c>
      <c r="C131" s="1" t="s">
        <v>530</v>
      </c>
      <c r="D131" s="1" t="s">
        <v>531</v>
      </c>
      <c r="E131" s="2">
        <v>36161.0</v>
      </c>
      <c r="F131" s="1" t="s">
        <v>70</v>
      </c>
      <c r="G131" s="1" t="s">
        <v>76</v>
      </c>
      <c r="H131" s="1" t="s">
        <v>32</v>
      </c>
      <c r="I131" s="3">
        <f>+2250707825379</f>
        <v>2250707825379</v>
      </c>
      <c r="J131" s="3">
        <f>+2250789405558</f>
        <v>2250789405558</v>
      </c>
      <c r="K131" s="1" t="s">
        <v>19</v>
      </c>
      <c r="L131" s="4" t="s">
        <v>532</v>
      </c>
    </row>
    <row r="132">
      <c r="A132" s="1" t="s">
        <v>12</v>
      </c>
      <c r="B132" s="1" t="s">
        <v>533</v>
      </c>
      <c r="C132" s="1" t="s">
        <v>534</v>
      </c>
      <c r="D132" s="1" t="s">
        <v>535</v>
      </c>
      <c r="E132" s="2">
        <v>38112.0</v>
      </c>
      <c r="F132" s="1" t="s">
        <v>48</v>
      </c>
      <c r="G132" s="1" t="s">
        <v>31</v>
      </c>
      <c r="H132" s="1" t="s">
        <v>32</v>
      </c>
      <c r="I132" s="3">
        <f>+2250767008068</f>
        <v>2250767008068</v>
      </c>
      <c r="J132" s="3">
        <f>+2250102938758</f>
        <v>2250102938758</v>
      </c>
      <c r="K132" s="1" t="s">
        <v>19</v>
      </c>
      <c r="L132" s="4" t="s">
        <v>536</v>
      </c>
    </row>
    <row r="133">
      <c r="A133" s="1" t="s">
        <v>12</v>
      </c>
      <c r="B133" s="1" t="s">
        <v>537</v>
      </c>
      <c r="C133" s="1" t="s">
        <v>538</v>
      </c>
      <c r="D133" s="1" t="s">
        <v>539</v>
      </c>
      <c r="E133" s="2">
        <v>37641.0</v>
      </c>
      <c r="F133" s="1" t="s">
        <v>16</v>
      </c>
      <c r="G133" s="1" t="s">
        <v>82</v>
      </c>
      <c r="H133" s="1" t="s">
        <v>18</v>
      </c>
      <c r="I133" s="3">
        <f>+2250500148343</f>
        <v>2250500148343</v>
      </c>
      <c r="J133" s="3">
        <f>+2250709747369</f>
        <v>2250709747369</v>
      </c>
      <c r="K133" s="1" t="s">
        <v>19</v>
      </c>
      <c r="L133" s="4" t="s">
        <v>540</v>
      </c>
    </row>
    <row r="134">
      <c r="A134" s="1" t="s">
        <v>12</v>
      </c>
      <c r="B134" s="1" t="s">
        <v>541</v>
      </c>
      <c r="C134" s="1" t="s">
        <v>542</v>
      </c>
      <c r="D134" s="1" t="s">
        <v>543</v>
      </c>
      <c r="E134" s="2">
        <v>38324.0</v>
      </c>
      <c r="F134" s="1" t="s">
        <v>16</v>
      </c>
      <c r="G134" s="1" t="s">
        <v>25</v>
      </c>
      <c r="H134" s="1" t="s">
        <v>18</v>
      </c>
      <c r="I134" s="3">
        <f>+2250555094194</f>
        <v>2250555094194</v>
      </c>
      <c r="J134" s="3">
        <f>+2250555003970</f>
        <v>2250555003970</v>
      </c>
      <c r="K134" s="1" t="s">
        <v>19</v>
      </c>
      <c r="L134" s="4" t="s">
        <v>544</v>
      </c>
    </row>
    <row r="135">
      <c r="A135" s="1" t="s">
        <v>12</v>
      </c>
      <c r="B135" s="1" t="s">
        <v>545</v>
      </c>
      <c r="C135" s="1" t="s">
        <v>546</v>
      </c>
      <c r="D135" s="1" t="s">
        <v>547</v>
      </c>
      <c r="E135" s="2">
        <v>36968.0</v>
      </c>
      <c r="F135" s="1" t="s">
        <v>16</v>
      </c>
      <c r="G135" s="1" t="s">
        <v>17</v>
      </c>
      <c r="H135" s="1" t="s">
        <v>18</v>
      </c>
      <c r="I135" s="3">
        <f>+2250749736346</f>
        <v>2250749736346</v>
      </c>
      <c r="J135" s="3">
        <f>+2250151512326</f>
        <v>2250151512326</v>
      </c>
      <c r="K135" s="1" t="s">
        <v>19</v>
      </c>
      <c r="L135" s="4" t="s">
        <v>548</v>
      </c>
    </row>
    <row r="136">
      <c r="A136" s="1" t="s">
        <v>12</v>
      </c>
      <c r="B136" s="1" t="s">
        <v>549</v>
      </c>
      <c r="C136" s="1" t="s">
        <v>550</v>
      </c>
      <c r="D136" s="1" t="s">
        <v>551</v>
      </c>
      <c r="E136" s="2">
        <v>37701.0</v>
      </c>
      <c r="F136" s="1" t="s">
        <v>101</v>
      </c>
      <c r="G136" s="1" t="s">
        <v>76</v>
      </c>
      <c r="H136" s="1" t="s">
        <v>32</v>
      </c>
      <c r="I136" s="3">
        <f>+2250594083883</f>
        <v>2250594083883</v>
      </c>
      <c r="J136" s="3">
        <f>+2250758530118</f>
        <v>2250758530118</v>
      </c>
      <c r="K136" s="1" t="s">
        <v>19</v>
      </c>
      <c r="L136" s="4" t="s">
        <v>552</v>
      </c>
    </row>
    <row r="137">
      <c r="A137" s="1" t="s">
        <v>12</v>
      </c>
      <c r="B137" s="1" t="s">
        <v>553</v>
      </c>
      <c r="C137" s="1" t="s">
        <v>550</v>
      </c>
      <c r="D137" s="1" t="s">
        <v>554</v>
      </c>
      <c r="E137" s="2">
        <v>38870.0</v>
      </c>
      <c r="F137" s="1" t="s">
        <v>351</v>
      </c>
      <c r="G137" s="1" t="s">
        <v>76</v>
      </c>
      <c r="H137" s="1" t="s">
        <v>32</v>
      </c>
      <c r="I137" s="3">
        <f>+2250707488054</f>
        <v>2250707488054</v>
      </c>
      <c r="J137" s="3">
        <f>+2250506546459</f>
        <v>2250506546459</v>
      </c>
      <c r="K137" s="1" t="s">
        <v>19</v>
      </c>
      <c r="L137" s="4" t="s">
        <v>555</v>
      </c>
    </row>
    <row r="138">
      <c r="A138" s="1" t="s">
        <v>12</v>
      </c>
      <c r="B138" s="1" t="s">
        <v>556</v>
      </c>
      <c r="C138" s="1" t="s">
        <v>550</v>
      </c>
      <c r="D138" s="1" t="s">
        <v>557</v>
      </c>
      <c r="E138" s="2">
        <v>38110.0</v>
      </c>
      <c r="F138" s="1" t="s">
        <v>101</v>
      </c>
      <c r="G138" s="1" t="s">
        <v>76</v>
      </c>
      <c r="H138" s="1" t="s">
        <v>32</v>
      </c>
      <c r="I138" s="3">
        <f>+2250788371032</f>
        <v>2250788371032</v>
      </c>
      <c r="J138" s="3">
        <f>+2250757436630</f>
        <v>2250757436630</v>
      </c>
      <c r="K138" s="1" t="s">
        <v>19</v>
      </c>
      <c r="L138" s="4" t="s">
        <v>558</v>
      </c>
    </row>
    <row r="139">
      <c r="A139" s="1" t="s">
        <v>12</v>
      </c>
      <c r="B139" s="1" t="s">
        <v>559</v>
      </c>
      <c r="C139" s="1" t="s">
        <v>560</v>
      </c>
      <c r="D139" s="1" t="s">
        <v>561</v>
      </c>
      <c r="E139" s="2">
        <v>37629.0</v>
      </c>
      <c r="F139" s="1" t="s">
        <v>16</v>
      </c>
      <c r="G139" s="1" t="s">
        <v>17</v>
      </c>
      <c r="H139" s="1" t="s">
        <v>18</v>
      </c>
      <c r="I139" s="3">
        <f>+2250504110368</f>
        <v>2250504110368</v>
      </c>
      <c r="J139" s="3">
        <f>+2250747282581</f>
        <v>2250747282581</v>
      </c>
      <c r="K139" s="1" t="s">
        <v>19</v>
      </c>
      <c r="L139" s="4" t="s">
        <v>562</v>
      </c>
    </row>
    <row r="140">
      <c r="A140" s="1" t="s">
        <v>12</v>
      </c>
      <c r="B140" s="1" t="s">
        <v>563</v>
      </c>
      <c r="C140" s="1" t="s">
        <v>564</v>
      </c>
      <c r="D140" s="1" t="s">
        <v>565</v>
      </c>
      <c r="E140" s="2">
        <v>37336.0</v>
      </c>
      <c r="F140" s="1" t="s">
        <v>62</v>
      </c>
      <c r="G140" s="1" t="s">
        <v>17</v>
      </c>
      <c r="H140" s="1" t="s">
        <v>18</v>
      </c>
      <c r="I140" s="3">
        <f>+2250758569027</f>
        <v>2250758569027</v>
      </c>
      <c r="J140" s="3">
        <f>+2250506679721</f>
        <v>2250506679721</v>
      </c>
      <c r="K140" s="1" t="s">
        <v>19</v>
      </c>
      <c r="L140" s="4" t="s">
        <v>566</v>
      </c>
    </row>
    <row r="141">
      <c r="A141" s="1" t="s">
        <v>12</v>
      </c>
      <c r="B141" s="1" t="s">
        <v>567</v>
      </c>
      <c r="C141" s="1" t="s">
        <v>568</v>
      </c>
      <c r="D141" s="1" t="s">
        <v>569</v>
      </c>
      <c r="E141" s="2">
        <v>37691.0</v>
      </c>
      <c r="F141" s="1" t="s">
        <v>570</v>
      </c>
      <c r="G141" s="1" t="s">
        <v>38</v>
      </c>
      <c r="H141" s="1" t="s">
        <v>39</v>
      </c>
      <c r="I141" s="3">
        <f>+2250768877383</f>
        <v>2250768877383</v>
      </c>
      <c r="J141" s="3">
        <f>+2250707804326</f>
        <v>2250707804326</v>
      </c>
      <c r="K141" s="1" t="s">
        <v>19</v>
      </c>
      <c r="L141" s="4" t="s">
        <v>571</v>
      </c>
    </row>
    <row r="142">
      <c r="A142" s="1" t="s">
        <v>12</v>
      </c>
      <c r="B142" s="1" t="s">
        <v>572</v>
      </c>
      <c r="C142" s="1" t="s">
        <v>568</v>
      </c>
      <c r="D142" s="1" t="s">
        <v>573</v>
      </c>
      <c r="E142" s="2">
        <v>37477.0</v>
      </c>
      <c r="F142" s="1" t="s">
        <v>70</v>
      </c>
      <c r="G142" s="1" t="s">
        <v>76</v>
      </c>
      <c r="H142" s="1" t="s">
        <v>32</v>
      </c>
      <c r="I142" s="3">
        <f>+2250141020468</f>
        <v>2250141020468</v>
      </c>
      <c r="J142" s="3">
        <f>+2250101473293</f>
        <v>2250101473293</v>
      </c>
      <c r="K142" s="1" t="s">
        <v>19</v>
      </c>
      <c r="L142" s="4" t="s">
        <v>574</v>
      </c>
    </row>
    <row r="143">
      <c r="A143" s="1" t="s">
        <v>12</v>
      </c>
      <c r="B143" s="1" t="s">
        <v>575</v>
      </c>
      <c r="C143" s="1" t="s">
        <v>576</v>
      </c>
      <c r="D143" s="1" t="s">
        <v>577</v>
      </c>
      <c r="E143" s="2">
        <v>36568.0</v>
      </c>
      <c r="F143" s="1" t="s">
        <v>578</v>
      </c>
      <c r="G143" s="1" t="s">
        <v>82</v>
      </c>
      <c r="H143" s="1" t="s">
        <v>18</v>
      </c>
      <c r="I143" s="3">
        <f>+2250708314879</f>
        <v>2250708314879</v>
      </c>
      <c r="J143" s="3">
        <f>+2250505621502</f>
        <v>2250505621502</v>
      </c>
      <c r="K143" s="1" t="s">
        <v>19</v>
      </c>
      <c r="L143" s="4" t="s">
        <v>579</v>
      </c>
    </row>
    <row r="144">
      <c r="A144" s="1" t="s">
        <v>12</v>
      </c>
      <c r="B144" s="1" t="s">
        <v>580</v>
      </c>
      <c r="C144" s="1" t="s">
        <v>581</v>
      </c>
      <c r="D144" s="1" t="s">
        <v>582</v>
      </c>
      <c r="E144" s="2">
        <v>38206.0</v>
      </c>
      <c r="F144" s="1" t="s">
        <v>138</v>
      </c>
      <c r="G144" s="1" t="s">
        <v>31</v>
      </c>
      <c r="H144" s="1" t="s">
        <v>32</v>
      </c>
      <c r="I144" s="3">
        <f>+2250747261468</f>
        <v>2250747261468</v>
      </c>
      <c r="J144" s="3">
        <f>+2250709892498</f>
        <v>2250709892498</v>
      </c>
      <c r="K144" s="1" t="s">
        <v>19</v>
      </c>
      <c r="L144" s="4" t="s">
        <v>583</v>
      </c>
    </row>
    <row r="145">
      <c r="A145" s="1" t="s">
        <v>12</v>
      </c>
      <c r="B145" s="1" t="s">
        <v>584</v>
      </c>
      <c r="C145" s="1" t="s">
        <v>581</v>
      </c>
      <c r="D145" s="1" t="s">
        <v>585</v>
      </c>
      <c r="E145" s="2">
        <v>37368.0</v>
      </c>
      <c r="F145" s="1" t="s">
        <v>586</v>
      </c>
      <c r="G145" s="1" t="s">
        <v>82</v>
      </c>
      <c r="H145" s="1" t="s">
        <v>18</v>
      </c>
      <c r="I145" s="3">
        <f>+2250102316580</f>
        <v>2250102316580</v>
      </c>
      <c r="J145" s="3">
        <f>+2250709007878</f>
        <v>2250709007878</v>
      </c>
      <c r="K145" s="1" t="s">
        <v>19</v>
      </c>
      <c r="L145" s="4" t="s">
        <v>587</v>
      </c>
    </row>
    <row r="146">
      <c r="A146" s="1" t="s">
        <v>12</v>
      </c>
      <c r="B146" s="1" t="s">
        <v>588</v>
      </c>
      <c r="C146" s="1" t="s">
        <v>581</v>
      </c>
      <c r="D146" s="1" t="s">
        <v>589</v>
      </c>
      <c r="E146" s="2">
        <v>37058.0</v>
      </c>
      <c r="F146" s="1" t="s">
        <v>138</v>
      </c>
      <c r="G146" s="1" t="s">
        <v>31</v>
      </c>
      <c r="H146" s="1" t="s">
        <v>32</v>
      </c>
      <c r="I146" s="3">
        <f>+2250757921451</f>
        <v>2250757921451</v>
      </c>
      <c r="J146" s="3">
        <f>+2250748517728</f>
        <v>2250748517728</v>
      </c>
      <c r="K146" s="1" t="s">
        <v>19</v>
      </c>
      <c r="L146" s="4" t="s">
        <v>590</v>
      </c>
    </row>
    <row r="147">
      <c r="A147" s="1" t="s">
        <v>12</v>
      </c>
      <c r="B147" s="1" t="s">
        <v>591</v>
      </c>
      <c r="C147" s="1" t="s">
        <v>592</v>
      </c>
      <c r="D147" s="1" t="s">
        <v>593</v>
      </c>
      <c r="E147" s="5">
        <v>37973.0</v>
      </c>
      <c r="F147" s="1" t="s">
        <v>16</v>
      </c>
      <c r="G147" s="1" t="s">
        <v>17</v>
      </c>
      <c r="H147" s="1" t="s">
        <v>18</v>
      </c>
      <c r="I147" s="3">
        <f>+2250789896128</f>
        <v>2250789896128</v>
      </c>
      <c r="J147" s="3">
        <f>+2250707582917</f>
        <v>2250707582917</v>
      </c>
      <c r="K147" s="1" t="s">
        <v>19</v>
      </c>
      <c r="L147" s="4" t="s">
        <v>594</v>
      </c>
    </row>
    <row r="148">
      <c r="A148" s="1" t="s">
        <v>12</v>
      </c>
      <c r="B148" s="1" t="s">
        <v>595</v>
      </c>
      <c r="C148" s="1" t="s">
        <v>596</v>
      </c>
      <c r="D148" s="1" t="s">
        <v>597</v>
      </c>
      <c r="E148" s="5">
        <v>36845.0</v>
      </c>
      <c r="F148" s="1" t="s">
        <v>16</v>
      </c>
      <c r="G148" s="1" t="s">
        <v>17</v>
      </c>
      <c r="H148" s="1" t="s">
        <v>18</v>
      </c>
      <c r="I148" s="3">
        <f>+2250708685217</f>
        <v>2250708685217</v>
      </c>
      <c r="J148" s="3">
        <f>+2250707136926</f>
        <v>2250707136926</v>
      </c>
      <c r="K148" s="1" t="s">
        <v>19</v>
      </c>
      <c r="L148" s="4" t="s">
        <v>598</v>
      </c>
    </row>
    <row r="149">
      <c r="A149" s="1" t="s">
        <v>12</v>
      </c>
      <c r="B149" s="1" t="s">
        <v>599</v>
      </c>
      <c r="C149" s="1" t="s">
        <v>600</v>
      </c>
      <c r="D149" s="1" t="s">
        <v>601</v>
      </c>
      <c r="E149" s="2">
        <v>37999.0</v>
      </c>
      <c r="F149" s="1" t="s">
        <v>48</v>
      </c>
      <c r="G149" s="1" t="s">
        <v>76</v>
      </c>
      <c r="H149" s="1" t="s">
        <v>32</v>
      </c>
      <c r="I149" s="3">
        <f>+2250778992340</f>
        <v>2250778992340</v>
      </c>
      <c r="J149" s="3">
        <f>+2250505702092</f>
        <v>2250505702092</v>
      </c>
      <c r="K149" s="1" t="s">
        <v>19</v>
      </c>
      <c r="L149" s="4" t="s">
        <v>602</v>
      </c>
    </row>
    <row r="150">
      <c r="A150" s="1" t="s">
        <v>12</v>
      </c>
      <c r="B150" s="1" t="s">
        <v>603</v>
      </c>
      <c r="C150" s="1" t="s">
        <v>604</v>
      </c>
      <c r="D150" s="1" t="s">
        <v>605</v>
      </c>
      <c r="E150" s="2">
        <v>38664.0</v>
      </c>
      <c r="F150" s="1" t="s">
        <v>155</v>
      </c>
      <c r="G150" s="1" t="s">
        <v>76</v>
      </c>
      <c r="H150" s="1" t="s">
        <v>32</v>
      </c>
      <c r="I150" s="3">
        <f>+2250594816580</f>
        <v>2250594816580</v>
      </c>
      <c r="J150" s="3">
        <f>+2250103577404</f>
        <v>2250103577404</v>
      </c>
      <c r="K150" s="1" t="s">
        <v>19</v>
      </c>
      <c r="L150" s="4" t="s">
        <v>606</v>
      </c>
    </row>
    <row r="151">
      <c r="A151" s="1" t="s">
        <v>12</v>
      </c>
      <c r="B151" s="1" t="s">
        <v>607</v>
      </c>
      <c r="C151" s="1" t="s">
        <v>604</v>
      </c>
      <c r="D151" s="1" t="s">
        <v>608</v>
      </c>
      <c r="E151" s="2">
        <v>38009.0</v>
      </c>
      <c r="F151" s="1" t="s">
        <v>62</v>
      </c>
      <c r="G151" s="1" t="s">
        <v>25</v>
      </c>
      <c r="H151" s="1" t="s">
        <v>18</v>
      </c>
      <c r="I151" s="3">
        <f>+2250502344271</f>
        <v>2250502344271</v>
      </c>
      <c r="J151" s="3">
        <f>+2250708448343</f>
        <v>2250708448343</v>
      </c>
      <c r="K151" s="1" t="s">
        <v>19</v>
      </c>
      <c r="L151" s="4" t="s">
        <v>609</v>
      </c>
    </row>
    <row r="152">
      <c r="A152" s="1" t="s">
        <v>12</v>
      </c>
      <c r="B152" s="1" t="s">
        <v>610</v>
      </c>
      <c r="C152" s="1" t="s">
        <v>604</v>
      </c>
      <c r="D152" s="1" t="s">
        <v>611</v>
      </c>
      <c r="E152" s="5">
        <v>37950.0</v>
      </c>
      <c r="F152" s="1" t="s">
        <v>16</v>
      </c>
      <c r="G152" s="1" t="s">
        <v>25</v>
      </c>
      <c r="H152" s="1" t="s">
        <v>18</v>
      </c>
      <c r="I152" s="3">
        <f>+2250777848700</f>
        <v>2250777848700</v>
      </c>
      <c r="J152" s="3">
        <f>+2250702559484</f>
        <v>2250702559484</v>
      </c>
      <c r="K152" s="1" t="s">
        <v>19</v>
      </c>
      <c r="L152" s="4" t="s">
        <v>612</v>
      </c>
    </row>
    <row r="153">
      <c r="A153" s="1" t="s">
        <v>12</v>
      </c>
      <c r="B153" s="1" t="s">
        <v>613</v>
      </c>
      <c r="C153" s="1" t="s">
        <v>614</v>
      </c>
      <c r="D153" s="1" t="s">
        <v>615</v>
      </c>
      <c r="E153" s="2">
        <v>38260.0</v>
      </c>
      <c r="F153" s="1" t="s">
        <v>75</v>
      </c>
      <c r="G153" s="1" t="s">
        <v>76</v>
      </c>
      <c r="H153" s="1" t="s">
        <v>32</v>
      </c>
      <c r="I153" s="3">
        <f>+2250142391155</f>
        <v>2250142391155</v>
      </c>
      <c r="J153" s="3">
        <f>+2250757905186</f>
        <v>2250757905186</v>
      </c>
      <c r="K153" s="1" t="s">
        <v>19</v>
      </c>
      <c r="L153" s="4" t="s">
        <v>616</v>
      </c>
    </row>
    <row r="154">
      <c r="A154" s="1" t="s">
        <v>12</v>
      </c>
      <c r="B154" s="1" t="s">
        <v>617</v>
      </c>
      <c r="C154" s="1" t="s">
        <v>618</v>
      </c>
      <c r="D154" s="1" t="s">
        <v>619</v>
      </c>
      <c r="E154" s="2">
        <v>37485.0</v>
      </c>
      <c r="F154" s="1" t="s">
        <v>16</v>
      </c>
      <c r="G154" s="1" t="s">
        <v>17</v>
      </c>
      <c r="H154" s="1" t="s">
        <v>18</v>
      </c>
      <c r="I154" s="3">
        <f>+2250554106447</f>
        <v>2250554106447</v>
      </c>
      <c r="J154" s="3">
        <f>+2250708030780</f>
        <v>2250708030780</v>
      </c>
      <c r="K154" s="1" t="s">
        <v>19</v>
      </c>
      <c r="L154" s="4" t="s">
        <v>620</v>
      </c>
    </row>
    <row r="155">
      <c r="A155" s="1" t="s">
        <v>12</v>
      </c>
      <c r="B155" s="1" t="s">
        <v>621</v>
      </c>
      <c r="C155" s="1" t="s">
        <v>622</v>
      </c>
      <c r="D155" s="1" t="s">
        <v>623</v>
      </c>
      <c r="E155" s="5">
        <v>38312.0</v>
      </c>
      <c r="F155" s="1" t="s">
        <v>16</v>
      </c>
      <c r="G155" s="1" t="s">
        <v>25</v>
      </c>
      <c r="H155" s="1" t="s">
        <v>18</v>
      </c>
      <c r="I155" s="3">
        <f>+2250777600309</f>
        <v>2250777600309</v>
      </c>
      <c r="J155" s="3">
        <f>+2250707774691</f>
        <v>2250707774691</v>
      </c>
      <c r="K155" s="1" t="s">
        <v>19</v>
      </c>
      <c r="L155" s="4" t="s">
        <v>624</v>
      </c>
    </row>
    <row r="156">
      <c r="A156" s="1" t="s">
        <v>12</v>
      </c>
      <c r="B156" s="1" t="s">
        <v>625</v>
      </c>
      <c r="C156" s="1" t="s">
        <v>626</v>
      </c>
      <c r="D156" s="1" t="s">
        <v>627</v>
      </c>
      <c r="E156" s="2">
        <v>37707.0</v>
      </c>
      <c r="F156" s="1" t="s">
        <v>24</v>
      </c>
      <c r="G156" s="1" t="s">
        <v>25</v>
      </c>
      <c r="H156" s="1" t="s">
        <v>18</v>
      </c>
      <c r="I156" s="3">
        <f>+2250703297672</f>
        <v>2250703297672</v>
      </c>
      <c r="J156" s="3">
        <f>+2250505219705</f>
        <v>2250505219705</v>
      </c>
      <c r="K156" s="1" t="s">
        <v>19</v>
      </c>
      <c r="L156" s="4" t="s">
        <v>628</v>
      </c>
    </row>
    <row r="157">
      <c r="A157" s="1" t="s">
        <v>12</v>
      </c>
      <c r="B157" s="1" t="s">
        <v>629</v>
      </c>
      <c r="C157" s="1" t="s">
        <v>630</v>
      </c>
      <c r="D157" s="1" t="s">
        <v>631</v>
      </c>
      <c r="E157" s="2">
        <v>37990.0</v>
      </c>
      <c r="F157" s="1" t="s">
        <v>92</v>
      </c>
      <c r="G157" s="1" t="s">
        <v>31</v>
      </c>
      <c r="H157" s="1" t="s">
        <v>32</v>
      </c>
      <c r="I157" s="3">
        <f>+2250768176029</f>
        <v>2250768176029</v>
      </c>
      <c r="J157" s="3">
        <f>+2250757515038</f>
        <v>2250757515038</v>
      </c>
      <c r="K157" s="1" t="s">
        <v>19</v>
      </c>
      <c r="L157" s="4" t="s">
        <v>632</v>
      </c>
    </row>
    <row r="158">
      <c r="A158" s="1" t="s">
        <v>12</v>
      </c>
      <c r="B158" s="1" t="s">
        <v>633</v>
      </c>
      <c r="C158" s="1" t="s">
        <v>630</v>
      </c>
      <c r="D158" s="1" t="s">
        <v>634</v>
      </c>
      <c r="E158" s="2">
        <v>38365.0</v>
      </c>
      <c r="F158" s="1" t="s">
        <v>16</v>
      </c>
      <c r="G158" s="1" t="s">
        <v>17</v>
      </c>
      <c r="H158" s="1" t="s">
        <v>18</v>
      </c>
      <c r="I158" s="3">
        <f>+2250505387542</f>
        <v>2250505387542</v>
      </c>
      <c r="J158" s="3">
        <f>+2250757272755</f>
        <v>2250757272755</v>
      </c>
      <c r="K158" s="1" t="s">
        <v>19</v>
      </c>
      <c r="L158" s="4" t="s">
        <v>635</v>
      </c>
    </row>
    <row r="159">
      <c r="A159" s="1" t="s">
        <v>12</v>
      </c>
      <c r="B159" s="1" t="s">
        <v>636</v>
      </c>
      <c r="C159" s="1" t="s">
        <v>630</v>
      </c>
      <c r="D159" s="1" t="s">
        <v>637</v>
      </c>
      <c r="E159" s="2">
        <v>38495.0</v>
      </c>
      <c r="F159" s="1" t="s">
        <v>62</v>
      </c>
      <c r="G159" s="1" t="s">
        <v>25</v>
      </c>
      <c r="H159" s="1" t="s">
        <v>18</v>
      </c>
      <c r="I159" s="3">
        <f>+2250778516916</f>
        <v>2250778516916</v>
      </c>
      <c r="J159" s="3">
        <f>+2250747971526</f>
        <v>2250747971526</v>
      </c>
      <c r="K159" s="1" t="s">
        <v>19</v>
      </c>
      <c r="L159" s="4" t="s">
        <v>638</v>
      </c>
    </row>
    <row r="160">
      <c r="A160" s="1" t="s">
        <v>12</v>
      </c>
      <c r="B160" s="1" t="s">
        <v>639</v>
      </c>
      <c r="C160" s="1" t="s">
        <v>630</v>
      </c>
      <c r="D160" s="1" t="s">
        <v>640</v>
      </c>
      <c r="E160" s="2">
        <v>36935.0</v>
      </c>
      <c r="F160" s="1" t="s">
        <v>87</v>
      </c>
      <c r="G160" s="1" t="s">
        <v>31</v>
      </c>
      <c r="H160" s="1" t="s">
        <v>32</v>
      </c>
      <c r="I160" s="3">
        <f>+2250757453527</f>
        <v>2250757453527</v>
      </c>
      <c r="J160" s="3">
        <f>+2250709888064</f>
        <v>2250709888064</v>
      </c>
      <c r="K160" s="1" t="s">
        <v>19</v>
      </c>
      <c r="L160" s="4" t="s">
        <v>641</v>
      </c>
    </row>
    <row r="161">
      <c r="A161" s="1" t="s">
        <v>12</v>
      </c>
      <c r="B161" s="1" t="s">
        <v>642</v>
      </c>
      <c r="C161" s="1" t="s">
        <v>630</v>
      </c>
      <c r="D161" s="1" t="s">
        <v>643</v>
      </c>
      <c r="E161" s="5">
        <v>37219.0</v>
      </c>
      <c r="F161" s="1" t="s">
        <v>16</v>
      </c>
      <c r="G161" s="1" t="s">
        <v>17</v>
      </c>
      <c r="H161" s="1" t="s">
        <v>18</v>
      </c>
      <c r="I161" s="3">
        <f>+2250789555349</f>
        <v>2250789555349</v>
      </c>
      <c r="J161" s="3">
        <f>+2250709082626</f>
        <v>2250709082626</v>
      </c>
      <c r="K161" s="1" t="s">
        <v>19</v>
      </c>
      <c r="L161" s="4" t="s">
        <v>644</v>
      </c>
    </row>
    <row r="162">
      <c r="A162" s="1" t="s">
        <v>12</v>
      </c>
      <c r="B162" s="1" t="s">
        <v>645</v>
      </c>
      <c r="C162" s="1" t="s">
        <v>630</v>
      </c>
      <c r="D162" s="1" t="s">
        <v>646</v>
      </c>
      <c r="E162" s="2">
        <v>38543.0</v>
      </c>
      <c r="F162" s="1" t="s">
        <v>92</v>
      </c>
      <c r="G162" s="1" t="s">
        <v>76</v>
      </c>
      <c r="H162" s="1" t="s">
        <v>32</v>
      </c>
      <c r="I162" s="3">
        <f>+2250102346019</f>
        <v>2250102346019</v>
      </c>
      <c r="J162" s="3">
        <f>+2250767988018</f>
        <v>2250767988018</v>
      </c>
      <c r="K162" s="1" t="s">
        <v>19</v>
      </c>
      <c r="L162" s="4" t="s">
        <v>647</v>
      </c>
    </row>
    <row r="163">
      <c r="A163" s="1" t="s">
        <v>12</v>
      </c>
      <c r="B163" s="1" t="s">
        <v>648</v>
      </c>
      <c r="C163" s="1" t="s">
        <v>630</v>
      </c>
      <c r="D163" s="1" t="s">
        <v>649</v>
      </c>
      <c r="E163" s="2">
        <v>38108.0</v>
      </c>
      <c r="F163" s="1" t="s">
        <v>53</v>
      </c>
      <c r="G163" s="1" t="s">
        <v>17</v>
      </c>
      <c r="H163" s="1" t="s">
        <v>18</v>
      </c>
      <c r="I163" s="3">
        <f>+2250704073000</f>
        <v>2250704073000</v>
      </c>
      <c r="J163" s="3">
        <f>+2250708326255</f>
        <v>2250708326255</v>
      </c>
      <c r="K163" s="1" t="s">
        <v>19</v>
      </c>
      <c r="L163" s="4" t="s">
        <v>650</v>
      </c>
    </row>
    <row r="164">
      <c r="A164" s="1" t="s">
        <v>12</v>
      </c>
      <c r="B164" s="1" t="s">
        <v>651</v>
      </c>
      <c r="C164" s="1" t="s">
        <v>630</v>
      </c>
      <c r="D164" s="1" t="s">
        <v>652</v>
      </c>
      <c r="E164" s="2">
        <v>38428.0</v>
      </c>
      <c r="F164" s="1" t="s">
        <v>53</v>
      </c>
      <c r="G164" s="1" t="s">
        <v>17</v>
      </c>
      <c r="H164" s="1" t="s">
        <v>18</v>
      </c>
      <c r="I164" s="3">
        <f>+2250141298850</f>
        <v>2250141298850</v>
      </c>
      <c r="J164" s="3">
        <f>+2250707700993</f>
        <v>2250707700993</v>
      </c>
      <c r="K164" s="1" t="s">
        <v>19</v>
      </c>
      <c r="L164" s="4" t="s">
        <v>653</v>
      </c>
    </row>
    <row r="165">
      <c r="A165" s="1" t="s">
        <v>12</v>
      </c>
      <c r="B165" s="1" t="s">
        <v>654</v>
      </c>
      <c r="C165" s="1" t="s">
        <v>630</v>
      </c>
      <c r="D165" s="1" t="s">
        <v>655</v>
      </c>
      <c r="E165" s="2">
        <v>37622.0</v>
      </c>
      <c r="F165" s="1" t="s">
        <v>53</v>
      </c>
      <c r="G165" s="1" t="s">
        <v>25</v>
      </c>
      <c r="H165" s="1" t="s">
        <v>18</v>
      </c>
      <c r="I165" s="3">
        <f>+2250769493636</f>
        <v>2250769493636</v>
      </c>
      <c r="J165" s="3">
        <f>+2250708681099</f>
        <v>2250708681099</v>
      </c>
      <c r="K165" s="1" t="s">
        <v>19</v>
      </c>
      <c r="L165" s="4" t="s">
        <v>656</v>
      </c>
    </row>
    <row r="166">
      <c r="A166" s="1" t="s">
        <v>12</v>
      </c>
      <c r="B166" s="1" t="s">
        <v>657</v>
      </c>
      <c r="C166" s="1" t="s">
        <v>630</v>
      </c>
      <c r="D166" s="1" t="s">
        <v>658</v>
      </c>
      <c r="E166" s="2">
        <v>38359.0</v>
      </c>
      <c r="F166" s="1" t="s">
        <v>101</v>
      </c>
      <c r="G166" s="1" t="s">
        <v>31</v>
      </c>
      <c r="H166" s="1" t="s">
        <v>32</v>
      </c>
      <c r="I166" s="3">
        <f>+2250799946061</f>
        <v>2250799946061</v>
      </c>
      <c r="J166" s="3">
        <f>+2250777313750</f>
        <v>2250777313750</v>
      </c>
      <c r="K166" s="1" t="s">
        <v>19</v>
      </c>
      <c r="L166" s="4" t="s">
        <v>659</v>
      </c>
    </row>
    <row r="167">
      <c r="A167" s="1" t="s">
        <v>12</v>
      </c>
      <c r="B167" s="1" t="s">
        <v>660</v>
      </c>
      <c r="C167" s="1" t="s">
        <v>630</v>
      </c>
      <c r="D167" s="1" t="s">
        <v>661</v>
      </c>
      <c r="E167" s="2">
        <v>37497.0</v>
      </c>
      <c r="F167" s="1" t="s">
        <v>62</v>
      </c>
      <c r="G167" s="1" t="s">
        <v>17</v>
      </c>
      <c r="H167" s="1" t="s">
        <v>18</v>
      </c>
      <c r="I167" s="3">
        <f>+2250565677822</f>
        <v>2250565677822</v>
      </c>
      <c r="J167" s="3">
        <f>+2250758972428</f>
        <v>2250758972428</v>
      </c>
      <c r="K167" s="1" t="s">
        <v>19</v>
      </c>
      <c r="L167" s="4" t="s">
        <v>662</v>
      </c>
    </row>
    <row r="168">
      <c r="A168" s="1" t="s">
        <v>12</v>
      </c>
      <c r="B168" s="1" t="s">
        <v>663</v>
      </c>
      <c r="C168" s="1" t="s">
        <v>630</v>
      </c>
      <c r="D168" s="1" t="s">
        <v>664</v>
      </c>
      <c r="E168" s="2">
        <v>36267.0</v>
      </c>
      <c r="F168" s="1" t="s">
        <v>182</v>
      </c>
      <c r="G168" s="1" t="s">
        <v>82</v>
      </c>
      <c r="H168" s="1" t="s">
        <v>18</v>
      </c>
      <c r="I168" s="3">
        <f>+2250749286110</f>
        <v>2250749286110</v>
      </c>
      <c r="J168" s="3">
        <f>+2250703791254</f>
        <v>2250703791254</v>
      </c>
      <c r="K168" s="1" t="s">
        <v>19</v>
      </c>
      <c r="L168" s="4" t="s">
        <v>665</v>
      </c>
    </row>
    <row r="169">
      <c r="A169" s="1" t="s">
        <v>12</v>
      </c>
      <c r="B169" s="1" t="s">
        <v>666</v>
      </c>
      <c r="C169" s="1" t="s">
        <v>630</v>
      </c>
      <c r="D169" s="1" t="s">
        <v>667</v>
      </c>
      <c r="E169" s="2">
        <v>37456.0</v>
      </c>
      <c r="F169" s="1" t="s">
        <v>53</v>
      </c>
      <c r="G169" s="1" t="s">
        <v>17</v>
      </c>
      <c r="H169" s="1" t="s">
        <v>18</v>
      </c>
      <c r="I169" s="3">
        <f>+2250503206756</f>
        <v>2250503206756</v>
      </c>
      <c r="J169" s="3">
        <f>+2250584583573</f>
        <v>2250584583573</v>
      </c>
      <c r="K169" s="1" t="s">
        <v>19</v>
      </c>
      <c r="L169" s="4" t="s">
        <v>668</v>
      </c>
    </row>
    <row r="170">
      <c r="A170" s="1" t="s">
        <v>12</v>
      </c>
      <c r="B170" s="1" t="s">
        <v>669</v>
      </c>
      <c r="C170" s="1" t="s">
        <v>630</v>
      </c>
      <c r="D170" s="1" t="s">
        <v>670</v>
      </c>
      <c r="E170" s="5">
        <v>37180.0</v>
      </c>
      <c r="F170" s="1" t="s">
        <v>53</v>
      </c>
      <c r="G170" s="1" t="s">
        <v>17</v>
      </c>
      <c r="H170" s="1" t="s">
        <v>18</v>
      </c>
      <c r="I170" s="3">
        <f>+2250160543961</f>
        <v>2250160543961</v>
      </c>
      <c r="J170" s="3">
        <f>+2250710003850</f>
        <v>2250710003850</v>
      </c>
      <c r="K170" s="1" t="s">
        <v>19</v>
      </c>
      <c r="L170" s="4" t="s">
        <v>671</v>
      </c>
    </row>
    <row r="171">
      <c r="A171" s="1" t="s">
        <v>12</v>
      </c>
      <c r="B171" s="1" t="s">
        <v>672</v>
      </c>
      <c r="C171" s="1" t="s">
        <v>630</v>
      </c>
      <c r="D171" s="1" t="s">
        <v>673</v>
      </c>
      <c r="E171" s="2">
        <v>38244.0</v>
      </c>
      <c r="F171" s="1" t="s">
        <v>62</v>
      </c>
      <c r="G171" s="1" t="s">
        <v>25</v>
      </c>
      <c r="H171" s="1" t="s">
        <v>18</v>
      </c>
      <c r="I171" s="3">
        <f>+2250502050351</f>
        <v>2250502050351</v>
      </c>
      <c r="J171" s="3">
        <f>+2250707141415</f>
        <v>2250707141415</v>
      </c>
      <c r="K171" s="1" t="s">
        <v>19</v>
      </c>
      <c r="L171" s="4" t="s">
        <v>674</v>
      </c>
    </row>
    <row r="172">
      <c r="A172" s="1" t="s">
        <v>12</v>
      </c>
      <c r="B172" s="1" t="s">
        <v>675</v>
      </c>
      <c r="C172" s="1" t="s">
        <v>630</v>
      </c>
      <c r="D172" s="1" t="s">
        <v>676</v>
      </c>
      <c r="E172" s="5">
        <v>37558.0</v>
      </c>
      <c r="F172" s="1" t="s">
        <v>30</v>
      </c>
      <c r="G172" s="1" t="s">
        <v>31</v>
      </c>
      <c r="H172" s="1" t="s">
        <v>32</v>
      </c>
      <c r="I172" s="3">
        <f>+2250140767364</f>
        <v>2250140767364</v>
      </c>
      <c r="J172" s="3">
        <f>+2250505385393</f>
        <v>2250505385393</v>
      </c>
      <c r="K172" s="1" t="s">
        <v>19</v>
      </c>
      <c r="L172" s="4" t="s">
        <v>677</v>
      </c>
    </row>
    <row r="173">
      <c r="A173" s="1" t="s">
        <v>12</v>
      </c>
      <c r="B173" s="1" t="s">
        <v>678</v>
      </c>
      <c r="C173" s="1" t="s">
        <v>630</v>
      </c>
      <c r="D173" s="1" t="s">
        <v>679</v>
      </c>
      <c r="E173" s="5">
        <v>37600.0</v>
      </c>
      <c r="F173" s="1" t="s">
        <v>62</v>
      </c>
      <c r="G173" s="1" t="s">
        <v>25</v>
      </c>
      <c r="H173" s="1" t="s">
        <v>18</v>
      </c>
      <c r="I173" s="3">
        <f>+2250748599551</f>
        <v>2250748599551</v>
      </c>
      <c r="J173" s="3">
        <f>+2250140175876</f>
        <v>2250140175876</v>
      </c>
      <c r="K173" s="1" t="s">
        <v>19</v>
      </c>
      <c r="L173" s="4" t="s">
        <v>680</v>
      </c>
    </row>
    <row r="174">
      <c r="A174" s="1" t="s">
        <v>12</v>
      </c>
      <c r="B174" s="1" t="s">
        <v>681</v>
      </c>
      <c r="C174" s="1" t="s">
        <v>630</v>
      </c>
      <c r="D174" s="1" t="s">
        <v>682</v>
      </c>
      <c r="E174" s="2">
        <v>37890.0</v>
      </c>
      <c r="F174" s="1" t="s">
        <v>586</v>
      </c>
      <c r="G174" s="1" t="s">
        <v>82</v>
      </c>
      <c r="H174" s="1" t="s">
        <v>18</v>
      </c>
      <c r="I174" s="3">
        <f>+2250779233784</f>
        <v>2250779233784</v>
      </c>
      <c r="J174" s="3">
        <f>+2250709526646</f>
        <v>2250709526646</v>
      </c>
      <c r="K174" s="1" t="s">
        <v>19</v>
      </c>
      <c r="L174" s="4" t="s">
        <v>683</v>
      </c>
    </row>
    <row r="175">
      <c r="A175" s="1" t="s">
        <v>12</v>
      </c>
      <c r="B175" s="1" t="s">
        <v>684</v>
      </c>
      <c r="C175" s="1" t="s">
        <v>630</v>
      </c>
      <c r="D175" s="1" t="s">
        <v>685</v>
      </c>
      <c r="E175" s="2">
        <v>37344.0</v>
      </c>
      <c r="F175" s="1" t="s">
        <v>101</v>
      </c>
      <c r="G175" s="1" t="s">
        <v>31</v>
      </c>
      <c r="H175" s="1" t="s">
        <v>32</v>
      </c>
      <c r="I175" s="3">
        <f>+2250757379007</f>
        <v>2250757379007</v>
      </c>
      <c r="J175" s="3">
        <f>+2250707093128</f>
        <v>2250707093128</v>
      </c>
      <c r="K175" s="1" t="s">
        <v>19</v>
      </c>
      <c r="L175" s="4" t="s">
        <v>686</v>
      </c>
    </row>
    <row r="176">
      <c r="A176" s="1" t="s">
        <v>12</v>
      </c>
      <c r="B176" s="1" t="s">
        <v>687</v>
      </c>
      <c r="C176" s="1" t="s">
        <v>688</v>
      </c>
      <c r="D176" s="1" t="s">
        <v>689</v>
      </c>
      <c r="E176" s="2">
        <v>36983.0</v>
      </c>
      <c r="F176" s="1" t="s">
        <v>155</v>
      </c>
      <c r="G176" s="1" t="s">
        <v>82</v>
      </c>
      <c r="H176" s="1" t="s">
        <v>18</v>
      </c>
      <c r="I176" s="3">
        <f>+2250708368550</f>
        <v>2250708368550</v>
      </c>
      <c r="J176" s="3">
        <f>+2250582528157</f>
        <v>2250582528157</v>
      </c>
      <c r="K176" s="1" t="s">
        <v>19</v>
      </c>
      <c r="L176" s="4" t="s">
        <v>690</v>
      </c>
    </row>
    <row r="177">
      <c r="A177" s="1" t="s">
        <v>12</v>
      </c>
      <c r="B177" s="1" t="s">
        <v>691</v>
      </c>
      <c r="C177" s="1" t="s">
        <v>692</v>
      </c>
      <c r="D177" s="1" t="s">
        <v>693</v>
      </c>
      <c r="E177" s="2">
        <v>38500.0</v>
      </c>
      <c r="F177" s="1" t="s">
        <v>48</v>
      </c>
      <c r="G177" s="1" t="s">
        <v>76</v>
      </c>
      <c r="H177" s="1" t="s">
        <v>32</v>
      </c>
      <c r="I177" s="3">
        <f>+2250151825913</f>
        <v>2250151825913</v>
      </c>
      <c r="J177" s="3">
        <f>+2250707972705</f>
        <v>2250707972705</v>
      </c>
      <c r="K177" s="1" t="s">
        <v>19</v>
      </c>
      <c r="L177" s="4" t="s">
        <v>694</v>
      </c>
    </row>
    <row r="178">
      <c r="A178" s="1" t="s">
        <v>12</v>
      </c>
      <c r="B178" s="1" t="s">
        <v>695</v>
      </c>
      <c r="C178" s="1" t="s">
        <v>696</v>
      </c>
      <c r="D178" s="1" t="s">
        <v>697</v>
      </c>
      <c r="E178" s="5">
        <v>37949.0</v>
      </c>
      <c r="F178" s="1" t="s">
        <v>16</v>
      </c>
      <c r="G178" s="1" t="s">
        <v>17</v>
      </c>
      <c r="H178" s="1" t="s">
        <v>18</v>
      </c>
      <c r="I178" s="3">
        <f>+2250767983859</f>
        <v>2250767983859</v>
      </c>
      <c r="J178" s="3">
        <f>+2250778636494</f>
        <v>2250778636494</v>
      </c>
      <c r="K178" s="1" t="s">
        <v>19</v>
      </c>
      <c r="L178" s="4" t="s">
        <v>698</v>
      </c>
    </row>
    <row r="179">
      <c r="A179" s="1" t="s">
        <v>12</v>
      </c>
      <c r="B179" s="1" t="s">
        <v>699</v>
      </c>
      <c r="C179" s="1" t="s">
        <v>696</v>
      </c>
      <c r="D179" s="1" t="s">
        <v>700</v>
      </c>
      <c r="E179" s="2">
        <v>36980.0</v>
      </c>
      <c r="F179" s="1" t="s">
        <v>62</v>
      </c>
      <c r="G179" s="1" t="s">
        <v>17</v>
      </c>
      <c r="H179" s="1" t="s">
        <v>18</v>
      </c>
      <c r="I179" s="3">
        <f>+2250799129891</f>
        <v>2250799129891</v>
      </c>
      <c r="J179" s="3">
        <f>+2250747636185</f>
        <v>2250747636185</v>
      </c>
      <c r="K179" s="1" t="s">
        <v>19</v>
      </c>
      <c r="L179" s="4" t="s">
        <v>701</v>
      </c>
    </row>
    <row r="180">
      <c r="A180" s="1" t="s">
        <v>12</v>
      </c>
      <c r="B180" s="1" t="s">
        <v>702</v>
      </c>
      <c r="C180" s="1" t="s">
        <v>703</v>
      </c>
      <c r="D180" s="1" t="s">
        <v>704</v>
      </c>
      <c r="E180" s="5">
        <v>36828.0</v>
      </c>
      <c r="F180" s="1" t="s">
        <v>110</v>
      </c>
      <c r="G180" s="1" t="s">
        <v>82</v>
      </c>
      <c r="H180" s="1" t="s">
        <v>18</v>
      </c>
      <c r="I180" s="3">
        <f>+2250768062066</f>
        <v>2250768062066</v>
      </c>
      <c r="J180" s="3">
        <f>+2250713898233</f>
        <v>2250713898233</v>
      </c>
      <c r="K180" s="1" t="s">
        <v>19</v>
      </c>
      <c r="L180" s="4" t="s">
        <v>705</v>
      </c>
    </row>
    <row r="181">
      <c r="A181" s="1" t="s">
        <v>12</v>
      </c>
      <c r="B181" s="1" t="s">
        <v>706</v>
      </c>
      <c r="C181" s="1" t="s">
        <v>707</v>
      </c>
      <c r="D181" s="1" t="s">
        <v>708</v>
      </c>
      <c r="E181" s="5">
        <v>33207.0</v>
      </c>
      <c r="F181" s="1" t="s">
        <v>138</v>
      </c>
      <c r="G181" s="1" t="s">
        <v>38</v>
      </c>
      <c r="H181" s="1" t="s">
        <v>39</v>
      </c>
      <c r="I181" s="3">
        <f>+2250758786113</f>
        <v>2250758786113</v>
      </c>
      <c r="J181" s="3">
        <f>+2250708420843</f>
        <v>2250708420843</v>
      </c>
      <c r="K181" s="1" t="s">
        <v>19</v>
      </c>
      <c r="L181" s="4" t="s">
        <v>709</v>
      </c>
    </row>
    <row r="182">
      <c r="A182" s="1" t="s">
        <v>12</v>
      </c>
      <c r="B182" s="1" t="s">
        <v>710</v>
      </c>
      <c r="C182" s="1" t="s">
        <v>711</v>
      </c>
      <c r="D182" s="1" t="s">
        <v>712</v>
      </c>
      <c r="E182" s="2">
        <v>37363.0</v>
      </c>
      <c r="F182" s="1" t="s">
        <v>342</v>
      </c>
      <c r="G182" s="1" t="s">
        <v>82</v>
      </c>
      <c r="H182" s="1" t="s">
        <v>18</v>
      </c>
      <c r="I182" s="3">
        <f t="shared" ref="I182:J182" si="4">+2250143722333</f>
        <v>2250143722333</v>
      </c>
      <c r="J182" s="3">
        <f t="shared" si="4"/>
        <v>2250143722333</v>
      </c>
      <c r="K182" s="1" t="s">
        <v>19</v>
      </c>
      <c r="L182" s="4" t="s">
        <v>713</v>
      </c>
    </row>
    <row r="183">
      <c r="A183" s="1" t="s">
        <v>12</v>
      </c>
      <c r="B183" s="1" t="s">
        <v>714</v>
      </c>
      <c r="C183" s="1" t="s">
        <v>715</v>
      </c>
      <c r="D183" s="1" t="s">
        <v>716</v>
      </c>
      <c r="E183" s="2">
        <v>38461.0</v>
      </c>
      <c r="F183" s="1" t="s">
        <v>288</v>
      </c>
      <c r="G183" s="1" t="s">
        <v>76</v>
      </c>
      <c r="H183" s="1" t="s">
        <v>32</v>
      </c>
      <c r="I183" s="3">
        <f>+2250142809015</f>
        <v>2250142809015</v>
      </c>
      <c r="J183" s="3">
        <f>+2250707118241</f>
        <v>2250707118241</v>
      </c>
      <c r="K183" s="1" t="s">
        <v>19</v>
      </c>
      <c r="L183" s="4" t="s">
        <v>717</v>
      </c>
    </row>
    <row r="184">
      <c r="A184" s="1" t="s">
        <v>12</v>
      </c>
      <c r="B184" s="1" t="s">
        <v>718</v>
      </c>
      <c r="C184" s="1" t="s">
        <v>719</v>
      </c>
      <c r="D184" s="1" t="s">
        <v>720</v>
      </c>
      <c r="E184" s="2">
        <v>37502.0</v>
      </c>
      <c r="F184" s="1" t="s">
        <v>110</v>
      </c>
      <c r="G184" s="1" t="s">
        <v>17</v>
      </c>
      <c r="H184" s="1" t="s">
        <v>18</v>
      </c>
      <c r="I184" s="3">
        <f>+2250596032030</f>
        <v>2250596032030</v>
      </c>
      <c r="J184" s="3">
        <f>+2250707063589</f>
        <v>2250707063589</v>
      </c>
      <c r="K184" s="1" t="s">
        <v>19</v>
      </c>
      <c r="L184" s="4" t="s">
        <v>721</v>
      </c>
    </row>
    <row r="185">
      <c r="A185" s="1" t="s">
        <v>12</v>
      </c>
      <c r="B185" s="1" t="s">
        <v>722</v>
      </c>
      <c r="C185" s="1" t="s">
        <v>719</v>
      </c>
      <c r="D185" s="1" t="s">
        <v>723</v>
      </c>
      <c r="E185" s="2">
        <v>37506.0</v>
      </c>
      <c r="F185" s="1" t="s">
        <v>62</v>
      </c>
      <c r="G185" s="1" t="s">
        <v>17</v>
      </c>
      <c r="H185" s="1" t="s">
        <v>18</v>
      </c>
      <c r="I185" s="3">
        <f>+2250596644475</f>
        <v>2250596644475</v>
      </c>
      <c r="J185" s="3">
        <f>+2250101154033</f>
        <v>2250101154033</v>
      </c>
      <c r="K185" s="1" t="s">
        <v>19</v>
      </c>
      <c r="L185" s="4" t="s">
        <v>724</v>
      </c>
    </row>
    <row r="186">
      <c r="A186" s="1" t="s">
        <v>12</v>
      </c>
      <c r="B186" s="1" t="s">
        <v>725</v>
      </c>
      <c r="C186" s="1" t="s">
        <v>719</v>
      </c>
      <c r="D186" s="1" t="s">
        <v>726</v>
      </c>
      <c r="E186" s="2">
        <v>38372.0</v>
      </c>
      <c r="F186" s="1" t="s">
        <v>62</v>
      </c>
      <c r="G186" s="1" t="s">
        <v>17</v>
      </c>
      <c r="H186" s="1" t="s">
        <v>18</v>
      </c>
      <c r="I186" s="3">
        <f>+2250708028988</f>
        <v>2250708028988</v>
      </c>
      <c r="J186" s="3">
        <f>+2250707168925</f>
        <v>2250707168925</v>
      </c>
      <c r="K186" s="1" t="s">
        <v>19</v>
      </c>
      <c r="L186" s="4" t="s">
        <v>727</v>
      </c>
    </row>
    <row r="187">
      <c r="A187" s="1" t="s">
        <v>12</v>
      </c>
      <c r="B187" s="1" t="s">
        <v>728</v>
      </c>
      <c r="C187" s="1" t="s">
        <v>719</v>
      </c>
      <c r="D187" s="1" t="s">
        <v>729</v>
      </c>
      <c r="E187" s="2">
        <v>37874.0</v>
      </c>
      <c r="F187" s="1" t="s">
        <v>92</v>
      </c>
      <c r="G187" s="1" t="s">
        <v>31</v>
      </c>
      <c r="H187" s="1" t="s">
        <v>32</v>
      </c>
      <c r="I187" s="3">
        <f>+2250778174744</f>
        <v>2250778174744</v>
      </c>
      <c r="J187" s="3">
        <f>+2250709373859</f>
        <v>2250709373859</v>
      </c>
      <c r="K187" s="1" t="s">
        <v>19</v>
      </c>
      <c r="L187" s="4" t="s">
        <v>730</v>
      </c>
    </row>
    <row r="188">
      <c r="A188" s="1" t="s">
        <v>12</v>
      </c>
      <c r="B188" s="1" t="s">
        <v>731</v>
      </c>
      <c r="C188" s="1" t="s">
        <v>719</v>
      </c>
      <c r="D188" s="1" t="s">
        <v>732</v>
      </c>
      <c r="E188" s="2">
        <v>36413.0</v>
      </c>
      <c r="F188" s="1" t="s">
        <v>53</v>
      </c>
      <c r="G188" s="1" t="s">
        <v>17</v>
      </c>
      <c r="H188" s="1" t="s">
        <v>18</v>
      </c>
      <c r="I188" s="3">
        <f>+2250767440882</f>
        <v>2250767440882</v>
      </c>
      <c r="J188" s="3">
        <f>+2250758331809</f>
        <v>2250758331809</v>
      </c>
      <c r="K188" s="1" t="s">
        <v>19</v>
      </c>
      <c r="L188" s="4" t="s">
        <v>733</v>
      </c>
    </row>
    <row r="189">
      <c r="A189" s="1" t="s">
        <v>12</v>
      </c>
      <c r="B189" s="1" t="s">
        <v>734</v>
      </c>
      <c r="C189" s="1" t="s">
        <v>719</v>
      </c>
      <c r="D189" s="1" t="s">
        <v>735</v>
      </c>
      <c r="E189" s="2">
        <v>37669.0</v>
      </c>
      <c r="F189" s="1" t="s">
        <v>155</v>
      </c>
      <c r="G189" s="1" t="s">
        <v>31</v>
      </c>
      <c r="H189" s="1" t="s">
        <v>32</v>
      </c>
      <c r="I189" s="3">
        <f t="shared" ref="I189:J189" si="5">+2250102311444</f>
        <v>2250102311444</v>
      </c>
      <c r="J189" s="3">
        <f t="shared" si="5"/>
        <v>2250102311444</v>
      </c>
      <c r="K189" s="1" t="s">
        <v>19</v>
      </c>
      <c r="L189" s="4" t="s">
        <v>736</v>
      </c>
    </row>
    <row r="190">
      <c r="A190" s="1" t="s">
        <v>12</v>
      </c>
      <c r="B190" s="1" t="s">
        <v>737</v>
      </c>
      <c r="C190" s="1" t="s">
        <v>719</v>
      </c>
      <c r="D190" s="1" t="s">
        <v>738</v>
      </c>
      <c r="E190" s="2">
        <v>38269.0</v>
      </c>
      <c r="F190" s="1" t="s">
        <v>53</v>
      </c>
      <c r="G190" s="1" t="s">
        <v>17</v>
      </c>
      <c r="H190" s="1" t="s">
        <v>18</v>
      </c>
      <c r="I190" s="3">
        <f>+2250779941672</f>
        <v>2250779941672</v>
      </c>
      <c r="J190" s="3">
        <f>+2250707912313</f>
        <v>2250707912313</v>
      </c>
      <c r="K190" s="1" t="s">
        <v>19</v>
      </c>
      <c r="L190" s="4" t="s">
        <v>739</v>
      </c>
    </row>
    <row r="191">
      <c r="A191" s="1" t="s">
        <v>12</v>
      </c>
      <c r="B191" s="1" t="s">
        <v>740</v>
      </c>
      <c r="C191" s="1" t="s">
        <v>719</v>
      </c>
      <c r="D191" s="1" t="s">
        <v>741</v>
      </c>
      <c r="E191" s="2">
        <v>38218.0</v>
      </c>
      <c r="F191" s="1" t="s">
        <v>92</v>
      </c>
      <c r="G191" s="1" t="s">
        <v>31</v>
      </c>
      <c r="H191" s="1" t="s">
        <v>32</v>
      </c>
      <c r="I191" s="3">
        <f>+2250143957270</f>
        <v>2250143957270</v>
      </c>
      <c r="J191" s="3">
        <f>+2250103812055</f>
        <v>2250103812055</v>
      </c>
      <c r="K191" s="1" t="s">
        <v>19</v>
      </c>
      <c r="L191" s="4" t="s">
        <v>742</v>
      </c>
    </row>
    <row r="192">
      <c r="A192" s="1" t="s">
        <v>12</v>
      </c>
      <c r="B192" s="1" t="s">
        <v>743</v>
      </c>
      <c r="C192" s="1" t="s">
        <v>719</v>
      </c>
      <c r="D192" s="1" t="s">
        <v>744</v>
      </c>
      <c r="E192" s="2">
        <v>36563.0</v>
      </c>
      <c r="F192" s="1" t="s">
        <v>62</v>
      </c>
      <c r="G192" s="1" t="s">
        <v>17</v>
      </c>
      <c r="H192" s="1" t="s">
        <v>18</v>
      </c>
      <c r="I192" s="3">
        <f>+2250707940176</f>
        <v>2250707940176</v>
      </c>
      <c r="J192" s="3">
        <f t="shared" ref="J192:J193" si="6">+2250140176204</f>
        <v>2250140176204</v>
      </c>
      <c r="K192" s="1" t="s">
        <v>19</v>
      </c>
      <c r="L192" s="4" t="s">
        <v>745</v>
      </c>
    </row>
    <row r="193">
      <c r="A193" s="1" t="s">
        <v>12</v>
      </c>
      <c r="B193" s="1" t="s">
        <v>746</v>
      </c>
      <c r="C193" s="1" t="s">
        <v>719</v>
      </c>
      <c r="D193" s="1" t="s">
        <v>747</v>
      </c>
      <c r="E193" s="2">
        <v>37680.0</v>
      </c>
      <c r="F193" s="1" t="s">
        <v>62</v>
      </c>
      <c r="G193" s="1" t="s">
        <v>17</v>
      </c>
      <c r="H193" s="1" t="s">
        <v>18</v>
      </c>
      <c r="I193" s="3">
        <f>+2250171406841</f>
        <v>2250171406841</v>
      </c>
      <c r="J193" s="3">
        <f t="shared" si="6"/>
        <v>2250140176204</v>
      </c>
      <c r="K193" s="1" t="s">
        <v>19</v>
      </c>
      <c r="L193" s="4" t="s">
        <v>748</v>
      </c>
    </row>
    <row r="194">
      <c r="A194" s="1" t="s">
        <v>12</v>
      </c>
      <c r="B194" s="1" t="s">
        <v>749</v>
      </c>
      <c r="C194" s="1" t="s">
        <v>719</v>
      </c>
      <c r="D194" s="1" t="s">
        <v>750</v>
      </c>
      <c r="E194" s="5">
        <v>37221.0</v>
      </c>
      <c r="F194" s="1" t="s">
        <v>586</v>
      </c>
      <c r="G194" s="1" t="s">
        <v>82</v>
      </c>
      <c r="H194" s="1" t="s">
        <v>18</v>
      </c>
      <c r="I194" s="3">
        <f t="shared" ref="I194:J194" si="7">+2250153644120</f>
        <v>2250153644120</v>
      </c>
      <c r="J194" s="3">
        <f t="shared" si="7"/>
        <v>2250153644120</v>
      </c>
      <c r="K194" s="1" t="s">
        <v>19</v>
      </c>
      <c r="L194" s="4" t="s">
        <v>751</v>
      </c>
    </row>
    <row r="195">
      <c r="A195" s="1" t="s">
        <v>12</v>
      </c>
      <c r="B195" s="1" t="s">
        <v>752</v>
      </c>
      <c r="C195" s="1" t="s">
        <v>753</v>
      </c>
      <c r="D195" s="1" t="s">
        <v>754</v>
      </c>
      <c r="E195" s="2">
        <v>38596.0</v>
      </c>
      <c r="F195" s="1" t="s">
        <v>62</v>
      </c>
      <c r="G195" s="1" t="s">
        <v>25</v>
      </c>
      <c r="H195" s="1" t="s">
        <v>18</v>
      </c>
      <c r="I195" s="3">
        <f>+2250787952239</f>
        <v>2250787952239</v>
      </c>
      <c r="J195" s="3">
        <f>+2250708716762</f>
        <v>2250708716762</v>
      </c>
      <c r="K195" s="1" t="s">
        <v>19</v>
      </c>
      <c r="L195" s="4" t="s">
        <v>755</v>
      </c>
    </row>
    <row r="196">
      <c r="A196" s="1" t="s">
        <v>12</v>
      </c>
      <c r="B196" s="1" t="s">
        <v>756</v>
      </c>
      <c r="C196" s="1" t="s">
        <v>757</v>
      </c>
      <c r="D196" s="1" t="s">
        <v>758</v>
      </c>
      <c r="E196" s="5">
        <v>38711.0</v>
      </c>
      <c r="F196" s="1" t="s">
        <v>48</v>
      </c>
      <c r="G196" s="1" t="s">
        <v>82</v>
      </c>
      <c r="H196" s="1" t="s">
        <v>18</v>
      </c>
      <c r="I196" s="3">
        <f>+2250556571022</f>
        <v>2250556571022</v>
      </c>
      <c r="J196" s="3">
        <f>+2250505646448</f>
        <v>2250505646448</v>
      </c>
      <c r="K196" s="1" t="s">
        <v>19</v>
      </c>
      <c r="L196" s="4" t="s">
        <v>759</v>
      </c>
    </row>
    <row r="197">
      <c r="A197" s="1" t="s">
        <v>12</v>
      </c>
      <c r="B197" s="1" t="s">
        <v>760</v>
      </c>
      <c r="C197" s="1" t="s">
        <v>761</v>
      </c>
      <c r="D197" s="1" t="s">
        <v>762</v>
      </c>
      <c r="E197" s="2">
        <v>37257.0</v>
      </c>
      <c r="F197" s="1" t="s">
        <v>101</v>
      </c>
      <c r="G197" s="1" t="s">
        <v>31</v>
      </c>
      <c r="H197" s="1" t="s">
        <v>32</v>
      </c>
      <c r="I197" s="3">
        <f>+2250798560624</f>
        <v>2250798560624</v>
      </c>
      <c r="J197" s="3">
        <f>+2250707884407</f>
        <v>2250707884407</v>
      </c>
      <c r="K197" s="1" t="s">
        <v>19</v>
      </c>
      <c r="L197" s="4" t="s">
        <v>763</v>
      </c>
    </row>
    <row r="198">
      <c r="A198" s="1" t="s">
        <v>12</v>
      </c>
      <c r="B198" s="1" t="s">
        <v>764</v>
      </c>
      <c r="C198" s="1" t="s">
        <v>761</v>
      </c>
      <c r="D198" s="1" t="s">
        <v>765</v>
      </c>
      <c r="E198" s="2">
        <v>38429.0</v>
      </c>
      <c r="F198" s="1" t="s">
        <v>53</v>
      </c>
      <c r="G198" s="1" t="s">
        <v>25</v>
      </c>
      <c r="H198" s="1" t="s">
        <v>18</v>
      </c>
      <c r="I198" s="3">
        <f>+2250171353225</f>
        <v>2250171353225</v>
      </c>
      <c r="J198" s="3">
        <f>+2250171703776</f>
        <v>2250171703776</v>
      </c>
      <c r="K198" s="1" t="s">
        <v>19</v>
      </c>
      <c r="L198" s="4" t="s">
        <v>766</v>
      </c>
    </row>
    <row r="199">
      <c r="A199" s="1" t="s">
        <v>12</v>
      </c>
      <c r="B199" s="1" t="s">
        <v>767</v>
      </c>
      <c r="C199" s="1" t="s">
        <v>768</v>
      </c>
      <c r="D199" s="1" t="s">
        <v>769</v>
      </c>
      <c r="E199" s="2">
        <v>38073.0</v>
      </c>
      <c r="F199" s="1" t="s">
        <v>138</v>
      </c>
      <c r="G199" s="1" t="s">
        <v>76</v>
      </c>
      <c r="H199" s="1" t="s">
        <v>32</v>
      </c>
      <c r="I199" s="3">
        <f>+2250172474403</f>
        <v>2250172474403</v>
      </c>
      <c r="J199" s="3">
        <f>+2250143352464</f>
        <v>2250143352464</v>
      </c>
      <c r="K199" s="1" t="s">
        <v>19</v>
      </c>
      <c r="L199" s="4" t="s">
        <v>770</v>
      </c>
    </row>
    <row r="200">
      <c r="A200" s="1" t="s">
        <v>12</v>
      </c>
      <c r="B200" s="1" t="s">
        <v>771</v>
      </c>
      <c r="C200" s="1" t="s">
        <v>772</v>
      </c>
      <c r="D200" s="1" t="s">
        <v>773</v>
      </c>
      <c r="E200" s="2">
        <v>37029.0</v>
      </c>
      <c r="F200" s="1" t="s">
        <v>48</v>
      </c>
      <c r="G200" s="1" t="s">
        <v>31</v>
      </c>
      <c r="H200" s="1" t="s">
        <v>32</v>
      </c>
      <c r="I200" s="3">
        <f>+2250703399471</f>
        <v>2250703399471</v>
      </c>
      <c r="J200" s="3">
        <f>+2250747130232</f>
        <v>2250747130232</v>
      </c>
      <c r="K200" s="1" t="s">
        <v>19</v>
      </c>
      <c r="L200" s="4" t="s">
        <v>774</v>
      </c>
    </row>
    <row r="201">
      <c r="A201" s="1" t="s">
        <v>12</v>
      </c>
      <c r="B201" s="1" t="s">
        <v>775</v>
      </c>
      <c r="C201" s="1" t="s">
        <v>776</v>
      </c>
      <c r="D201" s="1" t="s">
        <v>777</v>
      </c>
      <c r="E201" s="2">
        <v>38615.0</v>
      </c>
      <c r="F201" s="1" t="s">
        <v>30</v>
      </c>
      <c r="G201" s="1" t="s">
        <v>76</v>
      </c>
      <c r="H201" s="1" t="s">
        <v>32</v>
      </c>
      <c r="I201" s="3">
        <f>+2250779191185</f>
        <v>2250779191185</v>
      </c>
      <c r="J201" s="3">
        <f>+2250101810369</f>
        <v>2250101810369</v>
      </c>
      <c r="K201" s="1" t="s">
        <v>19</v>
      </c>
      <c r="L201" s="4" t="s">
        <v>778</v>
      </c>
    </row>
    <row r="202">
      <c r="A202" s="1" t="s">
        <v>12</v>
      </c>
      <c r="B202" s="1" t="s">
        <v>779</v>
      </c>
      <c r="C202" s="1" t="s">
        <v>780</v>
      </c>
      <c r="D202" s="1" t="s">
        <v>781</v>
      </c>
      <c r="E202" s="5">
        <v>38348.0</v>
      </c>
      <c r="F202" s="1" t="s">
        <v>53</v>
      </c>
      <c r="G202" s="1" t="s">
        <v>25</v>
      </c>
      <c r="H202" s="1" t="s">
        <v>18</v>
      </c>
      <c r="I202" s="3">
        <f>+2250503745505</f>
        <v>2250503745505</v>
      </c>
      <c r="J202" s="3">
        <f>+2250576113381</f>
        <v>2250576113381</v>
      </c>
      <c r="K202" s="1" t="s">
        <v>19</v>
      </c>
      <c r="L202" s="4" t="s">
        <v>782</v>
      </c>
    </row>
    <row r="203">
      <c r="A203" s="1" t="s">
        <v>12</v>
      </c>
      <c r="B203" s="1" t="s">
        <v>783</v>
      </c>
      <c r="C203" s="1" t="s">
        <v>784</v>
      </c>
      <c r="D203" s="1" t="s">
        <v>785</v>
      </c>
      <c r="E203" s="2">
        <v>36922.0</v>
      </c>
      <c r="F203" s="1" t="s">
        <v>62</v>
      </c>
      <c r="G203" s="1" t="s">
        <v>17</v>
      </c>
      <c r="H203" s="1" t="s">
        <v>18</v>
      </c>
      <c r="I203" s="3">
        <f>+2250767159645</f>
        <v>2250767159645</v>
      </c>
      <c r="J203" s="3">
        <f>+2250700646535</f>
        <v>2250700646535</v>
      </c>
      <c r="K203" s="1" t="s">
        <v>19</v>
      </c>
      <c r="L203" s="4" t="s">
        <v>786</v>
      </c>
    </row>
    <row r="204">
      <c r="A204" s="1" t="s">
        <v>12</v>
      </c>
      <c r="B204" s="1" t="s">
        <v>787</v>
      </c>
      <c r="C204" s="1" t="s">
        <v>788</v>
      </c>
      <c r="D204" s="1" t="s">
        <v>789</v>
      </c>
      <c r="E204" s="2">
        <v>37957.0</v>
      </c>
      <c r="F204" s="1" t="s">
        <v>53</v>
      </c>
      <c r="G204" s="1" t="s">
        <v>17</v>
      </c>
      <c r="H204" s="1" t="s">
        <v>18</v>
      </c>
      <c r="I204" s="3">
        <f>+2250153845246</f>
        <v>2250153845246</v>
      </c>
      <c r="J204" s="3">
        <f>+2250707608686</f>
        <v>2250707608686</v>
      </c>
      <c r="K204" s="1" t="s">
        <v>19</v>
      </c>
      <c r="L204" s="4" t="s">
        <v>790</v>
      </c>
    </row>
    <row r="205">
      <c r="A205" s="1" t="s">
        <v>12</v>
      </c>
      <c r="B205" s="1" t="s">
        <v>791</v>
      </c>
      <c r="C205" s="1" t="s">
        <v>792</v>
      </c>
      <c r="D205" s="1" t="s">
        <v>793</v>
      </c>
      <c r="E205" s="2">
        <v>37594.0</v>
      </c>
      <c r="F205" s="1" t="s">
        <v>167</v>
      </c>
      <c r="G205" s="1" t="s">
        <v>17</v>
      </c>
      <c r="H205" s="1" t="s">
        <v>18</v>
      </c>
      <c r="I205" s="3">
        <f>+2250778830149</f>
        <v>2250778830149</v>
      </c>
      <c r="J205" s="3">
        <f>+2250777191905</f>
        <v>2250777191905</v>
      </c>
      <c r="K205" s="1" t="s">
        <v>19</v>
      </c>
      <c r="L205" s="4" t="s">
        <v>794</v>
      </c>
    </row>
    <row r="206">
      <c r="A206" s="1" t="s">
        <v>12</v>
      </c>
      <c r="B206" s="1" t="s">
        <v>795</v>
      </c>
      <c r="C206" s="1" t="s">
        <v>796</v>
      </c>
      <c r="D206" s="1" t="s">
        <v>797</v>
      </c>
      <c r="E206" s="2">
        <v>38506.0</v>
      </c>
      <c r="F206" s="1" t="s">
        <v>16</v>
      </c>
      <c r="G206" s="1" t="s">
        <v>25</v>
      </c>
      <c r="H206" s="1" t="s">
        <v>18</v>
      </c>
      <c r="I206" s="3">
        <f>+2250555792072</f>
        <v>2250555792072</v>
      </c>
      <c r="J206" s="3">
        <f>+2250153228694</f>
        <v>2250153228694</v>
      </c>
      <c r="K206" s="1" t="s">
        <v>19</v>
      </c>
      <c r="L206" s="4" t="s">
        <v>798</v>
      </c>
    </row>
    <row r="207">
      <c r="A207" s="1" t="s">
        <v>12</v>
      </c>
      <c r="B207" s="1" t="s">
        <v>799</v>
      </c>
      <c r="C207" s="1" t="s">
        <v>800</v>
      </c>
      <c r="D207" s="1" t="s">
        <v>801</v>
      </c>
      <c r="E207" s="2">
        <v>35943.0</v>
      </c>
      <c r="F207" s="1" t="s">
        <v>101</v>
      </c>
      <c r="G207" s="1" t="s">
        <v>76</v>
      </c>
      <c r="H207" s="1" t="s">
        <v>32</v>
      </c>
      <c r="I207" s="3">
        <f>+2250757810527</f>
        <v>2250757810527</v>
      </c>
      <c r="J207" s="3">
        <f>+2250748805654</f>
        <v>2250748805654</v>
      </c>
      <c r="K207" s="1" t="s">
        <v>19</v>
      </c>
      <c r="L207" s="4" t="s">
        <v>802</v>
      </c>
    </row>
    <row r="208">
      <c r="A208" s="1" t="s">
        <v>12</v>
      </c>
      <c r="B208" s="1" t="s">
        <v>803</v>
      </c>
      <c r="C208" s="1" t="s">
        <v>804</v>
      </c>
      <c r="D208" s="1" t="s">
        <v>805</v>
      </c>
      <c r="E208" s="2">
        <v>37747.0</v>
      </c>
      <c r="F208" s="1" t="s">
        <v>53</v>
      </c>
      <c r="G208" s="1" t="s">
        <v>17</v>
      </c>
      <c r="H208" s="1" t="s">
        <v>18</v>
      </c>
      <c r="I208" s="3">
        <f>+2250544310352</f>
        <v>2250544310352</v>
      </c>
      <c r="J208" s="3">
        <f>+2250768148232</f>
        <v>2250768148232</v>
      </c>
      <c r="K208" s="1" t="s">
        <v>19</v>
      </c>
      <c r="L208" s="4" t="s">
        <v>806</v>
      </c>
    </row>
    <row r="209">
      <c r="A209" s="1" t="s">
        <v>12</v>
      </c>
      <c r="B209" s="1" t="s">
        <v>807</v>
      </c>
      <c r="C209" s="1" t="s">
        <v>808</v>
      </c>
      <c r="D209" s="1" t="s">
        <v>809</v>
      </c>
      <c r="E209" s="5">
        <v>38676.0</v>
      </c>
      <c r="F209" s="1" t="s">
        <v>48</v>
      </c>
      <c r="G209" s="1" t="s">
        <v>31</v>
      </c>
      <c r="H209" s="1" t="s">
        <v>32</v>
      </c>
      <c r="I209" s="3">
        <f>+2250153455089</f>
        <v>2250153455089</v>
      </c>
      <c r="J209" s="3">
        <f>+2250707445757</f>
        <v>2250707445757</v>
      </c>
      <c r="K209" s="1" t="s">
        <v>19</v>
      </c>
      <c r="L209" s="4" t="s">
        <v>810</v>
      </c>
    </row>
    <row r="210">
      <c r="A210" s="1" t="s">
        <v>12</v>
      </c>
      <c r="B210" s="1" t="s">
        <v>811</v>
      </c>
      <c r="C210" s="1" t="s">
        <v>808</v>
      </c>
      <c r="D210" s="1" t="s">
        <v>812</v>
      </c>
      <c r="E210" s="2">
        <v>37025.0</v>
      </c>
      <c r="F210" s="1" t="s">
        <v>110</v>
      </c>
      <c r="G210" s="1" t="s">
        <v>82</v>
      </c>
      <c r="H210" s="1" t="s">
        <v>18</v>
      </c>
      <c r="I210" s="3">
        <f>+2250102746696</f>
        <v>2250102746696</v>
      </c>
      <c r="J210" s="3">
        <f>+2250798848242</f>
        <v>2250798848242</v>
      </c>
      <c r="K210" s="1" t="s">
        <v>19</v>
      </c>
      <c r="L210" s="4" t="s">
        <v>813</v>
      </c>
    </row>
    <row r="211">
      <c r="A211" s="1" t="s">
        <v>12</v>
      </c>
      <c r="B211" s="1" t="s">
        <v>814</v>
      </c>
      <c r="C211" s="1" t="s">
        <v>815</v>
      </c>
      <c r="D211" s="1" t="s">
        <v>816</v>
      </c>
      <c r="E211" s="2">
        <v>36685.0</v>
      </c>
      <c r="F211" s="1" t="s">
        <v>53</v>
      </c>
      <c r="G211" s="1" t="s">
        <v>17</v>
      </c>
      <c r="H211" s="1" t="s">
        <v>18</v>
      </c>
      <c r="I211" s="3">
        <f>+2250502848938</f>
        <v>2250502848938</v>
      </c>
      <c r="J211" s="3">
        <f>+2250769983032</f>
        <v>2250769983032</v>
      </c>
      <c r="K211" s="1" t="s">
        <v>19</v>
      </c>
      <c r="L211" s="4" t="s">
        <v>817</v>
      </c>
    </row>
    <row r="212">
      <c r="A212" s="1" t="s">
        <v>12</v>
      </c>
      <c r="B212" s="1" t="s">
        <v>818</v>
      </c>
      <c r="C212" s="1" t="s">
        <v>819</v>
      </c>
      <c r="D212" s="1" t="s">
        <v>820</v>
      </c>
      <c r="E212" s="2">
        <v>38292.0</v>
      </c>
      <c r="F212" s="1" t="s">
        <v>155</v>
      </c>
      <c r="G212" s="1" t="s">
        <v>31</v>
      </c>
      <c r="H212" s="1" t="s">
        <v>32</v>
      </c>
      <c r="I212" s="3">
        <f>+2250172863289</f>
        <v>2250172863289</v>
      </c>
      <c r="J212" s="3">
        <f>+2250707788913</f>
        <v>2250707788913</v>
      </c>
      <c r="K212" s="1" t="s">
        <v>19</v>
      </c>
      <c r="L212" s="4" t="s">
        <v>821</v>
      </c>
    </row>
    <row r="213">
      <c r="A213" s="1" t="s">
        <v>12</v>
      </c>
      <c r="B213" s="1" t="s">
        <v>822</v>
      </c>
      <c r="C213" s="1" t="s">
        <v>823</v>
      </c>
      <c r="D213" s="1" t="s">
        <v>824</v>
      </c>
      <c r="E213" s="2">
        <v>38174.0</v>
      </c>
      <c r="F213" s="1" t="s">
        <v>155</v>
      </c>
      <c r="G213" s="1" t="s">
        <v>31</v>
      </c>
      <c r="H213" s="1" t="s">
        <v>32</v>
      </c>
      <c r="I213" s="3">
        <f>+2250576900729</f>
        <v>2250576900729</v>
      </c>
      <c r="J213" s="3">
        <f>+2250545736630</f>
        <v>2250545736630</v>
      </c>
      <c r="K213" s="1" t="s">
        <v>19</v>
      </c>
      <c r="L213" s="4" t="s">
        <v>825</v>
      </c>
    </row>
    <row r="214">
      <c r="A214" s="1" t="s">
        <v>12</v>
      </c>
      <c r="B214" s="1" t="s">
        <v>826</v>
      </c>
      <c r="C214" s="1" t="s">
        <v>827</v>
      </c>
      <c r="D214" s="1" t="s">
        <v>828</v>
      </c>
      <c r="E214" s="2">
        <v>37561.0</v>
      </c>
      <c r="F214" s="1" t="s">
        <v>16</v>
      </c>
      <c r="G214" s="1" t="s">
        <v>82</v>
      </c>
      <c r="H214" s="1" t="s">
        <v>18</v>
      </c>
      <c r="I214" s="3">
        <f>+2250777259132</f>
        <v>2250777259132</v>
      </c>
      <c r="J214" s="3">
        <f>+2250707389287</f>
        <v>2250707389287</v>
      </c>
      <c r="K214" s="1" t="s">
        <v>19</v>
      </c>
      <c r="L214" s="4" t="s">
        <v>829</v>
      </c>
    </row>
    <row r="215">
      <c r="A215" s="1" t="s">
        <v>12</v>
      </c>
      <c r="B215" s="1" t="s">
        <v>830</v>
      </c>
      <c r="C215" s="1" t="s">
        <v>831</v>
      </c>
      <c r="D215" s="1" t="s">
        <v>832</v>
      </c>
      <c r="E215" s="5">
        <v>38302.0</v>
      </c>
      <c r="F215" s="1" t="s">
        <v>62</v>
      </c>
      <c r="G215" s="1" t="s">
        <v>17</v>
      </c>
      <c r="H215" s="1" t="s">
        <v>18</v>
      </c>
      <c r="I215" s="3">
        <f>+2250797208559</f>
        <v>2250797208559</v>
      </c>
      <c r="J215" s="3">
        <f>+2250747557240</f>
        <v>2250747557240</v>
      </c>
      <c r="K215" s="1" t="s">
        <v>19</v>
      </c>
      <c r="L215" s="4" t="s">
        <v>833</v>
      </c>
    </row>
    <row r="216">
      <c r="A216" s="1" t="s">
        <v>12</v>
      </c>
      <c r="B216" s="1" t="s">
        <v>834</v>
      </c>
      <c r="C216" s="1" t="s">
        <v>831</v>
      </c>
      <c r="D216" s="1" t="s">
        <v>835</v>
      </c>
      <c r="E216" s="2">
        <v>37698.0</v>
      </c>
      <c r="F216" s="1" t="s">
        <v>138</v>
      </c>
      <c r="G216" s="1" t="s">
        <v>31</v>
      </c>
      <c r="H216" s="1" t="s">
        <v>32</v>
      </c>
      <c r="I216" s="3">
        <f>+2250150389546</f>
        <v>2250150389546</v>
      </c>
      <c r="J216" s="3">
        <f>+2250749767543</f>
        <v>2250749767543</v>
      </c>
      <c r="K216" s="1" t="s">
        <v>19</v>
      </c>
      <c r="L216" s="4" t="s">
        <v>836</v>
      </c>
    </row>
    <row r="217">
      <c r="A217" s="1" t="s">
        <v>12</v>
      </c>
      <c r="B217" s="1" t="s">
        <v>837</v>
      </c>
      <c r="C217" s="1" t="s">
        <v>831</v>
      </c>
      <c r="D217" s="1" t="s">
        <v>838</v>
      </c>
      <c r="E217" s="5">
        <v>38276.0</v>
      </c>
      <c r="F217" s="1" t="s">
        <v>48</v>
      </c>
      <c r="G217" s="1" t="s">
        <v>31</v>
      </c>
      <c r="H217" s="1" t="s">
        <v>32</v>
      </c>
      <c r="I217" s="3">
        <f>+2250142564613</f>
        <v>2250142564613</v>
      </c>
      <c r="J217" s="3">
        <f>+2250545889513</f>
        <v>2250545889513</v>
      </c>
      <c r="K217" s="1" t="s">
        <v>19</v>
      </c>
      <c r="L217" s="4" t="s">
        <v>839</v>
      </c>
    </row>
    <row r="218">
      <c r="A218" s="1" t="s">
        <v>12</v>
      </c>
      <c r="B218" s="1" t="s">
        <v>840</v>
      </c>
      <c r="C218" s="1" t="s">
        <v>831</v>
      </c>
      <c r="D218" s="1" t="s">
        <v>841</v>
      </c>
      <c r="E218" s="2">
        <v>37693.0</v>
      </c>
      <c r="F218" s="1" t="s">
        <v>62</v>
      </c>
      <c r="G218" s="1" t="s">
        <v>17</v>
      </c>
      <c r="H218" s="1" t="s">
        <v>18</v>
      </c>
      <c r="I218" s="3">
        <f t="shared" ref="I218:J218" si="8">+2250101123990</f>
        <v>2250101123990</v>
      </c>
      <c r="J218" s="3">
        <f t="shared" si="8"/>
        <v>2250101123990</v>
      </c>
      <c r="K218" s="1" t="s">
        <v>19</v>
      </c>
      <c r="L218" s="4" t="s">
        <v>842</v>
      </c>
    </row>
    <row r="219">
      <c r="A219" s="1" t="s">
        <v>12</v>
      </c>
      <c r="B219" s="1" t="s">
        <v>843</v>
      </c>
      <c r="C219" s="1" t="s">
        <v>844</v>
      </c>
      <c r="D219" s="1" t="s">
        <v>845</v>
      </c>
      <c r="E219" s="2">
        <v>36251.0</v>
      </c>
      <c r="F219" s="1" t="s">
        <v>92</v>
      </c>
      <c r="G219" s="1" t="s">
        <v>31</v>
      </c>
      <c r="H219" s="1" t="s">
        <v>32</v>
      </c>
      <c r="I219" s="3">
        <f>+2250788417326</f>
        <v>2250788417326</v>
      </c>
      <c r="J219" s="3">
        <f>+2250101671607</f>
        <v>2250101671607</v>
      </c>
      <c r="K219" s="1" t="s">
        <v>19</v>
      </c>
      <c r="L219" s="4" t="s">
        <v>846</v>
      </c>
    </row>
    <row r="220">
      <c r="A220" s="1" t="s">
        <v>12</v>
      </c>
      <c r="B220" s="1" t="s">
        <v>847</v>
      </c>
      <c r="C220" s="1" t="s">
        <v>848</v>
      </c>
      <c r="D220" s="1" t="s">
        <v>849</v>
      </c>
      <c r="E220" s="2">
        <v>38694.0</v>
      </c>
      <c r="F220" s="1" t="s">
        <v>48</v>
      </c>
      <c r="G220" s="1" t="s">
        <v>31</v>
      </c>
      <c r="H220" s="1" t="s">
        <v>32</v>
      </c>
      <c r="I220" s="3">
        <f>+2250767567770</f>
        <v>2250767567770</v>
      </c>
      <c r="J220" s="3">
        <f>+2250708190749</f>
        <v>2250708190749</v>
      </c>
      <c r="K220" s="1" t="s">
        <v>19</v>
      </c>
      <c r="L220" s="4" t="s">
        <v>850</v>
      </c>
    </row>
    <row r="221">
      <c r="A221" s="1" t="s">
        <v>12</v>
      </c>
      <c r="B221" s="1" t="s">
        <v>851</v>
      </c>
      <c r="C221" s="1" t="s">
        <v>852</v>
      </c>
      <c r="D221" s="1" t="s">
        <v>853</v>
      </c>
      <c r="E221" s="2">
        <v>37291.0</v>
      </c>
      <c r="F221" s="1" t="s">
        <v>87</v>
      </c>
      <c r="G221" s="1" t="s">
        <v>31</v>
      </c>
      <c r="H221" s="1" t="s">
        <v>32</v>
      </c>
      <c r="I221" s="3">
        <f>+2250797467073</f>
        <v>2250797467073</v>
      </c>
      <c r="J221" s="3">
        <f>+2250778233620</f>
        <v>2250778233620</v>
      </c>
      <c r="K221" s="1" t="s">
        <v>19</v>
      </c>
      <c r="L221" s="4" t="s">
        <v>854</v>
      </c>
    </row>
    <row r="222">
      <c r="A222" s="1" t="s">
        <v>12</v>
      </c>
      <c r="B222" s="1" t="s">
        <v>855</v>
      </c>
      <c r="C222" s="1" t="s">
        <v>856</v>
      </c>
      <c r="D222" s="1" t="s">
        <v>857</v>
      </c>
      <c r="E222" s="2">
        <v>37333.0</v>
      </c>
      <c r="F222" s="1" t="s">
        <v>75</v>
      </c>
      <c r="G222" s="1" t="s">
        <v>31</v>
      </c>
      <c r="H222" s="1" t="s">
        <v>32</v>
      </c>
      <c r="I222" s="3">
        <f>+2250788782961</f>
        <v>2250788782961</v>
      </c>
      <c r="J222" s="3">
        <f>+2250505883612</f>
        <v>2250505883612</v>
      </c>
      <c r="K222" s="1" t="s">
        <v>19</v>
      </c>
      <c r="L222" s="4" t="s">
        <v>858</v>
      </c>
    </row>
    <row r="223">
      <c r="A223" s="1" t="s">
        <v>12</v>
      </c>
      <c r="B223" s="1" t="s">
        <v>859</v>
      </c>
      <c r="C223" s="1" t="s">
        <v>860</v>
      </c>
      <c r="D223" s="1" t="s">
        <v>861</v>
      </c>
      <c r="E223" s="2">
        <v>36868.0</v>
      </c>
      <c r="F223" s="1" t="s">
        <v>155</v>
      </c>
      <c r="G223" s="1" t="s">
        <v>82</v>
      </c>
      <c r="H223" s="1" t="s">
        <v>18</v>
      </c>
      <c r="I223" s="3">
        <f t="shared" ref="I223:J223" si="9">+2250748056497</f>
        <v>2250748056497</v>
      </c>
      <c r="J223" s="3">
        <f t="shared" si="9"/>
        <v>2250748056497</v>
      </c>
      <c r="K223" s="1" t="s">
        <v>19</v>
      </c>
      <c r="L223" s="4" t="s">
        <v>862</v>
      </c>
    </row>
    <row r="224">
      <c r="A224" s="1" t="s">
        <v>12</v>
      </c>
      <c r="B224" s="1" t="s">
        <v>863</v>
      </c>
      <c r="C224" s="1" t="s">
        <v>864</v>
      </c>
      <c r="D224" s="1" t="s">
        <v>865</v>
      </c>
      <c r="E224" s="2">
        <v>37962.0</v>
      </c>
      <c r="F224" s="1" t="s">
        <v>16</v>
      </c>
      <c r="G224" s="1" t="s">
        <v>17</v>
      </c>
      <c r="H224" s="1" t="s">
        <v>18</v>
      </c>
      <c r="I224" s="3">
        <f>+2250565700295</f>
        <v>2250565700295</v>
      </c>
      <c r="J224" s="3">
        <f>+2250506065693</f>
        <v>2250506065693</v>
      </c>
      <c r="K224" s="1" t="s">
        <v>19</v>
      </c>
      <c r="L224" s="4" t="s">
        <v>866</v>
      </c>
    </row>
    <row r="225">
      <c r="A225" s="1" t="s">
        <v>12</v>
      </c>
      <c r="B225" s="1" t="s">
        <v>867</v>
      </c>
      <c r="C225" s="1" t="s">
        <v>868</v>
      </c>
      <c r="D225" s="1" t="s">
        <v>869</v>
      </c>
      <c r="E225" s="2">
        <v>38532.0</v>
      </c>
      <c r="F225" s="1" t="s">
        <v>16</v>
      </c>
      <c r="G225" s="1" t="s">
        <v>25</v>
      </c>
      <c r="H225" s="1" t="s">
        <v>18</v>
      </c>
      <c r="I225" s="3">
        <f>+2250153553995</f>
        <v>2250153553995</v>
      </c>
      <c r="J225" s="3">
        <f>+2250707942026</f>
        <v>2250707942026</v>
      </c>
      <c r="K225" s="1" t="s">
        <v>19</v>
      </c>
      <c r="L225" s="4" t="s">
        <v>870</v>
      </c>
    </row>
    <row r="226">
      <c r="A226" s="1" t="s">
        <v>12</v>
      </c>
      <c r="B226" s="1" t="s">
        <v>871</v>
      </c>
      <c r="C226" s="1" t="s">
        <v>868</v>
      </c>
      <c r="D226" s="1" t="s">
        <v>872</v>
      </c>
      <c r="E226" s="5">
        <v>38270.0</v>
      </c>
      <c r="F226" s="1" t="s">
        <v>53</v>
      </c>
      <c r="G226" s="1" t="s">
        <v>25</v>
      </c>
      <c r="H226" s="1" t="s">
        <v>18</v>
      </c>
      <c r="I226" s="3">
        <f>+2250585960873</f>
        <v>2250585960873</v>
      </c>
      <c r="J226" s="3">
        <f>+2250767638520</f>
        <v>2250767638520</v>
      </c>
      <c r="K226" s="1" t="s">
        <v>19</v>
      </c>
      <c r="L226" s="4" t="s">
        <v>873</v>
      </c>
    </row>
    <row r="227">
      <c r="A227" s="1" t="s">
        <v>12</v>
      </c>
      <c r="B227" s="1" t="s">
        <v>874</v>
      </c>
      <c r="C227" s="1" t="s">
        <v>868</v>
      </c>
      <c r="D227" s="1" t="s">
        <v>875</v>
      </c>
      <c r="E227" s="2">
        <v>38532.0</v>
      </c>
      <c r="F227" s="1" t="s">
        <v>16</v>
      </c>
      <c r="G227" s="1" t="s">
        <v>25</v>
      </c>
      <c r="H227" s="1" t="s">
        <v>18</v>
      </c>
      <c r="I227" s="3">
        <f>+2250141745611</f>
        <v>2250141745611</v>
      </c>
      <c r="J227" s="3">
        <f>+2250707942026</f>
        <v>2250707942026</v>
      </c>
      <c r="K227" s="1" t="s">
        <v>19</v>
      </c>
      <c r="L227" s="4" t="s">
        <v>876</v>
      </c>
    </row>
    <row r="228">
      <c r="A228" s="1" t="s">
        <v>12</v>
      </c>
      <c r="B228" s="1" t="s">
        <v>877</v>
      </c>
      <c r="C228" s="1" t="s">
        <v>878</v>
      </c>
      <c r="D228" s="1" t="s">
        <v>879</v>
      </c>
      <c r="E228" s="2">
        <v>37421.0</v>
      </c>
      <c r="F228" s="1" t="s">
        <v>48</v>
      </c>
      <c r="G228" s="1" t="s">
        <v>31</v>
      </c>
      <c r="H228" s="1" t="s">
        <v>32</v>
      </c>
      <c r="I228" s="3">
        <f>+2250143153169</f>
        <v>2250143153169</v>
      </c>
      <c r="J228" s="3">
        <f>+2250788549889</f>
        <v>2250788549889</v>
      </c>
      <c r="K228" s="1" t="s">
        <v>19</v>
      </c>
      <c r="L228" s="4" t="s">
        <v>880</v>
      </c>
    </row>
    <row r="229">
      <c r="A229" s="1" t="s">
        <v>12</v>
      </c>
      <c r="B229" s="1" t="s">
        <v>881</v>
      </c>
      <c r="C229" s="1" t="s">
        <v>882</v>
      </c>
      <c r="D229" s="1" t="s">
        <v>883</v>
      </c>
      <c r="E229" s="2">
        <v>38462.0</v>
      </c>
      <c r="F229" s="1" t="s">
        <v>48</v>
      </c>
      <c r="G229" s="1" t="s">
        <v>76</v>
      </c>
      <c r="H229" s="1" t="s">
        <v>32</v>
      </c>
      <c r="I229" s="3">
        <f t="shared" ref="I229:J229" si="10">+2250705445357</f>
        <v>2250705445357</v>
      </c>
      <c r="J229" s="3">
        <f t="shared" si="10"/>
        <v>2250705445357</v>
      </c>
      <c r="K229" s="1" t="s">
        <v>19</v>
      </c>
      <c r="L229" s="4" t="s">
        <v>884</v>
      </c>
    </row>
    <row r="230">
      <c r="A230" s="1" t="s">
        <v>12</v>
      </c>
      <c r="B230" s="1" t="s">
        <v>885</v>
      </c>
      <c r="C230" s="1" t="s">
        <v>882</v>
      </c>
      <c r="D230" s="1" t="s">
        <v>886</v>
      </c>
      <c r="E230" s="2">
        <v>37705.0</v>
      </c>
      <c r="F230" s="1" t="s">
        <v>182</v>
      </c>
      <c r="G230" s="1" t="s">
        <v>82</v>
      </c>
      <c r="H230" s="1" t="s">
        <v>18</v>
      </c>
      <c r="I230" s="3">
        <f>+2250788482651</f>
        <v>2250788482651</v>
      </c>
      <c r="J230" s="3">
        <f>+2250566340227</f>
        <v>2250566340227</v>
      </c>
      <c r="K230" s="1" t="s">
        <v>19</v>
      </c>
      <c r="L230" s="4" t="s">
        <v>887</v>
      </c>
    </row>
    <row r="231">
      <c r="A231" s="1" t="s">
        <v>12</v>
      </c>
      <c r="B231" s="1" t="s">
        <v>888</v>
      </c>
      <c r="C231" s="1" t="s">
        <v>882</v>
      </c>
      <c r="D231" s="1" t="s">
        <v>889</v>
      </c>
      <c r="E231" s="2">
        <v>38180.0</v>
      </c>
      <c r="F231" s="1" t="s">
        <v>167</v>
      </c>
      <c r="G231" s="1" t="s">
        <v>17</v>
      </c>
      <c r="H231" s="1" t="s">
        <v>18</v>
      </c>
      <c r="I231" s="3">
        <f>+2250585133680</f>
        <v>2250585133680</v>
      </c>
      <c r="J231" s="3">
        <f>+2250748525968</f>
        <v>2250748525968</v>
      </c>
      <c r="K231" s="1" t="s">
        <v>19</v>
      </c>
      <c r="L231" s="4" t="s">
        <v>890</v>
      </c>
    </row>
    <row r="232">
      <c r="A232" s="1" t="s">
        <v>12</v>
      </c>
      <c r="B232" s="1" t="s">
        <v>891</v>
      </c>
      <c r="C232" s="1" t="s">
        <v>882</v>
      </c>
      <c r="D232" s="1" t="s">
        <v>892</v>
      </c>
      <c r="E232" s="2">
        <v>37695.0</v>
      </c>
      <c r="F232" s="1" t="s">
        <v>16</v>
      </c>
      <c r="G232" s="1" t="s">
        <v>17</v>
      </c>
      <c r="H232" s="1" t="s">
        <v>18</v>
      </c>
      <c r="I232" s="3">
        <f>+2250554139867</f>
        <v>2250554139867</v>
      </c>
      <c r="J232" s="3">
        <f>+2250505792437</f>
        <v>2250505792437</v>
      </c>
      <c r="K232" s="1" t="s">
        <v>19</v>
      </c>
      <c r="L232" s="4" t="s">
        <v>893</v>
      </c>
    </row>
    <row r="233">
      <c r="A233" s="1" t="s">
        <v>12</v>
      </c>
      <c r="B233" s="1" t="s">
        <v>894</v>
      </c>
      <c r="C233" s="1" t="s">
        <v>895</v>
      </c>
      <c r="D233" s="1" t="s">
        <v>896</v>
      </c>
      <c r="E233" s="2">
        <v>37835.0</v>
      </c>
      <c r="F233" s="1" t="s">
        <v>138</v>
      </c>
      <c r="G233" s="1" t="s">
        <v>31</v>
      </c>
      <c r="H233" s="1" t="s">
        <v>32</v>
      </c>
      <c r="I233" s="3">
        <f>+225015363536</f>
        <v>225015363536</v>
      </c>
      <c r="J233" s="3">
        <f>+2250778343589</f>
        <v>2250778343589</v>
      </c>
      <c r="K233" s="1" t="s">
        <v>19</v>
      </c>
      <c r="L233" s="4" t="s">
        <v>897</v>
      </c>
    </row>
    <row r="234">
      <c r="A234" s="1" t="s">
        <v>12</v>
      </c>
      <c r="B234" s="1" t="s">
        <v>898</v>
      </c>
      <c r="C234" s="1" t="s">
        <v>899</v>
      </c>
      <c r="D234" s="1" t="s">
        <v>900</v>
      </c>
      <c r="E234" s="2">
        <v>38988.0</v>
      </c>
      <c r="F234" s="1" t="s">
        <v>75</v>
      </c>
      <c r="G234" s="1" t="s">
        <v>76</v>
      </c>
      <c r="H234" s="1" t="s">
        <v>32</v>
      </c>
      <c r="I234" s="3">
        <f>+2250140863423</f>
        <v>2250140863423</v>
      </c>
      <c r="J234" s="3">
        <f>+2250506476577</f>
        <v>2250506476577</v>
      </c>
      <c r="K234" s="1" t="s">
        <v>19</v>
      </c>
      <c r="L234" s="4" t="s">
        <v>901</v>
      </c>
    </row>
    <row r="235">
      <c r="A235" s="1" t="s">
        <v>12</v>
      </c>
      <c r="B235" s="1" t="s">
        <v>902</v>
      </c>
      <c r="C235" s="1" t="s">
        <v>903</v>
      </c>
      <c r="D235" s="1" t="s">
        <v>904</v>
      </c>
      <c r="E235" s="2">
        <v>37662.0</v>
      </c>
      <c r="F235" s="1" t="s">
        <v>24</v>
      </c>
      <c r="G235" s="1" t="s">
        <v>25</v>
      </c>
      <c r="H235" s="1" t="s">
        <v>18</v>
      </c>
      <c r="I235" s="3">
        <f>+2250748054404</f>
        <v>2250748054404</v>
      </c>
      <c r="J235" s="3">
        <f>+2250707110509</f>
        <v>2250707110509</v>
      </c>
      <c r="K235" s="1" t="s">
        <v>19</v>
      </c>
      <c r="L235" s="4" t="s">
        <v>905</v>
      </c>
    </row>
    <row r="236">
      <c r="A236" s="1" t="s">
        <v>12</v>
      </c>
      <c r="B236" s="1" t="s">
        <v>906</v>
      </c>
      <c r="C236" s="1" t="s">
        <v>903</v>
      </c>
      <c r="D236" s="1" t="s">
        <v>907</v>
      </c>
      <c r="E236" s="2">
        <v>38162.0</v>
      </c>
      <c r="F236" s="1" t="s">
        <v>48</v>
      </c>
      <c r="G236" s="1" t="s">
        <v>31</v>
      </c>
      <c r="H236" s="1" t="s">
        <v>32</v>
      </c>
      <c r="I236" s="3">
        <f>+2250574027654</f>
        <v>2250574027654</v>
      </c>
      <c r="J236" s="3">
        <f>+2250707907437</f>
        <v>2250707907437</v>
      </c>
      <c r="K236" s="1" t="s">
        <v>19</v>
      </c>
      <c r="L236" s="4" t="s">
        <v>908</v>
      </c>
    </row>
    <row r="237">
      <c r="A237" s="1" t="s">
        <v>12</v>
      </c>
      <c r="B237" s="1" t="s">
        <v>909</v>
      </c>
      <c r="C237" s="1" t="s">
        <v>910</v>
      </c>
      <c r="D237" s="1" t="s">
        <v>911</v>
      </c>
      <c r="E237" s="2">
        <v>38428.0</v>
      </c>
      <c r="F237" s="1" t="s">
        <v>62</v>
      </c>
      <c r="G237" s="1" t="s">
        <v>17</v>
      </c>
      <c r="H237" s="1" t="s">
        <v>18</v>
      </c>
      <c r="I237" s="3">
        <f>+2250505069877</f>
        <v>2250505069877</v>
      </c>
      <c r="J237" s="3">
        <f>+2250748233110</f>
        <v>2250748233110</v>
      </c>
      <c r="K237" s="1" t="s">
        <v>19</v>
      </c>
      <c r="L237" s="4" t="s">
        <v>912</v>
      </c>
    </row>
    <row r="238">
      <c r="A238" s="1" t="s">
        <v>12</v>
      </c>
      <c r="B238" s="1" t="s">
        <v>913</v>
      </c>
      <c r="C238" s="1" t="s">
        <v>910</v>
      </c>
      <c r="D238" s="1" t="s">
        <v>914</v>
      </c>
      <c r="E238" s="2">
        <v>38097.0</v>
      </c>
      <c r="F238" s="1" t="s">
        <v>16</v>
      </c>
      <c r="G238" s="1" t="s">
        <v>17</v>
      </c>
      <c r="H238" s="1" t="s">
        <v>18</v>
      </c>
      <c r="I238" s="3">
        <f>+2250153567206</f>
        <v>2250153567206</v>
      </c>
      <c r="J238" s="3">
        <f>+2250504660134</f>
        <v>2250504660134</v>
      </c>
      <c r="K238" s="1" t="s">
        <v>19</v>
      </c>
      <c r="L238" s="4" t="s">
        <v>915</v>
      </c>
    </row>
    <row r="239">
      <c r="A239" s="1" t="s">
        <v>12</v>
      </c>
      <c r="B239" s="1" t="s">
        <v>916</v>
      </c>
      <c r="C239" s="1" t="s">
        <v>917</v>
      </c>
      <c r="D239" s="1" t="s">
        <v>918</v>
      </c>
      <c r="E239" s="2">
        <v>37567.0</v>
      </c>
      <c r="F239" s="1" t="s">
        <v>87</v>
      </c>
      <c r="G239" s="1" t="s">
        <v>31</v>
      </c>
      <c r="H239" s="1" t="s">
        <v>32</v>
      </c>
      <c r="I239" s="3">
        <f>+2250798985309</f>
        <v>2250798985309</v>
      </c>
      <c r="J239" s="3">
        <f>+2250544324275</f>
        <v>2250544324275</v>
      </c>
      <c r="K239" s="1" t="s">
        <v>19</v>
      </c>
      <c r="L239" s="4" t="s">
        <v>919</v>
      </c>
    </row>
    <row r="240">
      <c r="A240" s="1" t="s">
        <v>12</v>
      </c>
      <c r="B240" s="1" t="s">
        <v>920</v>
      </c>
      <c r="C240" s="1" t="s">
        <v>921</v>
      </c>
      <c r="D240" s="1" t="s">
        <v>922</v>
      </c>
      <c r="E240" s="2">
        <v>38992.0</v>
      </c>
      <c r="F240" s="1" t="s">
        <v>53</v>
      </c>
      <c r="G240" s="1" t="s">
        <v>17</v>
      </c>
      <c r="H240" s="1" t="s">
        <v>18</v>
      </c>
      <c r="I240" s="3">
        <f>+2250596465312</f>
        <v>2250596465312</v>
      </c>
      <c r="J240" s="3">
        <f>+2250579065323</f>
        <v>2250579065323</v>
      </c>
      <c r="K240" s="1" t="s">
        <v>19</v>
      </c>
      <c r="L240" s="4" t="s">
        <v>923</v>
      </c>
    </row>
    <row r="241">
      <c r="A241" s="1" t="s">
        <v>12</v>
      </c>
      <c r="B241" s="1" t="s">
        <v>924</v>
      </c>
      <c r="C241" s="1" t="s">
        <v>925</v>
      </c>
      <c r="D241" s="1" t="s">
        <v>926</v>
      </c>
      <c r="E241" s="2">
        <v>37046.0</v>
      </c>
      <c r="F241" s="1" t="s">
        <v>101</v>
      </c>
      <c r="G241" s="1" t="s">
        <v>31</v>
      </c>
      <c r="H241" s="1" t="s">
        <v>32</v>
      </c>
      <c r="I241" s="3">
        <f>+2250799362050</f>
        <v>2250799362050</v>
      </c>
      <c r="J241" s="3">
        <f>+2250505638114</f>
        <v>2250505638114</v>
      </c>
      <c r="K241" s="1" t="s">
        <v>19</v>
      </c>
      <c r="L241" s="4" t="s">
        <v>927</v>
      </c>
    </row>
    <row r="242">
      <c r="A242" s="1" t="s">
        <v>12</v>
      </c>
      <c r="B242" s="1" t="s">
        <v>928</v>
      </c>
      <c r="C242" s="1" t="s">
        <v>929</v>
      </c>
      <c r="D242" s="1" t="s">
        <v>930</v>
      </c>
      <c r="E242" s="5">
        <v>37575.0</v>
      </c>
      <c r="F242" s="1" t="s">
        <v>30</v>
      </c>
      <c r="G242" s="1" t="s">
        <v>76</v>
      </c>
      <c r="H242" s="1" t="s">
        <v>32</v>
      </c>
      <c r="I242" s="3">
        <f>+2250585509581</f>
        <v>2250585509581</v>
      </c>
      <c r="J242" s="3">
        <f>+2250506390315</f>
        <v>2250506390315</v>
      </c>
      <c r="K242" s="1" t="s">
        <v>19</v>
      </c>
      <c r="L242" s="4" t="s">
        <v>931</v>
      </c>
    </row>
    <row r="243">
      <c r="A243" s="1" t="s">
        <v>12</v>
      </c>
      <c r="B243" s="1" t="s">
        <v>932</v>
      </c>
      <c r="C243" s="1" t="s">
        <v>933</v>
      </c>
      <c r="D243" s="1" t="s">
        <v>934</v>
      </c>
      <c r="E243" s="2">
        <v>35111.0</v>
      </c>
      <c r="F243" s="1" t="s">
        <v>155</v>
      </c>
      <c r="G243" s="1" t="s">
        <v>31</v>
      </c>
      <c r="H243" s="1" t="s">
        <v>32</v>
      </c>
      <c r="I243" s="3">
        <f>+2250799258413</f>
        <v>2250799258413</v>
      </c>
      <c r="J243" s="3">
        <f>+2250101042164</f>
        <v>2250101042164</v>
      </c>
      <c r="K243" s="1" t="s">
        <v>19</v>
      </c>
      <c r="L243" s="4" t="s">
        <v>935</v>
      </c>
    </row>
    <row r="244">
      <c r="A244" s="1" t="s">
        <v>12</v>
      </c>
      <c r="B244" s="1" t="s">
        <v>936</v>
      </c>
      <c r="C244" s="1" t="s">
        <v>933</v>
      </c>
      <c r="D244" s="1" t="s">
        <v>937</v>
      </c>
      <c r="E244" s="2">
        <v>36898.0</v>
      </c>
      <c r="F244" s="1" t="s">
        <v>53</v>
      </c>
      <c r="G244" s="1" t="s">
        <v>25</v>
      </c>
      <c r="H244" s="1" t="s">
        <v>18</v>
      </c>
      <c r="I244" s="3">
        <f>+2250778217622</f>
        <v>2250778217622</v>
      </c>
      <c r="J244" s="3">
        <f>+2250505887656</f>
        <v>2250505887656</v>
      </c>
      <c r="K244" s="1" t="s">
        <v>19</v>
      </c>
      <c r="L244" s="4" t="s">
        <v>938</v>
      </c>
    </row>
    <row r="245">
      <c r="A245" s="1" t="s">
        <v>12</v>
      </c>
      <c r="B245" s="1" t="s">
        <v>939</v>
      </c>
      <c r="C245" s="1" t="s">
        <v>940</v>
      </c>
      <c r="D245" s="1" t="s">
        <v>941</v>
      </c>
      <c r="E245" s="2">
        <v>37814.0</v>
      </c>
      <c r="F245" s="1" t="s">
        <v>138</v>
      </c>
      <c r="G245" s="1" t="s">
        <v>31</v>
      </c>
      <c r="H245" s="1" t="s">
        <v>32</v>
      </c>
      <c r="I245" s="3">
        <f>+2250142127534</f>
        <v>2250142127534</v>
      </c>
      <c r="J245" s="3">
        <f>+2250505482385</f>
        <v>2250505482385</v>
      </c>
      <c r="K245" s="1" t="s">
        <v>19</v>
      </c>
      <c r="L245" s="4" t="s">
        <v>942</v>
      </c>
    </row>
    <row r="246">
      <c r="A246" s="1" t="s">
        <v>12</v>
      </c>
      <c r="B246" s="1" t="s">
        <v>943</v>
      </c>
      <c r="C246" s="1" t="s">
        <v>944</v>
      </c>
      <c r="D246" s="1" t="s">
        <v>945</v>
      </c>
      <c r="E246" s="2">
        <v>37763.0</v>
      </c>
      <c r="F246" s="1" t="s">
        <v>16</v>
      </c>
      <c r="G246" s="1" t="s">
        <v>25</v>
      </c>
      <c r="H246" s="1" t="s">
        <v>18</v>
      </c>
      <c r="I246" s="3">
        <f>+2250768063590</f>
        <v>2250768063590</v>
      </c>
      <c r="J246" s="3">
        <f>+2250101165172</f>
        <v>2250101165172</v>
      </c>
      <c r="K246" s="1" t="s">
        <v>19</v>
      </c>
      <c r="L246" s="4" t="s">
        <v>946</v>
      </c>
    </row>
    <row r="247">
      <c r="A247" s="1" t="s">
        <v>12</v>
      </c>
      <c r="B247" s="1" t="s">
        <v>947</v>
      </c>
      <c r="C247" s="1" t="s">
        <v>948</v>
      </c>
      <c r="D247" s="1" t="s">
        <v>949</v>
      </c>
      <c r="E247" s="2">
        <v>38157.0</v>
      </c>
      <c r="F247" s="1" t="s">
        <v>62</v>
      </c>
      <c r="G247" s="1" t="s">
        <v>17</v>
      </c>
      <c r="H247" s="1" t="s">
        <v>18</v>
      </c>
      <c r="I247" s="3">
        <f>+2250787787454</f>
        <v>2250787787454</v>
      </c>
      <c r="J247" s="3">
        <f>+2250749717705</f>
        <v>2250749717705</v>
      </c>
      <c r="K247" s="1" t="s">
        <v>19</v>
      </c>
      <c r="L247" s="4" t="s">
        <v>950</v>
      </c>
    </row>
    <row r="248">
      <c r="A248" s="1" t="s">
        <v>12</v>
      </c>
      <c r="B248" s="1" t="s">
        <v>951</v>
      </c>
      <c r="C248" s="1" t="s">
        <v>948</v>
      </c>
      <c r="D248" s="1" t="s">
        <v>952</v>
      </c>
      <c r="E248" s="5">
        <v>37558.0</v>
      </c>
      <c r="F248" s="1" t="s">
        <v>24</v>
      </c>
      <c r="G248" s="1" t="s">
        <v>82</v>
      </c>
      <c r="H248" s="1" t="s">
        <v>18</v>
      </c>
      <c r="I248" s="3">
        <f>+2250502580090</f>
        <v>2250502580090</v>
      </c>
      <c r="J248" s="3">
        <f>+2250101482698</f>
        <v>2250101482698</v>
      </c>
      <c r="K248" s="1" t="s">
        <v>19</v>
      </c>
      <c r="L248" s="4" t="s">
        <v>953</v>
      </c>
    </row>
    <row r="249">
      <c r="A249" s="1" t="s">
        <v>12</v>
      </c>
      <c r="B249" s="1" t="s">
        <v>954</v>
      </c>
      <c r="C249" s="1" t="s">
        <v>948</v>
      </c>
      <c r="D249" s="1" t="s">
        <v>955</v>
      </c>
      <c r="E249" s="2">
        <v>38143.0</v>
      </c>
      <c r="F249" s="1" t="s">
        <v>155</v>
      </c>
      <c r="G249" s="1" t="s">
        <v>82</v>
      </c>
      <c r="H249" s="1" t="s">
        <v>18</v>
      </c>
      <c r="I249" s="3">
        <f>+2250749339063</f>
        <v>2250749339063</v>
      </c>
      <c r="J249" s="3">
        <f>+2250749098920</f>
        <v>2250749098920</v>
      </c>
      <c r="K249" s="1" t="s">
        <v>19</v>
      </c>
      <c r="L249" s="4" t="s">
        <v>956</v>
      </c>
    </row>
    <row r="250">
      <c r="A250" s="1" t="s">
        <v>12</v>
      </c>
      <c r="B250" s="1" t="s">
        <v>957</v>
      </c>
      <c r="C250" s="1" t="s">
        <v>958</v>
      </c>
      <c r="D250" s="1" t="s">
        <v>959</v>
      </c>
      <c r="E250" s="2">
        <v>37566.0</v>
      </c>
      <c r="F250" s="1" t="s">
        <v>16</v>
      </c>
      <c r="G250" s="1" t="s">
        <v>17</v>
      </c>
      <c r="H250" s="1" t="s">
        <v>18</v>
      </c>
      <c r="I250" s="3">
        <f>+2250799682472</f>
        <v>2250799682472</v>
      </c>
      <c r="J250" s="3">
        <f>+2250757718564</f>
        <v>2250757718564</v>
      </c>
      <c r="K250" s="1" t="s">
        <v>19</v>
      </c>
      <c r="L250" s="4" t="s">
        <v>960</v>
      </c>
    </row>
    <row r="251">
      <c r="A251" s="1" t="s">
        <v>12</v>
      </c>
      <c r="B251" s="1" t="s">
        <v>961</v>
      </c>
      <c r="C251" s="1" t="s">
        <v>962</v>
      </c>
      <c r="D251" s="1" t="s">
        <v>963</v>
      </c>
      <c r="E251" s="5">
        <v>38331.0</v>
      </c>
      <c r="F251" s="1" t="s">
        <v>155</v>
      </c>
      <c r="G251" s="1" t="s">
        <v>76</v>
      </c>
      <c r="H251" s="1" t="s">
        <v>32</v>
      </c>
      <c r="I251" s="3">
        <f>+2250101687271</f>
        <v>2250101687271</v>
      </c>
      <c r="J251" s="3">
        <f>+2250575651949</f>
        <v>2250575651949</v>
      </c>
      <c r="K251" s="1" t="s">
        <v>19</v>
      </c>
      <c r="L251" s="4" t="s">
        <v>964</v>
      </c>
    </row>
    <row r="252">
      <c r="A252" s="1" t="s">
        <v>12</v>
      </c>
      <c r="B252" s="1" t="s">
        <v>965</v>
      </c>
      <c r="C252" s="1" t="s">
        <v>966</v>
      </c>
      <c r="D252" s="1" t="s">
        <v>967</v>
      </c>
      <c r="E252" s="2">
        <v>36419.0</v>
      </c>
      <c r="F252" s="1" t="s">
        <v>70</v>
      </c>
      <c r="G252" s="1" t="s">
        <v>31</v>
      </c>
      <c r="H252" s="1" t="s">
        <v>32</v>
      </c>
      <c r="I252" s="3">
        <f>+2250769879972</f>
        <v>2250769879972</v>
      </c>
      <c r="J252" s="3">
        <f>+2250778958235</f>
        <v>2250778958235</v>
      </c>
      <c r="K252" s="1" t="s">
        <v>19</v>
      </c>
      <c r="L252" s="4" t="s">
        <v>968</v>
      </c>
    </row>
    <row r="253">
      <c r="A253" s="1" t="s">
        <v>12</v>
      </c>
      <c r="B253" s="1" t="s">
        <v>969</v>
      </c>
      <c r="C253" s="1" t="s">
        <v>970</v>
      </c>
      <c r="D253" s="1" t="s">
        <v>971</v>
      </c>
      <c r="E253" s="2">
        <v>38365.0</v>
      </c>
      <c r="F253" s="1" t="s">
        <v>155</v>
      </c>
      <c r="G253" s="1" t="s">
        <v>31</v>
      </c>
      <c r="H253" s="1" t="s">
        <v>32</v>
      </c>
      <c r="I253" s="3">
        <f>+2250585376367</f>
        <v>2250585376367</v>
      </c>
      <c r="J253" s="3">
        <f>+2250747148473</f>
        <v>2250747148473</v>
      </c>
      <c r="K253" s="1" t="s">
        <v>19</v>
      </c>
      <c r="L253" s="4" t="s">
        <v>972</v>
      </c>
    </row>
    <row r="254">
      <c r="A254" s="1" t="s">
        <v>12</v>
      </c>
      <c r="B254" s="1" t="s">
        <v>973</v>
      </c>
      <c r="C254" s="1" t="s">
        <v>974</v>
      </c>
      <c r="D254" s="1" t="s">
        <v>975</v>
      </c>
      <c r="E254" s="5">
        <v>37937.0</v>
      </c>
      <c r="F254" s="1" t="s">
        <v>138</v>
      </c>
      <c r="G254" s="1" t="s">
        <v>76</v>
      </c>
      <c r="H254" s="1" t="s">
        <v>32</v>
      </c>
      <c r="I254" s="3">
        <f>+2250173530930</f>
        <v>2250173530930</v>
      </c>
      <c r="J254" s="3">
        <f>+2250708518869</f>
        <v>2250708518869</v>
      </c>
      <c r="K254" s="1" t="s">
        <v>19</v>
      </c>
      <c r="L254" s="4" t="s">
        <v>976</v>
      </c>
    </row>
    <row r="255">
      <c r="A255" s="1" t="s">
        <v>12</v>
      </c>
      <c r="B255" s="1" t="s">
        <v>977</v>
      </c>
      <c r="C255" s="1" t="s">
        <v>978</v>
      </c>
      <c r="D255" s="1" t="s">
        <v>979</v>
      </c>
      <c r="E255" s="2">
        <v>36670.0</v>
      </c>
      <c r="F255" s="1" t="s">
        <v>48</v>
      </c>
      <c r="G255" s="1" t="s">
        <v>31</v>
      </c>
      <c r="H255" s="1" t="s">
        <v>32</v>
      </c>
      <c r="I255" s="3">
        <f>+2250748532711</f>
        <v>2250748532711</v>
      </c>
      <c r="J255" s="3">
        <f>+2250153111200</f>
        <v>2250153111200</v>
      </c>
      <c r="K255" s="1" t="s">
        <v>19</v>
      </c>
      <c r="L255" s="4" t="s">
        <v>980</v>
      </c>
    </row>
    <row r="256">
      <c r="A256" s="1" t="s">
        <v>12</v>
      </c>
      <c r="B256" s="1" t="s">
        <v>981</v>
      </c>
      <c r="C256" s="1" t="s">
        <v>982</v>
      </c>
      <c r="D256" s="1" t="s">
        <v>983</v>
      </c>
      <c r="E256" s="2">
        <v>38134.0</v>
      </c>
      <c r="F256" s="1" t="s">
        <v>16</v>
      </c>
      <c r="G256" s="1" t="s">
        <v>17</v>
      </c>
      <c r="H256" s="1" t="s">
        <v>18</v>
      </c>
      <c r="I256" s="3">
        <f>+2250700143016</f>
        <v>2250700143016</v>
      </c>
      <c r="J256" s="3">
        <f>+2250141628373</f>
        <v>2250141628373</v>
      </c>
      <c r="K256" s="1" t="s">
        <v>19</v>
      </c>
      <c r="L256" s="4" t="s">
        <v>984</v>
      </c>
    </row>
    <row r="257">
      <c r="A257" s="1" t="s">
        <v>12</v>
      </c>
      <c r="B257" s="1" t="s">
        <v>985</v>
      </c>
      <c r="C257" s="1" t="s">
        <v>982</v>
      </c>
      <c r="D257" s="1" t="s">
        <v>986</v>
      </c>
      <c r="E257" s="2">
        <v>36104.0</v>
      </c>
      <c r="F257" s="1" t="s">
        <v>155</v>
      </c>
      <c r="G257" s="1" t="s">
        <v>31</v>
      </c>
      <c r="H257" s="1" t="s">
        <v>32</v>
      </c>
      <c r="I257" s="3">
        <f>+2250500038365</f>
        <v>2250500038365</v>
      </c>
      <c r="J257" s="3">
        <f>+2250757409539</f>
        <v>2250757409539</v>
      </c>
      <c r="K257" s="1" t="s">
        <v>19</v>
      </c>
      <c r="L257" s="4" t="s">
        <v>987</v>
      </c>
    </row>
    <row r="258">
      <c r="A258" s="1" t="s">
        <v>12</v>
      </c>
      <c r="B258" s="1" t="s">
        <v>988</v>
      </c>
      <c r="C258" s="1" t="s">
        <v>982</v>
      </c>
      <c r="D258" s="1" t="s">
        <v>989</v>
      </c>
      <c r="E258" s="2">
        <v>38995.0</v>
      </c>
      <c r="F258" s="1" t="s">
        <v>48</v>
      </c>
      <c r="G258" s="1" t="s">
        <v>76</v>
      </c>
      <c r="H258" s="1" t="s">
        <v>32</v>
      </c>
      <c r="I258" s="3">
        <f>+2250102741026</f>
        <v>2250102741026</v>
      </c>
      <c r="J258" s="3">
        <f>+2250748816560</f>
        <v>2250748816560</v>
      </c>
      <c r="K258" s="1" t="s">
        <v>19</v>
      </c>
      <c r="L258" s="4" t="s">
        <v>990</v>
      </c>
    </row>
    <row r="259">
      <c r="A259" s="1" t="s">
        <v>12</v>
      </c>
      <c r="B259" s="1" t="s">
        <v>991</v>
      </c>
      <c r="C259" s="1" t="s">
        <v>982</v>
      </c>
      <c r="D259" s="1" t="s">
        <v>992</v>
      </c>
      <c r="E259" s="2">
        <v>38235.0</v>
      </c>
      <c r="F259" s="1" t="s">
        <v>62</v>
      </c>
      <c r="G259" s="1" t="s">
        <v>25</v>
      </c>
      <c r="H259" s="1" t="s">
        <v>18</v>
      </c>
      <c r="I259" s="3">
        <f>+2250143779261</f>
        <v>2250143779261</v>
      </c>
      <c r="J259" s="3">
        <f>+2250708119952</f>
        <v>2250708119952</v>
      </c>
      <c r="K259" s="1" t="s">
        <v>19</v>
      </c>
      <c r="L259" s="4" t="s">
        <v>993</v>
      </c>
    </row>
    <row r="260">
      <c r="A260" s="1" t="s">
        <v>12</v>
      </c>
      <c r="B260" s="1" t="s">
        <v>994</v>
      </c>
      <c r="C260" s="1" t="s">
        <v>995</v>
      </c>
      <c r="D260" s="1" t="s">
        <v>996</v>
      </c>
      <c r="E260" s="2">
        <v>38370.0</v>
      </c>
      <c r="F260" s="1" t="s">
        <v>30</v>
      </c>
      <c r="G260" s="1" t="s">
        <v>76</v>
      </c>
      <c r="H260" s="1" t="s">
        <v>32</v>
      </c>
      <c r="I260" s="3">
        <f>+2250759721923</f>
        <v>2250759721923</v>
      </c>
      <c r="J260" s="3">
        <f>+2250748859129</f>
        <v>2250748859129</v>
      </c>
      <c r="K260" s="1" t="s">
        <v>19</v>
      </c>
      <c r="L260" s="4" t="s">
        <v>997</v>
      </c>
    </row>
    <row r="261">
      <c r="A261" s="1" t="s">
        <v>12</v>
      </c>
      <c r="B261" s="1" t="s">
        <v>998</v>
      </c>
      <c r="C261" s="1" t="s">
        <v>999</v>
      </c>
      <c r="D261" s="1" t="s">
        <v>1000</v>
      </c>
      <c r="E261" s="5">
        <v>37185.0</v>
      </c>
      <c r="F261" s="1" t="s">
        <v>288</v>
      </c>
      <c r="G261" s="1" t="s">
        <v>76</v>
      </c>
      <c r="H261" s="1" t="s">
        <v>32</v>
      </c>
      <c r="I261" s="3">
        <f>+2250758429475</f>
        <v>2250758429475</v>
      </c>
      <c r="J261" s="3">
        <f>+2250709094572</f>
        <v>2250709094572</v>
      </c>
      <c r="K261" s="1" t="s">
        <v>19</v>
      </c>
      <c r="L261" s="4" t="s">
        <v>1001</v>
      </c>
    </row>
    <row r="262">
      <c r="A262" s="1" t="s">
        <v>12</v>
      </c>
      <c r="B262" s="1" t="s">
        <v>1002</v>
      </c>
      <c r="C262" s="1" t="s">
        <v>1003</v>
      </c>
      <c r="D262" s="1" t="s">
        <v>1004</v>
      </c>
      <c r="E262" s="2">
        <v>37375.0</v>
      </c>
      <c r="F262" s="1" t="s">
        <v>182</v>
      </c>
      <c r="G262" s="1" t="s">
        <v>82</v>
      </c>
      <c r="H262" s="1" t="s">
        <v>18</v>
      </c>
      <c r="I262" s="3">
        <f>+2250705032545</f>
        <v>2250705032545</v>
      </c>
      <c r="J262" s="3">
        <f>+2250103146386</f>
        <v>2250103146386</v>
      </c>
      <c r="K262" s="1" t="s">
        <v>19</v>
      </c>
      <c r="L262" s="4" t="s">
        <v>1005</v>
      </c>
    </row>
    <row r="263">
      <c r="A263" s="1" t="s">
        <v>12</v>
      </c>
      <c r="B263" s="1" t="s">
        <v>1006</v>
      </c>
      <c r="C263" s="1" t="s">
        <v>1007</v>
      </c>
      <c r="D263" s="1" t="s">
        <v>1008</v>
      </c>
      <c r="E263" s="2">
        <v>36865.0</v>
      </c>
      <c r="F263" s="1" t="s">
        <v>53</v>
      </c>
      <c r="G263" s="1" t="s">
        <v>17</v>
      </c>
      <c r="H263" s="1" t="s">
        <v>18</v>
      </c>
      <c r="I263" s="3">
        <f>+2250556997463</f>
        <v>2250556997463</v>
      </c>
      <c r="J263" s="3">
        <f>+2250546613420</f>
        <v>2250546613420</v>
      </c>
      <c r="K263" s="1" t="s">
        <v>19</v>
      </c>
      <c r="L263" s="4" t="s">
        <v>1009</v>
      </c>
    </row>
    <row r="264">
      <c r="A264" s="1" t="s">
        <v>12</v>
      </c>
      <c r="B264" s="1" t="s">
        <v>1010</v>
      </c>
      <c r="C264" s="1" t="s">
        <v>1007</v>
      </c>
      <c r="D264" s="1" t="s">
        <v>1011</v>
      </c>
      <c r="E264" s="2">
        <v>38481.0</v>
      </c>
      <c r="F264" s="1" t="s">
        <v>16</v>
      </c>
      <c r="G264" s="1" t="s">
        <v>25</v>
      </c>
      <c r="H264" s="1" t="s">
        <v>18</v>
      </c>
      <c r="I264" s="3">
        <f>+2250103786320</f>
        <v>2250103786320</v>
      </c>
      <c r="J264" s="3">
        <f>+2250748395563</f>
        <v>2250748395563</v>
      </c>
      <c r="K264" s="1" t="s">
        <v>19</v>
      </c>
      <c r="L264" s="4" t="s">
        <v>1012</v>
      </c>
    </row>
    <row r="265">
      <c r="A265" s="1" t="s">
        <v>12</v>
      </c>
      <c r="B265" s="1" t="s">
        <v>1013</v>
      </c>
      <c r="C265" s="1" t="s">
        <v>1007</v>
      </c>
      <c r="D265" s="1" t="s">
        <v>1014</v>
      </c>
      <c r="E265" s="2">
        <v>37447.0</v>
      </c>
      <c r="F265" s="1" t="s">
        <v>182</v>
      </c>
      <c r="G265" s="1" t="s">
        <v>82</v>
      </c>
      <c r="H265" s="1" t="s">
        <v>18</v>
      </c>
      <c r="I265" s="3">
        <f>+2250768408485</f>
        <v>2250768408485</v>
      </c>
      <c r="J265" s="3">
        <f>+2250708141322</f>
        <v>2250708141322</v>
      </c>
      <c r="K265" s="1" t="s">
        <v>19</v>
      </c>
      <c r="L265" s="4" t="s">
        <v>1015</v>
      </c>
    </row>
    <row r="266">
      <c r="A266" s="1" t="s">
        <v>12</v>
      </c>
      <c r="B266" s="1" t="s">
        <v>1016</v>
      </c>
      <c r="C266" s="1" t="s">
        <v>1007</v>
      </c>
      <c r="D266" s="1" t="s">
        <v>1017</v>
      </c>
      <c r="E266" s="2">
        <v>38536.0</v>
      </c>
      <c r="F266" s="1" t="s">
        <v>75</v>
      </c>
      <c r="G266" s="1" t="s">
        <v>76</v>
      </c>
      <c r="H266" s="1" t="s">
        <v>32</v>
      </c>
      <c r="I266" s="3">
        <f>+2250769331776</f>
        <v>2250769331776</v>
      </c>
      <c r="J266" s="3">
        <f>+2250747460944</f>
        <v>2250747460944</v>
      </c>
      <c r="K266" s="1" t="s">
        <v>19</v>
      </c>
      <c r="L266" s="4" t="s">
        <v>1018</v>
      </c>
    </row>
    <row r="267">
      <c r="A267" s="1" t="s">
        <v>12</v>
      </c>
      <c r="B267" s="1" t="s">
        <v>1019</v>
      </c>
      <c r="C267" s="1" t="s">
        <v>1007</v>
      </c>
      <c r="D267" s="1" t="s">
        <v>1020</v>
      </c>
      <c r="E267" s="2">
        <v>36998.0</v>
      </c>
      <c r="F267" s="1" t="s">
        <v>16</v>
      </c>
      <c r="G267" s="1" t="s">
        <v>17</v>
      </c>
      <c r="H267" s="1" t="s">
        <v>18</v>
      </c>
      <c r="I267" s="3">
        <f>+2250142885204</f>
        <v>2250142885204</v>
      </c>
      <c r="J267" s="3">
        <f>+2250709895927</f>
        <v>2250709895927</v>
      </c>
      <c r="K267" s="1" t="s">
        <v>19</v>
      </c>
      <c r="L267" s="4" t="s">
        <v>1021</v>
      </c>
    </row>
    <row r="268">
      <c r="A268" s="1" t="s">
        <v>12</v>
      </c>
      <c r="B268" s="1" t="s">
        <v>1022</v>
      </c>
      <c r="C268" s="1" t="s">
        <v>1007</v>
      </c>
      <c r="D268" s="1" t="s">
        <v>1023</v>
      </c>
      <c r="E268" s="5">
        <v>38706.0</v>
      </c>
      <c r="F268" s="1" t="s">
        <v>30</v>
      </c>
      <c r="G268" s="1" t="s">
        <v>31</v>
      </c>
      <c r="H268" s="1" t="s">
        <v>32</v>
      </c>
      <c r="I268" s="3">
        <f>+2250544153459</f>
        <v>2250544153459</v>
      </c>
      <c r="J268" s="3">
        <f>+2250758401083</f>
        <v>2250758401083</v>
      </c>
      <c r="K268" s="1" t="s">
        <v>19</v>
      </c>
      <c r="L268" s="4" t="s">
        <v>1024</v>
      </c>
    </row>
    <row r="269">
      <c r="A269" s="1" t="s">
        <v>12</v>
      </c>
      <c r="B269" s="1" t="s">
        <v>1025</v>
      </c>
      <c r="C269" s="1" t="s">
        <v>1007</v>
      </c>
      <c r="D269" s="1" t="s">
        <v>1026</v>
      </c>
      <c r="E269" s="2">
        <v>37429.0</v>
      </c>
      <c r="F269" s="1" t="s">
        <v>24</v>
      </c>
      <c r="G269" s="1" t="s">
        <v>25</v>
      </c>
      <c r="H269" s="1" t="s">
        <v>18</v>
      </c>
      <c r="I269" s="3">
        <f>+2250747511459</f>
        <v>2250747511459</v>
      </c>
      <c r="J269" s="3">
        <f>+2250707575357</f>
        <v>2250707575357</v>
      </c>
      <c r="K269" s="1" t="s">
        <v>19</v>
      </c>
      <c r="L269" s="4" t="s">
        <v>1027</v>
      </c>
    </row>
    <row r="270">
      <c r="A270" s="1" t="s">
        <v>12</v>
      </c>
      <c r="B270" s="1" t="s">
        <v>1028</v>
      </c>
      <c r="C270" s="1" t="s">
        <v>1007</v>
      </c>
      <c r="D270" s="1" t="s">
        <v>1029</v>
      </c>
      <c r="E270" s="2">
        <v>38154.0</v>
      </c>
      <c r="F270" s="1" t="s">
        <v>48</v>
      </c>
      <c r="G270" s="1" t="s">
        <v>76</v>
      </c>
      <c r="H270" s="1" t="s">
        <v>32</v>
      </c>
      <c r="I270" s="3">
        <f>+2250706179179</f>
        <v>2250706179179</v>
      </c>
      <c r="J270" s="3">
        <f>+2250748548112</f>
        <v>2250748548112</v>
      </c>
      <c r="K270" s="1" t="s">
        <v>19</v>
      </c>
      <c r="L270" s="4" t="s">
        <v>1030</v>
      </c>
    </row>
    <row r="271">
      <c r="A271" s="1" t="s">
        <v>12</v>
      </c>
      <c r="B271" s="1" t="s">
        <v>1031</v>
      </c>
      <c r="C271" s="1" t="s">
        <v>1007</v>
      </c>
      <c r="D271" s="1" t="s">
        <v>1032</v>
      </c>
      <c r="E271" s="5">
        <v>37600.0</v>
      </c>
      <c r="F271" s="1" t="s">
        <v>62</v>
      </c>
      <c r="G271" s="1" t="s">
        <v>17</v>
      </c>
      <c r="H271" s="1" t="s">
        <v>18</v>
      </c>
      <c r="I271" s="3">
        <f>+2250566919091</f>
        <v>2250566919091</v>
      </c>
      <c r="J271" s="3">
        <f>+2250796965898</f>
        <v>2250796965898</v>
      </c>
      <c r="K271" s="1" t="s">
        <v>19</v>
      </c>
      <c r="L271" s="4" t="s">
        <v>1033</v>
      </c>
    </row>
    <row r="272">
      <c r="A272" s="1" t="s">
        <v>12</v>
      </c>
      <c r="B272" s="1" t="s">
        <v>1034</v>
      </c>
      <c r="C272" s="1" t="s">
        <v>1007</v>
      </c>
      <c r="D272" s="1" t="s">
        <v>1035</v>
      </c>
      <c r="E272" s="2">
        <v>38540.0</v>
      </c>
      <c r="F272" s="1" t="s">
        <v>16</v>
      </c>
      <c r="G272" s="1" t="s">
        <v>25</v>
      </c>
      <c r="H272" s="1" t="s">
        <v>18</v>
      </c>
      <c r="I272" s="3">
        <f>+2250101270749</f>
        <v>2250101270749</v>
      </c>
      <c r="J272" s="3">
        <f>+2250140051303</f>
        <v>2250140051303</v>
      </c>
      <c r="K272" s="1" t="s">
        <v>19</v>
      </c>
      <c r="L272" s="4" t="s">
        <v>1036</v>
      </c>
    </row>
    <row r="273">
      <c r="A273" s="1" t="s">
        <v>12</v>
      </c>
      <c r="B273" s="1" t="s">
        <v>1037</v>
      </c>
      <c r="C273" s="1" t="s">
        <v>1007</v>
      </c>
      <c r="D273" s="1" t="s">
        <v>1038</v>
      </c>
      <c r="E273" s="2">
        <v>38215.0</v>
      </c>
      <c r="F273" s="1" t="s">
        <v>16</v>
      </c>
      <c r="G273" s="1" t="s">
        <v>25</v>
      </c>
      <c r="H273" s="1" t="s">
        <v>18</v>
      </c>
      <c r="I273" s="3">
        <f>+2250544009555</f>
        <v>2250544009555</v>
      </c>
      <c r="J273" s="3">
        <f>+2250152202082</f>
        <v>2250152202082</v>
      </c>
      <c r="K273" s="1" t="s">
        <v>19</v>
      </c>
      <c r="L273" s="4" t="s">
        <v>1039</v>
      </c>
    </row>
    <row r="274">
      <c r="A274" s="1" t="s">
        <v>12</v>
      </c>
      <c r="B274" s="1" t="s">
        <v>1040</v>
      </c>
      <c r="C274" s="1" t="s">
        <v>1041</v>
      </c>
      <c r="D274" s="1" t="s">
        <v>1042</v>
      </c>
      <c r="E274" s="2">
        <v>38209.0</v>
      </c>
      <c r="F274" s="1" t="s">
        <v>101</v>
      </c>
      <c r="G274" s="1" t="s">
        <v>76</v>
      </c>
      <c r="H274" s="1" t="s">
        <v>32</v>
      </c>
      <c r="I274" s="3">
        <f>+2250575096534</f>
        <v>2250575096534</v>
      </c>
      <c r="J274" s="3">
        <f>+2250708172233</f>
        <v>2250708172233</v>
      </c>
      <c r="K274" s="1" t="s">
        <v>19</v>
      </c>
      <c r="L274" s="4" t="s">
        <v>1043</v>
      </c>
    </row>
    <row r="275">
      <c r="A275" s="1" t="s">
        <v>12</v>
      </c>
      <c r="B275" s="1" t="s">
        <v>1044</v>
      </c>
      <c r="C275" s="1" t="s">
        <v>1041</v>
      </c>
      <c r="D275" s="1" t="s">
        <v>1045</v>
      </c>
      <c r="E275" s="2">
        <v>36963.0</v>
      </c>
      <c r="F275" s="1" t="s">
        <v>16</v>
      </c>
      <c r="G275" s="1" t="s">
        <v>17</v>
      </c>
      <c r="H275" s="1" t="s">
        <v>18</v>
      </c>
      <c r="I275" s="3">
        <f>+2250160201892</f>
        <v>2250160201892</v>
      </c>
      <c r="J275" s="3">
        <f>+2250748171873</f>
        <v>2250748171873</v>
      </c>
      <c r="K275" s="1" t="s">
        <v>19</v>
      </c>
      <c r="L275" s="4" t="s">
        <v>1046</v>
      </c>
    </row>
    <row r="276">
      <c r="A276" s="1" t="s">
        <v>12</v>
      </c>
      <c r="B276" s="1" t="s">
        <v>1047</v>
      </c>
      <c r="C276" s="1" t="s">
        <v>1048</v>
      </c>
      <c r="D276" s="1" t="s">
        <v>1049</v>
      </c>
      <c r="E276" s="5">
        <v>38700.0</v>
      </c>
      <c r="F276" s="1" t="s">
        <v>24</v>
      </c>
      <c r="G276" s="1" t="s">
        <v>25</v>
      </c>
      <c r="H276" s="1" t="s">
        <v>18</v>
      </c>
      <c r="I276" s="3">
        <f>+2250576600029</f>
        <v>2250576600029</v>
      </c>
      <c r="J276" s="3">
        <f>+2250707629406</f>
        <v>2250707629406</v>
      </c>
      <c r="K276" s="1" t="s">
        <v>19</v>
      </c>
      <c r="L276" s="4" t="s">
        <v>1050</v>
      </c>
    </row>
    <row r="277">
      <c r="A277" s="1" t="s">
        <v>12</v>
      </c>
      <c r="B277" s="1" t="s">
        <v>1051</v>
      </c>
      <c r="C277" s="1" t="s">
        <v>1052</v>
      </c>
      <c r="D277" s="1" t="s">
        <v>1053</v>
      </c>
      <c r="E277" s="5">
        <v>37974.0</v>
      </c>
      <c r="F277" s="1" t="s">
        <v>48</v>
      </c>
      <c r="G277" s="1" t="s">
        <v>31</v>
      </c>
      <c r="H277" s="1" t="s">
        <v>32</v>
      </c>
      <c r="I277" s="3">
        <f>+2250707611524</f>
        <v>2250707611524</v>
      </c>
      <c r="J277" s="3">
        <f>+2250709079431</f>
        <v>2250709079431</v>
      </c>
      <c r="K277" s="1" t="s">
        <v>19</v>
      </c>
      <c r="L277" s="4" t="s">
        <v>1054</v>
      </c>
    </row>
    <row r="278">
      <c r="A278" s="1" t="s">
        <v>12</v>
      </c>
      <c r="B278" s="1" t="s">
        <v>1055</v>
      </c>
      <c r="C278" s="1" t="s">
        <v>1056</v>
      </c>
      <c r="D278" s="1" t="s">
        <v>1057</v>
      </c>
      <c r="E278" s="5">
        <v>37969.0</v>
      </c>
      <c r="F278" s="1" t="s">
        <v>182</v>
      </c>
      <c r="G278" s="1" t="s">
        <v>82</v>
      </c>
      <c r="H278" s="1" t="s">
        <v>18</v>
      </c>
      <c r="I278" s="3">
        <f>+2250151223270</f>
        <v>2250151223270</v>
      </c>
      <c r="J278" s="3">
        <f>+2250102603386</f>
        <v>2250102603386</v>
      </c>
      <c r="K278" s="1" t="s">
        <v>19</v>
      </c>
      <c r="L278" s="4" t="s">
        <v>1058</v>
      </c>
    </row>
    <row r="279">
      <c r="A279" s="1" t="s">
        <v>12</v>
      </c>
      <c r="B279" s="1" t="s">
        <v>1059</v>
      </c>
      <c r="C279" s="1" t="s">
        <v>1060</v>
      </c>
      <c r="D279" s="1" t="s">
        <v>1061</v>
      </c>
      <c r="E279" s="2">
        <v>36911.0</v>
      </c>
      <c r="F279" s="1" t="s">
        <v>16</v>
      </c>
      <c r="G279" s="1" t="s">
        <v>17</v>
      </c>
      <c r="H279" s="1" t="s">
        <v>18</v>
      </c>
      <c r="I279" s="3">
        <f>+2250779393467</f>
        <v>2250779393467</v>
      </c>
      <c r="J279" s="3">
        <f>+2250707682313</f>
        <v>2250707682313</v>
      </c>
      <c r="K279" s="1" t="s">
        <v>19</v>
      </c>
      <c r="L279" s="4" t="s">
        <v>1062</v>
      </c>
    </row>
    <row r="280">
      <c r="A280" s="1" t="s">
        <v>12</v>
      </c>
      <c r="B280" s="1" t="s">
        <v>1063</v>
      </c>
      <c r="C280" s="1" t="s">
        <v>1064</v>
      </c>
      <c r="D280" s="1" t="s">
        <v>1065</v>
      </c>
      <c r="E280" s="2">
        <v>37736.0</v>
      </c>
      <c r="F280" s="1" t="s">
        <v>62</v>
      </c>
      <c r="G280" s="1" t="s">
        <v>17</v>
      </c>
      <c r="H280" s="1" t="s">
        <v>18</v>
      </c>
      <c r="I280" s="3">
        <f>+2250575784073</f>
        <v>2250575784073</v>
      </c>
      <c r="J280" s="3">
        <f>+2250596672289</f>
        <v>2250596672289</v>
      </c>
      <c r="K280" s="1" t="s">
        <v>19</v>
      </c>
      <c r="L280" s="4" t="s">
        <v>1066</v>
      </c>
    </row>
    <row r="281">
      <c r="A281" s="1" t="s">
        <v>12</v>
      </c>
      <c r="B281" s="1" t="s">
        <v>1067</v>
      </c>
      <c r="C281" s="1" t="s">
        <v>1068</v>
      </c>
      <c r="D281" s="1" t="s">
        <v>1069</v>
      </c>
      <c r="E281" s="2">
        <v>38828.0</v>
      </c>
      <c r="F281" s="1" t="s">
        <v>53</v>
      </c>
      <c r="G281" s="1" t="s">
        <v>25</v>
      </c>
      <c r="H281" s="1" t="s">
        <v>18</v>
      </c>
      <c r="I281" s="3">
        <f>+2250141258908</f>
        <v>2250141258908</v>
      </c>
      <c r="J281" s="3">
        <f>+2250707728944</f>
        <v>2250707728944</v>
      </c>
      <c r="K281" s="1" t="s">
        <v>19</v>
      </c>
      <c r="L281" s="4" t="s">
        <v>1070</v>
      </c>
    </row>
    <row r="282">
      <c r="A282" s="1" t="s">
        <v>12</v>
      </c>
      <c r="B282" s="1" t="s">
        <v>1071</v>
      </c>
      <c r="C282" s="1" t="s">
        <v>1072</v>
      </c>
      <c r="D282" s="1" t="s">
        <v>1073</v>
      </c>
      <c r="E282" s="5">
        <v>37915.0</v>
      </c>
      <c r="F282" s="1" t="s">
        <v>416</v>
      </c>
      <c r="G282" s="1" t="s">
        <v>76</v>
      </c>
      <c r="H282" s="1" t="s">
        <v>32</v>
      </c>
      <c r="I282" s="3">
        <f>+2250173206906</f>
        <v>2250173206906</v>
      </c>
      <c r="J282" s="3">
        <f>+2250708501114</f>
        <v>2250708501114</v>
      </c>
      <c r="K282" s="1" t="s">
        <v>19</v>
      </c>
      <c r="L282" s="4" t="s">
        <v>1074</v>
      </c>
    </row>
    <row r="283">
      <c r="A283" s="1" t="s">
        <v>12</v>
      </c>
      <c r="B283" s="1" t="s">
        <v>1075</v>
      </c>
      <c r="C283" s="1" t="s">
        <v>1076</v>
      </c>
      <c r="D283" s="1" t="s">
        <v>1077</v>
      </c>
      <c r="E283" s="2">
        <v>38465.0</v>
      </c>
      <c r="F283" s="1" t="s">
        <v>48</v>
      </c>
      <c r="G283" s="1" t="s">
        <v>76</v>
      </c>
      <c r="H283" s="1" t="s">
        <v>32</v>
      </c>
      <c r="I283" s="3">
        <f>+2250153009118</f>
        <v>2250153009118</v>
      </c>
      <c r="J283" s="3">
        <f>+2250556181974</f>
        <v>2250556181974</v>
      </c>
      <c r="K283" s="1" t="s">
        <v>19</v>
      </c>
      <c r="L283" s="4" t="s">
        <v>1078</v>
      </c>
    </row>
    <row r="284">
      <c r="A284" s="1" t="s">
        <v>12</v>
      </c>
      <c r="B284" s="1" t="s">
        <v>1079</v>
      </c>
      <c r="C284" s="1" t="s">
        <v>1080</v>
      </c>
      <c r="D284" s="1" t="s">
        <v>1081</v>
      </c>
      <c r="E284" s="5">
        <v>37546.0</v>
      </c>
      <c r="F284" s="1" t="s">
        <v>48</v>
      </c>
      <c r="G284" s="1" t="s">
        <v>31</v>
      </c>
      <c r="H284" s="1" t="s">
        <v>32</v>
      </c>
      <c r="I284" s="3">
        <f>+2250500648418</f>
        <v>2250500648418</v>
      </c>
      <c r="J284" s="3">
        <f>+2250759939075</f>
        <v>2250759939075</v>
      </c>
      <c r="K284" s="1" t="s">
        <v>19</v>
      </c>
      <c r="L284" s="4" t="s">
        <v>1082</v>
      </c>
    </row>
    <row r="285">
      <c r="A285" s="1" t="s">
        <v>12</v>
      </c>
      <c r="B285" s="1" t="s">
        <v>1083</v>
      </c>
      <c r="C285" s="1" t="s">
        <v>1084</v>
      </c>
      <c r="D285" s="1" t="s">
        <v>1085</v>
      </c>
      <c r="E285" s="2">
        <v>38160.0</v>
      </c>
      <c r="F285" s="1" t="s">
        <v>16</v>
      </c>
      <c r="G285" s="1" t="s">
        <v>17</v>
      </c>
      <c r="H285" s="1" t="s">
        <v>18</v>
      </c>
      <c r="I285" s="3">
        <f>+2250748382935</f>
        <v>2250748382935</v>
      </c>
      <c r="J285" s="3">
        <f>+2250101269699</f>
        <v>2250101269699</v>
      </c>
      <c r="K285" s="1" t="s">
        <v>19</v>
      </c>
      <c r="L285" s="4" t="s">
        <v>1086</v>
      </c>
    </row>
    <row r="286">
      <c r="A286" s="1" t="s">
        <v>12</v>
      </c>
      <c r="B286" s="1" t="s">
        <v>1087</v>
      </c>
      <c r="C286" s="1" t="s">
        <v>1084</v>
      </c>
      <c r="D286" s="1" t="s">
        <v>1088</v>
      </c>
      <c r="E286" s="5">
        <v>37617.0</v>
      </c>
      <c r="F286" s="1" t="s">
        <v>62</v>
      </c>
      <c r="G286" s="1" t="s">
        <v>17</v>
      </c>
      <c r="H286" s="1" t="s">
        <v>18</v>
      </c>
      <c r="I286" s="3">
        <f>+2250757609153</f>
        <v>2250757609153</v>
      </c>
      <c r="J286" s="3">
        <f>+2250707655478</f>
        <v>2250707655478</v>
      </c>
      <c r="K286" s="1" t="s">
        <v>19</v>
      </c>
      <c r="L286" s="4" t="s">
        <v>1089</v>
      </c>
    </row>
    <row r="287">
      <c r="A287" s="1" t="s">
        <v>12</v>
      </c>
      <c r="B287" s="1" t="s">
        <v>1090</v>
      </c>
      <c r="C287" s="1" t="s">
        <v>1091</v>
      </c>
      <c r="D287" s="1" t="s">
        <v>1092</v>
      </c>
      <c r="E287" s="5">
        <v>37576.0</v>
      </c>
      <c r="F287" s="1" t="s">
        <v>97</v>
      </c>
      <c r="G287" s="1" t="s">
        <v>82</v>
      </c>
      <c r="H287" s="1" t="s">
        <v>18</v>
      </c>
      <c r="I287" s="3">
        <f>+2250574615838</f>
        <v>2250574615838</v>
      </c>
      <c r="J287" s="3">
        <f>+2250707575885</f>
        <v>2250707575885</v>
      </c>
      <c r="K287" s="1" t="s">
        <v>19</v>
      </c>
      <c r="L287" s="4" t="s">
        <v>1093</v>
      </c>
    </row>
    <row r="288">
      <c r="A288" s="1" t="s">
        <v>12</v>
      </c>
      <c r="B288" s="1" t="s">
        <v>1094</v>
      </c>
      <c r="C288" s="1" t="s">
        <v>1095</v>
      </c>
      <c r="D288" s="1" t="s">
        <v>1096</v>
      </c>
      <c r="E288" s="2">
        <v>37417.0</v>
      </c>
      <c r="F288" s="1" t="s">
        <v>155</v>
      </c>
      <c r="G288" s="1" t="s">
        <v>31</v>
      </c>
      <c r="H288" s="1" t="s">
        <v>32</v>
      </c>
      <c r="I288" s="3">
        <f>+2250150913684</f>
        <v>2250150913684</v>
      </c>
      <c r="J288" s="3">
        <f>+2250709230692</f>
        <v>2250709230692</v>
      </c>
      <c r="K288" s="1" t="s">
        <v>19</v>
      </c>
      <c r="L288" s="4" t="s">
        <v>1097</v>
      </c>
    </row>
    <row r="289">
      <c r="A289" s="1" t="s">
        <v>12</v>
      </c>
      <c r="B289" s="1" t="s">
        <v>1098</v>
      </c>
      <c r="C289" s="1" t="s">
        <v>1099</v>
      </c>
      <c r="D289" s="1" t="s">
        <v>1100</v>
      </c>
      <c r="E289" s="2">
        <v>37567.0</v>
      </c>
      <c r="F289" s="1" t="s">
        <v>288</v>
      </c>
      <c r="G289" s="1" t="s">
        <v>76</v>
      </c>
      <c r="H289" s="1" t="s">
        <v>32</v>
      </c>
      <c r="I289" s="3">
        <f>+2250170068761</f>
        <v>2250170068761</v>
      </c>
      <c r="J289" s="3">
        <f>+2250140102469</f>
        <v>2250140102469</v>
      </c>
      <c r="K289" s="1" t="s">
        <v>19</v>
      </c>
      <c r="L289" s="4" t="s">
        <v>1101</v>
      </c>
    </row>
    <row r="290">
      <c r="A290" s="1" t="s">
        <v>12</v>
      </c>
      <c r="B290" s="1" t="s">
        <v>1102</v>
      </c>
      <c r="C290" s="1" t="s">
        <v>1103</v>
      </c>
      <c r="D290" s="1" t="s">
        <v>1104</v>
      </c>
      <c r="E290" s="2">
        <v>37273.0</v>
      </c>
      <c r="F290" s="1" t="s">
        <v>16</v>
      </c>
      <c r="G290" s="1" t="s">
        <v>82</v>
      </c>
      <c r="H290" s="1" t="s">
        <v>18</v>
      </c>
      <c r="I290" s="3">
        <f>+2250711657799</f>
        <v>2250711657799</v>
      </c>
      <c r="J290" s="3">
        <f>+2250574965384</f>
        <v>2250574965384</v>
      </c>
      <c r="K290" s="1" t="s">
        <v>19</v>
      </c>
      <c r="L290" s="4" t="s">
        <v>1105</v>
      </c>
    </row>
    <row r="291">
      <c r="A291" s="1" t="s">
        <v>12</v>
      </c>
      <c r="B291" s="1" t="s">
        <v>1106</v>
      </c>
      <c r="C291" s="1" t="s">
        <v>1103</v>
      </c>
      <c r="D291" s="1" t="s">
        <v>1107</v>
      </c>
      <c r="E291" s="2">
        <v>36910.0</v>
      </c>
      <c r="F291" s="1" t="s">
        <v>48</v>
      </c>
      <c r="G291" s="1" t="s">
        <v>31</v>
      </c>
      <c r="H291" s="1" t="s">
        <v>32</v>
      </c>
      <c r="I291" s="3">
        <f>+2250140537849</f>
        <v>2250140537849</v>
      </c>
      <c r="J291" s="3">
        <f>+2250171984072</f>
        <v>2250171984072</v>
      </c>
      <c r="K291" s="1" t="s">
        <v>19</v>
      </c>
      <c r="L291" s="4" t="s">
        <v>1108</v>
      </c>
    </row>
    <row r="292">
      <c r="A292" s="1" t="s">
        <v>12</v>
      </c>
      <c r="B292" s="1" t="s">
        <v>1109</v>
      </c>
      <c r="C292" s="1" t="s">
        <v>1103</v>
      </c>
      <c r="D292" s="1" t="s">
        <v>1110</v>
      </c>
      <c r="E292" s="2">
        <v>37628.0</v>
      </c>
      <c r="F292" s="1" t="s">
        <v>138</v>
      </c>
      <c r="G292" s="1" t="s">
        <v>31</v>
      </c>
      <c r="H292" s="1" t="s">
        <v>32</v>
      </c>
      <c r="I292" s="3">
        <f>+2250102964198</f>
        <v>2250102964198</v>
      </c>
      <c r="J292" s="3">
        <f>+2250708135915</f>
        <v>2250708135915</v>
      </c>
      <c r="K292" s="1" t="s">
        <v>19</v>
      </c>
      <c r="L292" s="4" t="s">
        <v>1111</v>
      </c>
    </row>
    <row r="293">
      <c r="A293" s="1" t="s">
        <v>12</v>
      </c>
      <c r="B293" s="1" t="s">
        <v>1112</v>
      </c>
      <c r="C293" s="1" t="s">
        <v>1103</v>
      </c>
      <c r="D293" s="1" t="s">
        <v>1113</v>
      </c>
      <c r="E293" s="2">
        <v>38131.0</v>
      </c>
      <c r="F293" s="1" t="s">
        <v>16</v>
      </c>
      <c r="G293" s="1" t="s">
        <v>25</v>
      </c>
      <c r="H293" s="1" t="s">
        <v>18</v>
      </c>
      <c r="I293" s="3">
        <f>+2250749540946</f>
        <v>2250749540946</v>
      </c>
      <c r="J293" s="3">
        <f>+2250102111480</f>
        <v>2250102111480</v>
      </c>
      <c r="K293" s="1" t="s">
        <v>19</v>
      </c>
      <c r="L293" s="4" t="s">
        <v>1114</v>
      </c>
    </row>
    <row r="294">
      <c r="A294" s="1" t="s">
        <v>12</v>
      </c>
      <c r="B294" s="1" t="s">
        <v>1115</v>
      </c>
      <c r="C294" s="1" t="s">
        <v>1103</v>
      </c>
      <c r="D294" s="1" t="s">
        <v>1116</v>
      </c>
      <c r="E294" s="2">
        <v>38968.0</v>
      </c>
      <c r="F294" s="1" t="s">
        <v>62</v>
      </c>
      <c r="G294" s="1" t="s">
        <v>25</v>
      </c>
      <c r="H294" s="1" t="s">
        <v>18</v>
      </c>
      <c r="I294" s="3">
        <f>+2250702947345</f>
        <v>2250702947345</v>
      </c>
      <c r="J294" s="3">
        <f>+2250777388003</f>
        <v>2250777388003</v>
      </c>
      <c r="K294" s="1" t="s">
        <v>19</v>
      </c>
      <c r="L294" s="4" t="s">
        <v>1117</v>
      </c>
    </row>
    <row r="295">
      <c r="A295" s="1" t="s">
        <v>12</v>
      </c>
      <c r="B295" s="1" t="s">
        <v>1118</v>
      </c>
      <c r="C295" s="1" t="s">
        <v>1103</v>
      </c>
      <c r="D295" s="1" t="s">
        <v>1119</v>
      </c>
      <c r="E295" s="5">
        <v>37175.0</v>
      </c>
      <c r="F295" s="1" t="s">
        <v>351</v>
      </c>
      <c r="G295" s="1" t="s">
        <v>82</v>
      </c>
      <c r="H295" s="1" t="s">
        <v>18</v>
      </c>
      <c r="I295" s="3">
        <f>+2250151547522</f>
        <v>2250151547522</v>
      </c>
      <c r="J295" s="3">
        <f>+2250709585521</f>
        <v>2250709585521</v>
      </c>
      <c r="K295" s="1" t="s">
        <v>19</v>
      </c>
      <c r="L295" s="4" t="s">
        <v>1120</v>
      </c>
    </row>
    <row r="296">
      <c r="A296" s="1" t="s">
        <v>12</v>
      </c>
      <c r="B296" s="1" t="s">
        <v>1121</v>
      </c>
      <c r="C296" s="1" t="s">
        <v>1103</v>
      </c>
      <c r="D296" s="1" t="s">
        <v>1122</v>
      </c>
      <c r="E296" s="5">
        <v>35733.0</v>
      </c>
      <c r="F296" s="1" t="s">
        <v>138</v>
      </c>
      <c r="G296" s="1" t="s">
        <v>31</v>
      </c>
      <c r="H296" s="1" t="s">
        <v>32</v>
      </c>
      <c r="I296" s="3">
        <f>+2250708817685</f>
        <v>2250708817685</v>
      </c>
      <c r="J296" s="3">
        <f>+2250779580383</f>
        <v>2250779580383</v>
      </c>
      <c r="K296" s="1" t="s">
        <v>19</v>
      </c>
      <c r="L296" s="4" t="s">
        <v>1123</v>
      </c>
    </row>
    <row r="297">
      <c r="A297" s="1" t="s">
        <v>12</v>
      </c>
      <c r="B297" s="1" t="s">
        <v>1124</v>
      </c>
      <c r="C297" s="1" t="s">
        <v>1103</v>
      </c>
      <c r="D297" s="1" t="s">
        <v>1125</v>
      </c>
      <c r="E297" s="2">
        <v>38694.0</v>
      </c>
      <c r="F297" s="1" t="s">
        <v>16</v>
      </c>
      <c r="G297" s="1" t="s">
        <v>25</v>
      </c>
      <c r="H297" s="1" t="s">
        <v>18</v>
      </c>
      <c r="I297" s="3">
        <f>+2250143025756</f>
        <v>2250143025756</v>
      </c>
      <c r="J297" s="3">
        <f>+2250758050540</f>
        <v>2250758050540</v>
      </c>
      <c r="K297" s="1" t="s">
        <v>19</v>
      </c>
      <c r="L297" s="4" t="s">
        <v>1126</v>
      </c>
    </row>
    <row r="298">
      <c r="A298" s="1" t="s">
        <v>12</v>
      </c>
      <c r="B298" s="1" t="s">
        <v>1127</v>
      </c>
      <c r="C298" s="1" t="s">
        <v>1103</v>
      </c>
      <c r="D298" s="1" t="s">
        <v>1128</v>
      </c>
      <c r="E298" s="5">
        <v>39013.0</v>
      </c>
      <c r="F298" s="1" t="s">
        <v>16</v>
      </c>
      <c r="G298" s="1" t="s">
        <v>25</v>
      </c>
      <c r="H298" s="1" t="s">
        <v>18</v>
      </c>
      <c r="I298" s="3">
        <f>+2250173202102</f>
        <v>2250173202102</v>
      </c>
      <c r="J298" s="3">
        <f>+2250505782773</f>
        <v>2250505782773</v>
      </c>
      <c r="K298" s="1" t="s">
        <v>19</v>
      </c>
      <c r="L298" s="4" t="s">
        <v>1129</v>
      </c>
    </row>
    <row r="299">
      <c r="A299" s="1" t="s">
        <v>12</v>
      </c>
      <c r="B299" s="1" t="s">
        <v>1130</v>
      </c>
      <c r="C299" s="1" t="s">
        <v>1131</v>
      </c>
      <c r="D299" s="1" t="s">
        <v>1132</v>
      </c>
      <c r="E299" s="2">
        <v>37929.0</v>
      </c>
      <c r="F299" s="1" t="s">
        <v>167</v>
      </c>
      <c r="G299" s="1" t="s">
        <v>17</v>
      </c>
      <c r="H299" s="1" t="s">
        <v>18</v>
      </c>
      <c r="I299" s="3">
        <f>+2250787180516</f>
        <v>2250787180516</v>
      </c>
      <c r="J299" s="3">
        <f>+2250556488692</f>
        <v>2250556488692</v>
      </c>
      <c r="K299" s="1" t="s">
        <v>19</v>
      </c>
      <c r="L299" s="4" t="s">
        <v>1133</v>
      </c>
    </row>
    <row r="300">
      <c r="A300" s="1" t="s">
        <v>12</v>
      </c>
      <c r="B300" s="1" t="s">
        <v>1134</v>
      </c>
      <c r="C300" s="1" t="s">
        <v>1135</v>
      </c>
      <c r="D300" s="1" t="s">
        <v>1136</v>
      </c>
      <c r="E300" s="2">
        <v>38246.0</v>
      </c>
      <c r="F300" s="1" t="s">
        <v>53</v>
      </c>
      <c r="G300" s="1" t="s">
        <v>17</v>
      </c>
      <c r="H300" s="1" t="s">
        <v>18</v>
      </c>
      <c r="I300" s="3">
        <f>+2250769808031</f>
        <v>2250769808031</v>
      </c>
      <c r="J300" s="3">
        <f>+2250708155834</f>
        <v>2250708155834</v>
      </c>
      <c r="K300" s="1" t="s">
        <v>19</v>
      </c>
      <c r="L300" s="4" t="s">
        <v>1137</v>
      </c>
    </row>
    <row r="301">
      <c r="A301" s="1" t="s">
        <v>12</v>
      </c>
      <c r="B301" s="1" t="s">
        <v>1138</v>
      </c>
      <c r="C301" s="1" t="s">
        <v>1139</v>
      </c>
      <c r="D301" s="1" t="s">
        <v>1140</v>
      </c>
      <c r="E301" s="2">
        <v>37438.0</v>
      </c>
      <c r="F301" s="1" t="s">
        <v>62</v>
      </c>
      <c r="G301" s="1" t="s">
        <v>17</v>
      </c>
      <c r="H301" s="1" t="s">
        <v>18</v>
      </c>
      <c r="I301" s="3">
        <f>+2250150396334</f>
        <v>2250150396334</v>
      </c>
      <c r="J301" s="3">
        <f>+2250708181025</f>
        <v>2250708181025</v>
      </c>
      <c r="K301" s="1" t="s">
        <v>19</v>
      </c>
      <c r="L301" s="4" t="s">
        <v>1141</v>
      </c>
    </row>
    <row r="302">
      <c r="A302" s="1" t="s">
        <v>12</v>
      </c>
      <c r="B302" s="1" t="s">
        <v>1142</v>
      </c>
      <c r="C302" s="1" t="s">
        <v>1143</v>
      </c>
      <c r="D302" s="1" t="s">
        <v>1144</v>
      </c>
      <c r="E302" s="2">
        <v>37716.0</v>
      </c>
      <c r="F302" s="1" t="s">
        <v>75</v>
      </c>
      <c r="G302" s="1" t="s">
        <v>76</v>
      </c>
      <c r="H302" s="1" t="s">
        <v>32</v>
      </c>
      <c r="I302" s="3">
        <f>+2250709188117</f>
        <v>2250709188117</v>
      </c>
      <c r="J302" s="3">
        <f>+2250140668982</f>
        <v>2250140668982</v>
      </c>
      <c r="K302" s="1" t="s">
        <v>19</v>
      </c>
      <c r="L302" s="4" t="s">
        <v>1145</v>
      </c>
    </row>
    <row r="303">
      <c r="A303" s="1" t="s">
        <v>12</v>
      </c>
      <c r="B303" s="1" t="s">
        <v>1146</v>
      </c>
      <c r="C303" s="1" t="s">
        <v>1147</v>
      </c>
      <c r="D303" s="1" t="s">
        <v>1148</v>
      </c>
      <c r="E303" s="5">
        <v>37947.0</v>
      </c>
      <c r="F303" s="1" t="s">
        <v>48</v>
      </c>
      <c r="G303" s="1" t="s">
        <v>31</v>
      </c>
      <c r="H303" s="1" t="s">
        <v>32</v>
      </c>
      <c r="I303" s="3">
        <f>+2250173258648</f>
        <v>2250173258648</v>
      </c>
      <c r="J303" s="3">
        <f>+2250707975051</f>
        <v>2250707975051</v>
      </c>
      <c r="K303" s="1" t="s">
        <v>19</v>
      </c>
      <c r="L303" s="4" t="s">
        <v>1149</v>
      </c>
    </row>
    <row r="304">
      <c r="A304" s="1" t="s">
        <v>12</v>
      </c>
      <c r="B304" s="1" t="s">
        <v>1150</v>
      </c>
      <c r="C304" s="1" t="s">
        <v>1151</v>
      </c>
      <c r="D304" s="1" t="s">
        <v>1152</v>
      </c>
      <c r="E304" s="2">
        <v>38153.0</v>
      </c>
      <c r="F304" s="1" t="s">
        <v>24</v>
      </c>
      <c r="G304" s="1" t="s">
        <v>17</v>
      </c>
      <c r="H304" s="1" t="s">
        <v>18</v>
      </c>
      <c r="I304" s="3">
        <f>+2250171616598</f>
        <v>2250171616598</v>
      </c>
      <c r="J304" s="3">
        <f>+2250505882802</f>
        <v>2250505882802</v>
      </c>
      <c r="K304" s="1" t="s">
        <v>19</v>
      </c>
      <c r="L304" s="4" t="s">
        <v>1153</v>
      </c>
    </row>
    <row r="305">
      <c r="A305" s="1" t="s">
        <v>12</v>
      </c>
      <c r="B305" s="1" t="s">
        <v>1154</v>
      </c>
      <c r="C305" s="1" t="s">
        <v>1155</v>
      </c>
      <c r="D305" s="1" t="s">
        <v>1156</v>
      </c>
      <c r="E305" s="2">
        <v>38472.0</v>
      </c>
      <c r="F305" s="1" t="s">
        <v>53</v>
      </c>
      <c r="G305" s="1" t="s">
        <v>25</v>
      </c>
      <c r="H305" s="1" t="s">
        <v>18</v>
      </c>
      <c r="I305" s="3">
        <f>+2250556815699</f>
        <v>2250556815699</v>
      </c>
      <c r="J305" s="3">
        <f>+2250505997352</f>
        <v>2250505997352</v>
      </c>
      <c r="K305" s="1" t="s">
        <v>19</v>
      </c>
      <c r="L305" s="4" t="s">
        <v>1157</v>
      </c>
    </row>
    <row r="306">
      <c r="A306" s="1" t="s">
        <v>12</v>
      </c>
      <c r="B306" s="1" t="s">
        <v>1158</v>
      </c>
      <c r="C306" s="1" t="s">
        <v>1159</v>
      </c>
      <c r="D306" s="1" t="s">
        <v>1160</v>
      </c>
      <c r="E306" s="2">
        <v>37675.0</v>
      </c>
      <c r="F306" s="1" t="s">
        <v>30</v>
      </c>
      <c r="G306" s="1" t="s">
        <v>76</v>
      </c>
      <c r="H306" s="1" t="s">
        <v>32</v>
      </c>
      <c r="I306" s="3">
        <f>+2250705890912</f>
        <v>2250705890912</v>
      </c>
      <c r="J306" s="3">
        <f>+2250768402124</f>
        <v>2250768402124</v>
      </c>
      <c r="K306" s="1" t="s">
        <v>19</v>
      </c>
      <c r="L306" s="4" t="s">
        <v>1161</v>
      </c>
    </row>
    <row r="307">
      <c r="A307" s="1" t="s">
        <v>12</v>
      </c>
      <c r="B307" s="1" t="s">
        <v>1162</v>
      </c>
      <c r="C307" s="1" t="s">
        <v>1163</v>
      </c>
      <c r="D307" s="1" t="s">
        <v>1164</v>
      </c>
      <c r="E307" s="5">
        <v>37947.0</v>
      </c>
      <c r="F307" s="1" t="s">
        <v>75</v>
      </c>
      <c r="G307" s="1" t="s">
        <v>31</v>
      </c>
      <c r="H307" s="1" t="s">
        <v>32</v>
      </c>
      <c r="I307" s="3">
        <f>+2250140323006</f>
        <v>2250140323006</v>
      </c>
      <c r="J307" s="3">
        <f>+2250140444220</f>
        <v>2250140444220</v>
      </c>
      <c r="K307" s="1" t="s">
        <v>19</v>
      </c>
      <c r="L307" s="4" t="s">
        <v>1165</v>
      </c>
    </row>
    <row r="308">
      <c r="A308" s="1" t="s">
        <v>12</v>
      </c>
      <c r="B308" s="1" t="s">
        <v>1166</v>
      </c>
      <c r="C308" s="1" t="s">
        <v>1167</v>
      </c>
      <c r="D308" s="1" t="s">
        <v>1168</v>
      </c>
      <c r="E308" s="2">
        <v>38356.0</v>
      </c>
      <c r="F308" s="1" t="s">
        <v>53</v>
      </c>
      <c r="G308" s="1" t="s">
        <v>25</v>
      </c>
      <c r="H308" s="1" t="s">
        <v>18</v>
      </c>
      <c r="I308" s="3">
        <f>+2250160935125</f>
        <v>2250160935125</v>
      </c>
      <c r="J308" s="3">
        <f>+2250708798528</f>
        <v>2250708798528</v>
      </c>
      <c r="K308" s="1" t="s">
        <v>19</v>
      </c>
      <c r="L308" s="4" t="s">
        <v>1169</v>
      </c>
    </row>
    <row r="309">
      <c r="A309" s="1" t="s">
        <v>12</v>
      </c>
      <c r="B309" s="1" t="s">
        <v>1170</v>
      </c>
      <c r="C309" s="1" t="s">
        <v>1167</v>
      </c>
      <c r="D309" s="1" t="s">
        <v>1171</v>
      </c>
      <c r="E309" s="2">
        <v>37458.0</v>
      </c>
      <c r="F309" s="1" t="s">
        <v>62</v>
      </c>
      <c r="G309" s="1" t="s">
        <v>25</v>
      </c>
      <c r="H309" s="1" t="s">
        <v>18</v>
      </c>
      <c r="I309" s="3">
        <f>+2250173688289</f>
        <v>2250173688289</v>
      </c>
      <c r="J309" s="3">
        <f>+2250748514823</f>
        <v>2250748514823</v>
      </c>
      <c r="K309" s="1" t="s">
        <v>19</v>
      </c>
      <c r="L309" s="4" t="s">
        <v>1172</v>
      </c>
    </row>
    <row r="310">
      <c r="A310" s="1" t="s">
        <v>12</v>
      </c>
      <c r="B310" s="1" t="s">
        <v>1173</v>
      </c>
      <c r="C310" s="1" t="s">
        <v>1174</v>
      </c>
      <c r="D310" s="1" t="s">
        <v>1175</v>
      </c>
      <c r="E310" s="2">
        <v>38354.0</v>
      </c>
      <c r="F310" s="1" t="s">
        <v>48</v>
      </c>
      <c r="G310" s="1" t="s">
        <v>76</v>
      </c>
      <c r="H310" s="1" t="s">
        <v>32</v>
      </c>
      <c r="I310" s="3">
        <f>+2250504260062</f>
        <v>2250504260062</v>
      </c>
      <c r="J310" s="3">
        <f>+2250504918702</f>
        <v>2250504918702</v>
      </c>
      <c r="K310" s="1" t="s">
        <v>19</v>
      </c>
      <c r="L310" s="4" t="s">
        <v>1176</v>
      </c>
    </row>
    <row r="311">
      <c r="A311" s="1" t="s">
        <v>12</v>
      </c>
      <c r="B311" s="1" t="s">
        <v>1177</v>
      </c>
      <c r="C311" s="1" t="s">
        <v>1178</v>
      </c>
      <c r="D311" s="1" t="s">
        <v>1179</v>
      </c>
      <c r="E311" s="2">
        <v>38078.0</v>
      </c>
      <c r="F311" s="1" t="s">
        <v>53</v>
      </c>
      <c r="G311" s="1" t="s">
        <v>17</v>
      </c>
      <c r="H311" s="1" t="s">
        <v>18</v>
      </c>
      <c r="I311" s="3">
        <f>+2250574925874</f>
        <v>2250574925874</v>
      </c>
      <c r="J311" s="3">
        <f>+2250708682778</f>
        <v>2250708682778</v>
      </c>
      <c r="K311" s="1" t="s">
        <v>19</v>
      </c>
      <c r="L311" s="4" t="s">
        <v>1180</v>
      </c>
    </row>
    <row r="312">
      <c r="A312" s="1" t="s">
        <v>12</v>
      </c>
      <c r="B312" s="1" t="s">
        <v>1181</v>
      </c>
      <c r="C312" s="1" t="s">
        <v>1182</v>
      </c>
      <c r="D312" s="1" t="s">
        <v>1183</v>
      </c>
      <c r="E312" s="5">
        <v>37620.0</v>
      </c>
      <c r="F312" s="1" t="s">
        <v>97</v>
      </c>
      <c r="G312" s="1" t="s">
        <v>82</v>
      </c>
      <c r="H312" s="1" t="s">
        <v>18</v>
      </c>
      <c r="I312" s="3">
        <f>+2250565379098</f>
        <v>2250565379098</v>
      </c>
      <c r="J312" s="3">
        <f>+2250748961307</f>
        <v>2250748961307</v>
      </c>
      <c r="K312" s="1" t="s">
        <v>19</v>
      </c>
      <c r="L312" s="4" t="s">
        <v>1184</v>
      </c>
    </row>
    <row r="313">
      <c r="A313" s="1" t="s">
        <v>12</v>
      </c>
      <c r="B313" s="1" t="s">
        <v>1185</v>
      </c>
      <c r="C313" s="1" t="s">
        <v>1186</v>
      </c>
      <c r="D313" s="1" t="s">
        <v>1187</v>
      </c>
      <c r="E313" s="2">
        <v>35454.0</v>
      </c>
      <c r="F313" s="1" t="s">
        <v>48</v>
      </c>
      <c r="G313" s="1" t="s">
        <v>76</v>
      </c>
      <c r="H313" s="1" t="s">
        <v>32</v>
      </c>
      <c r="I313" s="3">
        <f t="shared" ref="I313:J313" si="11">+2250767172402</f>
        <v>2250767172402</v>
      </c>
      <c r="J313" s="3">
        <f t="shared" si="11"/>
        <v>2250767172402</v>
      </c>
      <c r="K313" s="1" t="s">
        <v>19</v>
      </c>
      <c r="L313" s="4" t="s">
        <v>1188</v>
      </c>
    </row>
    <row r="314">
      <c r="A314" s="1" t="s">
        <v>12</v>
      </c>
      <c r="B314" s="1" t="s">
        <v>1189</v>
      </c>
      <c r="C314" s="1" t="s">
        <v>1190</v>
      </c>
      <c r="D314" s="1" t="s">
        <v>1191</v>
      </c>
      <c r="E314" s="5">
        <v>37577.0</v>
      </c>
      <c r="F314" s="1" t="s">
        <v>16</v>
      </c>
      <c r="G314" s="1" t="s">
        <v>25</v>
      </c>
      <c r="H314" s="1" t="s">
        <v>18</v>
      </c>
      <c r="I314" s="3">
        <f>+2250769216770</f>
        <v>2250769216770</v>
      </c>
      <c r="J314" s="3">
        <f>+2250565655313</f>
        <v>2250565655313</v>
      </c>
      <c r="K314" s="1" t="s">
        <v>19</v>
      </c>
      <c r="L314" s="4" t="s">
        <v>1192</v>
      </c>
    </row>
    <row r="315">
      <c r="A315" s="1" t="s">
        <v>12</v>
      </c>
      <c r="B315" s="1" t="s">
        <v>1193</v>
      </c>
      <c r="C315" s="1" t="s">
        <v>1194</v>
      </c>
      <c r="D315" s="1" t="s">
        <v>1195</v>
      </c>
      <c r="E315" s="5">
        <v>37951.0</v>
      </c>
      <c r="F315" s="1" t="s">
        <v>48</v>
      </c>
      <c r="G315" s="1" t="s">
        <v>76</v>
      </c>
      <c r="H315" s="1" t="s">
        <v>32</v>
      </c>
      <c r="I315" s="3">
        <f>+2250757964547</f>
        <v>2250757964547</v>
      </c>
      <c r="J315" s="3">
        <f>+2250777337765</f>
        <v>2250777337765</v>
      </c>
      <c r="K315" s="1" t="s">
        <v>19</v>
      </c>
      <c r="L315" s="4" t="s">
        <v>1196</v>
      </c>
    </row>
    <row r="316">
      <c r="A316" s="1" t="s">
        <v>12</v>
      </c>
      <c r="B316" s="1" t="s">
        <v>1197</v>
      </c>
      <c r="C316" s="1" t="s">
        <v>1198</v>
      </c>
      <c r="D316" s="1" t="s">
        <v>1199</v>
      </c>
      <c r="E316" s="5">
        <v>36840.0</v>
      </c>
      <c r="F316" s="1" t="s">
        <v>92</v>
      </c>
      <c r="G316" s="1" t="s">
        <v>31</v>
      </c>
      <c r="H316" s="1" t="s">
        <v>32</v>
      </c>
      <c r="I316" s="3">
        <f>+2250153917864</f>
        <v>2250153917864</v>
      </c>
      <c r="J316" s="3">
        <f>+2250545242507</f>
        <v>2250545242507</v>
      </c>
      <c r="K316" s="1" t="s">
        <v>19</v>
      </c>
      <c r="L316" s="4" t="s">
        <v>1200</v>
      </c>
    </row>
    <row r="317">
      <c r="A317" s="1" t="s">
        <v>12</v>
      </c>
      <c r="B317" s="1" t="s">
        <v>1201</v>
      </c>
      <c r="C317" s="1" t="s">
        <v>1202</v>
      </c>
      <c r="D317" s="1" t="s">
        <v>1203</v>
      </c>
      <c r="E317" s="2">
        <v>37699.0</v>
      </c>
      <c r="F317" s="1" t="s">
        <v>30</v>
      </c>
      <c r="G317" s="1" t="s">
        <v>76</v>
      </c>
      <c r="H317" s="1" t="s">
        <v>32</v>
      </c>
      <c r="I317" s="3">
        <f>+2250152505441</f>
        <v>2250152505441</v>
      </c>
      <c r="J317" s="3">
        <f>+2250153792240</f>
        <v>2250153792240</v>
      </c>
      <c r="K317" s="1" t="s">
        <v>19</v>
      </c>
      <c r="L317" s="4" t="s">
        <v>1204</v>
      </c>
    </row>
    <row r="318">
      <c r="A318" s="1" t="s">
        <v>12</v>
      </c>
      <c r="B318" s="1" t="s">
        <v>1205</v>
      </c>
      <c r="C318" s="1" t="s">
        <v>1206</v>
      </c>
      <c r="D318" s="1" t="s">
        <v>1207</v>
      </c>
      <c r="E318" s="2">
        <v>38475.0</v>
      </c>
      <c r="F318" s="1" t="s">
        <v>138</v>
      </c>
      <c r="G318" s="1" t="s">
        <v>76</v>
      </c>
      <c r="H318" s="1" t="s">
        <v>32</v>
      </c>
      <c r="I318" s="3">
        <f>+2250767777466</f>
        <v>2250767777466</v>
      </c>
      <c r="J318" s="3">
        <f>+2250707005660</f>
        <v>2250707005660</v>
      </c>
      <c r="K318" s="1" t="s">
        <v>19</v>
      </c>
      <c r="L318" s="4" t="s">
        <v>1208</v>
      </c>
    </row>
    <row r="319">
      <c r="A319" s="1" t="s">
        <v>12</v>
      </c>
      <c r="B319" s="1" t="s">
        <v>1209</v>
      </c>
      <c r="C319" s="1" t="s">
        <v>1210</v>
      </c>
      <c r="D319" s="1" t="s">
        <v>1211</v>
      </c>
      <c r="E319" s="2">
        <v>37269.0</v>
      </c>
      <c r="F319" s="1" t="s">
        <v>62</v>
      </c>
      <c r="G319" s="1" t="s">
        <v>17</v>
      </c>
      <c r="H319" s="1" t="s">
        <v>18</v>
      </c>
      <c r="I319" s="3">
        <f>+2250143900014</f>
        <v>2250143900014</v>
      </c>
      <c r="J319" s="3">
        <f>+2250767515051</f>
        <v>2250767515051</v>
      </c>
      <c r="K319" s="1" t="s">
        <v>19</v>
      </c>
      <c r="L319" s="4" t="s">
        <v>1212</v>
      </c>
    </row>
    <row r="320">
      <c r="A320" s="1" t="s">
        <v>12</v>
      </c>
      <c r="B320" s="1" t="s">
        <v>1213</v>
      </c>
      <c r="C320" s="1" t="s">
        <v>1214</v>
      </c>
      <c r="D320" s="1" t="s">
        <v>1215</v>
      </c>
      <c r="E320" s="2">
        <v>37440.0</v>
      </c>
      <c r="F320" s="1" t="s">
        <v>62</v>
      </c>
      <c r="G320" s="1" t="s">
        <v>17</v>
      </c>
      <c r="H320" s="1" t="s">
        <v>18</v>
      </c>
      <c r="I320" s="3">
        <f>+2250769420210</f>
        <v>2250769420210</v>
      </c>
      <c r="J320" s="3">
        <f>+2250748521526</f>
        <v>2250748521526</v>
      </c>
      <c r="K320" s="1" t="s">
        <v>19</v>
      </c>
      <c r="L320" s="4" t="s">
        <v>1216</v>
      </c>
    </row>
    <row r="321">
      <c r="A321" s="1" t="s">
        <v>12</v>
      </c>
      <c r="B321" s="1" t="s">
        <v>1217</v>
      </c>
      <c r="C321" s="1" t="s">
        <v>1214</v>
      </c>
      <c r="D321" s="1" t="s">
        <v>1218</v>
      </c>
      <c r="E321" s="5">
        <v>37602.0</v>
      </c>
      <c r="F321" s="1" t="s">
        <v>1219</v>
      </c>
      <c r="G321" s="1" t="s">
        <v>82</v>
      </c>
      <c r="H321" s="1" t="s">
        <v>18</v>
      </c>
      <c r="I321" s="3">
        <f>+2250799751574</f>
        <v>2250799751574</v>
      </c>
      <c r="J321" s="3">
        <f>+2250150711553</f>
        <v>2250150711553</v>
      </c>
      <c r="K321" s="1" t="s">
        <v>19</v>
      </c>
      <c r="L321" s="4" t="s">
        <v>1220</v>
      </c>
    </row>
    <row r="322">
      <c r="A322" s="1" t="s">
        <v>12</v>
      </c>
      <c r="B322" s="1" t="s">
        <v>1221</v>
      </c>
      <c r="C322" s="1" t="s">
        <v>1222</v>
      </c>
      <c r="D322" s="1" t="s">
        <v>1223</v>
      </c>
      <c r="E322" s="2">
        <v>38078.0</v>
      </c>
      <c r="F322" s="1" t="s">
        <v>75</v>
      </c>
      <c r="G322" s="1" t="s">
        <v>76</v>
      </c>
      <c r="H322" s="1" t="s">
        <v>32</v>
      </c>
      <c r="I322" s="3">
        <f>+2250576251388</f>
        <v>2250576251388</v>
      </c>
      <c r="J322" s="3">
        <f>+2250709990258</f>
        <v>2250709990258</v>
      </c>
      <c r="K322" s="1" t="s">
        <v>19</v>
      </c>
      <c r="L322" s="4" t="s">
        <v>1224</v>
      </c>
    </row>
    <row r="323">
      <c r="A323" s="1" t="s">
        <v>12</v>
      </c>
      <c r="B323" s="1" t="s">
        <v>1225</v>
      </c>
      <c r="C323" s="1" t="s">
        <v>1226</v>
      </c>
      <c r="D323" s="1" t="s">
        <v>1227</v>
      </c>
      <c r="E323" s="2">
        <v>38123.0</v>
      </c>
      <c r="F323" s="1" t="s">
        <v>16</v>
      </c>
      <c r="G323" s="1" t="s">
        <v>25</v>
      </c>
      <c r="H323" s="1" t="s">
        <v>18</v>
      </c>
      <c r="I323" s="3">
        <f>+2250141943119</f>
        <v>2250141943119</v>
      </c>
      <c r="J323" s="3">
        <f>+2250707073841</f>
        <v>2250707073841</v>
      </c>
      <c r="K323" s="1" t="s">
        <v>19</v>
      </c>
      <c r="L323" s="4" t="s">
        <v>1228</v>
      </c>
    </row>
    <row r="324">
      <c r="A324" s="1" t="s">
        <v>12</v>
      </c>
      <c r="B324" s="1" t="s">
        <v>1229</v>
      </c>
      <c r="C324" s="1" t="s">
        <v>1230</v>
      </c>
      <c r="D324" s="1" t="s">
        <v>1231</v>
      </c>
      <c r="E324" s="2">
        <v>38057.0</v>
      </c>
      <c r="F324" s="1" t="s">
        <v>288</v>
      </c>
      <c r="G324" s="1" t="s">
        <v>76</v>
      </c>
      <c r="H324" s="1" t="s">
        <v>32</v>
      </c>
      <c r="I324" s="3">
        <f>+2250101659745</f>
        <v>2250101659745</v>
      </c>
      <c r="J324" s="3">
        <f>+2250102260658</f>
        <v>2250102260658</v>
      </c>
      <c r="K324" s="1" t="s">
        <v>19</v>
      </c>
      <c r="L324" s="4" t="s">
        <v>1232</v>
      </c>
    </row>
    <row r="325">
      <c r="A325" s="1" t="s">
        <v>12</v>
      </c>
      <c r="B325" s="1" t="s">
        <v>1233</v>
      </c>
      <c r="C325" s="1" t="s">
        <v>1230</v>
      </c>
      <c r="D325" s="1" t="s">
        <v>1234</v>
      </c>
      <c r="E325" s="5">
        <v>37911.0</v>
      </c>
      <c r="F325" s="1" t="s">
        <v>30</v>
      </c>
      <c r="G325" s="1" t="s">
        <v>76</v>
      </c>
      <c r="H325" s="1" t="s">
        <v>32</v>
      </c>
      <c r="I325" s="3">
        <f>+2250586016293</f>
        <v>2250586016293</v>
      </c>
      <c r="J325" s="3">
        <f>+2250709493320</f>
        <v>2250709493320</v>
      </c>
      <c r="K325" s="1" t="s">
        <v>19</v>
      </c>
      <c r="L325" s="4" t="s">
        <v>1235</v>
      </c>
    </row>
    <row r="326">
      <c r="A326" s="1" t="s">
        <v>12</v>
      </c>
      <c r="B326" s="1" t="s">
        <v>1236</v>
      </c>
      <c r="C326" s="1" t="s">
        <v>1230</v>
      </c>
      <c r="D326" s="1" t="s">
        <v>1237</v>
      </c>
      <c r="E326" s="2">
        <v>37062.0</v>
      </c>
      <c r="F326" s="1" t="s">
        <v>342</v>
      </c>
      <c r="G326" s="1" t="s">
        <v>82</v>
      </c>
      <c r="H326" s="1" t="s">
        <v>18</v>
      </c>
      <c r="I326" s="3">
        <f>+2250504138687</f>
        <v>2250504138687</v>
      </c>
      <c r="J326" s="3">
        <f>+2250101655848</f>
        <v>2250101655848</v>
      </c>
      <c r="K326" s="1" t="s">
        <v>19</v>
      </c>
      <c r="L326" s="4" t="s">
        <v>1238</v>
      </c>
    </row>
    <row r="327">
      <c r="A327" s="1" t="s">
        <v>12</v>
      </c>
      <c r="B327" s="1" t="s">
        <v>1239</v>
      </c>
      <c r="C327" s="1" t="s">
        <v>1230</v>
      </c>
      <c r="D327" s="1" t="s">
        <v>1240</v>
      </c>
      <c r="E327" s="5">
        <v>38313.0</v>
      </c>
      <c r="F327" s="1" t="s">
        <v>48</v>
      </c>
      <c r="G327" s="1" t="s">
        <v>31</v>
      </c>
      <c r="H327" s="1" t="s">
        <v>32</v>
      </c>
      <c r="I327" s="3">
        <f>+2250103612776</f>
        <v>2250103612776</v>
      </c>
      <c r="J327" s="3">
        <f>+2250103417947</f>
        <v>2250103417947</v>
      </c>
      <c r="K327" s="1" t="s">
        <v>19</v>
      </c>
      <c r="L327" s="4" t="s">
        <v>1241</v>
      </c>
    </row>
    <row r="328">
      <c r="A328" s="1" t="s">
        <v>12</v>
      </c>
      <c r="B328" s="1" t="s">
        <v>1242</v>
      </c>
      <c r="C328" s="1" t="s">
        <v>1230</v>
      </c>
      <c r="D328" s="1" t="s">
        <v>1243</v>
      </c>
      <c r="E328" s="2">
        <v>38359.0</v>
      </c>
      <c r="F328" s="1" t="s">
        <v>351</v>
      </c>
      <c r="G328" s="1" t="s">
        <v>31</v>
      </c>
      <c r="H328" s="1" t="s">
        <v>32</v>
      </c>
      <c r="I328" s="3">
        <f>+2250596329972</f>
        <v>2250596329972</v>
      </c>
      <c r="J328" s="3">
        <f>+2250707125209</f>
        <v>2250707125209</v>
      </c>
      <c r="K328" s="1" t="s">
        <v>19</v>
      </c>
      <c r="L328" s="4" t="s">
        <v>1244</v>
      </c>
    </row>
    <row r="329">
      <c r="A329" s="1" t="s">
        <v>12</v>
      </c>
      <c r="B329" s="1" t="s">
        <v>1245</v>
      </c>
      <c r="C329" s="1" t="s">
        <v>1246</v>
      </c>
      <c r="D329" s="1" t="s">
        <v>1247</v>
      </c>
      <c r="E329" s="5">
        <v>38281.0</v>
      </c>
      <c r="F329" s="1" t="s">
        <v>155</v>
      </c>
      <c r="G329" s="1" t="s">
        <v>76</v>
      </c>
      <c r="H329" s="1" t="s">
        <v>32</v>
      </c>
      <c r="I329" s="3">
        <f>+2250787585580</f>
        <v>2250787585580</v>
      </c>
      <c r="J329" s="3">
        <f>+2250708783670</f>
        <v>2250708783670</v>
      </c>
      <c r="K329" s="1" t="s">
        <v>19</v>
      </c>
      <c r="L329" s="4" t="s">
        <v>1248</v>
      </c>
    </row>
    <row r="330">
      <c r="A330" s="1" t="s">
        <v>12</v>
      </c>
      <c r="B330" s="1" t="s">
        <v>1249</v>
      </c>
      <c r="C330" s="1" t="s">
        <v>1250</v>
      </c>
      <c r="D330" s="1" t="s">
        <v>1251</v>
      </c>
      <c r="E330" s="2">
        <v>37674.0</v>
      </c>
      <c r="F330" s="1" t="s">
        <v>101</v>
      </c>
      <c r="G330" s="1" t="s">
        <v>31</v>
      </c>
      <c r="H330" s="1" t="s">
        <v>32</v>
      </c>
      <c r="I330" s="3">
        <f>+2250101403495</f>
        <v>2250101403495</v>
      </c>
      <c r="J330" s="3">
        <f>+2250102241224</f>
        <v>2250102241224</v>
      </c>
      <c r="K330" s="1" t="s">
        <v>19</v>
      </c>
      <c r="L330" s="4" t="s">
        <v>1252</v>
      </c>
    </row>
    <row r="331">
      <c r="A331" s="1" t="s">
        <v>12</v>
      </c>
      <c r="B331" s="1" t="s">
        <v>1253</v>
      </c>
      <c r="C331" s="1" t="s">
        <v>1254</v>
      </c>
      <c r="D331" s="1" t="s">
        <v>1255</v>
      </c>
      <c r="E331" s="2">
        <v>36262.0</v>
      </c>
      <c r="F331" s="1" t="s">
        <v>101</v>
      </c>
      <c r="G331" s="1" t="s">
        <v>31</v>
      </c>
      <c r="H331" s="1" t="s">
        <v>32</v>
      </c>
      <c r="I331" s="3">
        <f>+2250101510725</f>
        <v>2250101510725</v>
      </c>
      <c r="J331" s="3">
        <f>+2250705741685</f>
        <v>2250705741685</v>
      </c>
      <c r="K331" s="1" t="s">
        <v>19</v>
      </c>
      <c r="L331" s="4" t="s">
        <v>1256</v>
      </c>
    </row>
    <row r="332">
      <c r="A332" s="1" t="s">
        <v>12</v>
      </c>
      <c r="B332" s="1" t="s">
        <v>1257</v>
      </c>
      <c r="C332" s="1" t="s">
        <v>1258</v>
      </c>
      <c r="D332" s="1" t="s">
        <v>1259</v>
      </c>
      <c r="E332" s="2">
        <v>37792.0</v>
      </c>
      <c r="F332" s="1" t="s">
        <v>62</v>
      </c>
      <c r="G332" s="1" t="s">
        <v>17</v>
      </c>
      <c r="H332" s="1" t="s">
        <v>18</v>
      </c>
      <c r="I332" s="3">
        <f>+2250711127371</f>
        <v>2250711127371</v>
      </c>
      <c r="J332" s="3">
        <f>+2250768402124</f>
        <v>2250768402124</v>
      </c>
      <c r="K332" s="1" t="s">
        <v>19</v>
      </c>
      <c r="L332" s="4" t="s">
        <v>1260</v>
      </c>
    </row>
    <row r="333">
      <c r="A333" s="1" t="s">
        <v>12</v>
      </c>
      <c r="B333" s="1" t="s">
        <v>1261</v>
      </c>
      <c r="C333" s="1" t="s">
        <v>1262</v>
      </c>
      <c r="D333" s="1" t="s">
        <v>1263</v>
      </c>
      <c r="E333" s="2">
        <v>38101.0</v>
      </c>
      <c r="F333" s="1" t="s">
        <v>16</v>
      </c>
      <c r="G333" s="1" t="s">
        <v>25</v>
      </c>
      <c r="H333" s="1" t="s">
        <v>18</v>
      </c>
      <c r="I333" s="3">
        <f>+2250798880382</f>
        <v>2250798880382</v>
      </c>
      <c r="J333" s="3">
        <f>+2250787306517</f>
        <v>2250787306517</v>
      </c>
      <c r="K333" s="1" t="s">
        <v>19</v>
      </c>
      <c r="L333" s="4" t="s">
        <v>1264</v>
      </c>
    </row>
    <row r="334">
      <c r="A334" s="1" t="s">
        <v>12</v>
      </c>
      <c r="B334" s="1" t="s">
        <v>1265</v>
      </c>
      <c r="C334" s="1" t="s">
        <v>1266</v>
      </c>
      <c r="D334" s="1" t="s">
        <v>1267</v>
      </c>
      <c r="E334" s="2">
        <v>36833.0</v>
      </c>
      <c r="F334" s="1" t="s">
        <v>75</v>
      </c>
      <c r="G334" s="1" t="s">
        <v>31</v>
      </c>
      <c r="H334" s="1" t="s">
        <v>32</v>
      </c>
      <c r="I334" s="3">
        <f>+2250711661632</f>
        <v>2250711661632</v>
      </c>
      <c r="J334" s="3">
        <f>+2250707654383</f>
        <v>2250707654383</v>
      </c>
      <c r="K334" s="1" t="s">
        <v>19</v>
      </c>
      <c r="L334" s="4" t="s">
        <v>1268</v>
      </c>
    </row>
    <row r="335">
      <c r="A335" s="1" t="s">
        <v>12</v>
      </c>
      <c r="B335" s="1" t="s">
        <v>1269</v>
      </c>
      <c r="C335" s="1" t="s">
        <v>1270</v>
      </c>
      <c r="D335" s="1" t="s">
        <v>1271</v>
      </c>
      <c r="E335" s="2">
        <v>38119.0</v>
      </c>
      <c r="F335" s="1" t="s">
        <v>155</v>
      </c>
      <c r="G335" s="1" t="s">
        <v>76</v>
      </c>
      <c r="H335" s="1" t="s">
        <v>32</v>
      </c>
      <c r="I335" s="3">
        <f>+2250143522660</f>
        <v>2250143522660</v>
      </c>
      <c r="J335" s="3">
        <f>+2250747111644</f>
        <v>2250747111644</v>
      </c>
      <c r="K335" s="1" t="s">
        <v>19</v>
      </c>
      <c r="L335" s="4" t="s">
        <v>1272</v>
      </c>
    </row>
    <row r="336">
      <c r="A336" s="1" t="s">
        <v>12</v>
      </c>
      <c r="B336" s="1" t="s">
        <v>1273</v>
      </c>
      <c r="C336" s="1" t="s">
        <v>1274</v>
      </c>
      <c r="D336" s="1" t="s">
        <v>1275</v>
      </c>
      <c r="E336" s="2">
        <v>37424.0</v>
      </c>
      <c r="F336" s="1" t="s">
        <v>101</v>
      </c>
      <c r="G336" s="1" t="s">
        <v>76</v>
      </c>
      <c r="H336" s="1" t="s">
        <v>32</v>
      </c>
      <c r="I336" s="3">
        <f>+2250777117947</f>
        <v>2250777117947</v>
      </c>
      <c r="J336" s="3">
        <f>+2250707909298</f>
        <v>2250707909298</v>
      </c>
      <c r="K336" s="1" t="s">
        <v>19</v>
      </c>
      <c r="L336" s="4" t="s">
        <v>1276</v>
      </c>
    </row>
    <row r="337">
      <c r="A337" s="1" t="s">
        <v>12</v>
      </c>
      <c r="B337" s="1" t="s">
        <v>1277</v>
      </c>
      <c r="C337" s="1" t="s">
        <v>1274</v>
      </c>
      <c r="D337" s="1" t="s">
        <v>1278</v>
      </c>
      <c r="E337" s="2">
        <v>37313.0</v>
      </c>
      <c r="F337" s="1" t="s">
        <v>342</v>
      </c>
      <c r="G337" s="1" t="s">
        <v>82</v>
      </c>
      <c r="H337" s="1" t="s">
        <v>18</v>
      </c>
      <c r="I337" s="3">
        <f>+2250141239652</f>
        <v>2250141239652</v>
      </c>
      <c r="J337" s="3">
        <f>+2250707618908</f>
        <v>2250707618908</v>
      </c>
      <c r="K337" s="1" t="s">
        <v>19</v>
      </c>
      <c r="L337" s="4" t="s">
        <v>1279</v>
      </c>
    </row>
    <row r="338">
      <c r="A338" s="1" t="s">
        <v>12</v>
      </c>
      <c r="B338" s="1" t="s">
        <v>1280</v>
      </c>
      <c r="C338" s="1" t="s">
        <v>1281</v>
      </c>
      <c r="D338" s="1" t="s">
        <v>1282</v>
      </c>
      <c r="E338" s="2">
        <v>36331.0</v>
      </c>
      <c r="F338" s="1" t="s">
        <v>92</v>
      </c>
      <c r="G338" s="1" t="s">
        <v>31</v>
      </c>
      <c r="H338" s="1" t="s">
        <v>32</v>
      </c>
      <c r="I338" s="3">
        <f>+2250576638284</f>
        <v>2250576638284</v>
      </c>
      <c r="J338" s="3">
        <f>+2250708751384</f>
        <v>2250708751384</v>
      </c>
      <c r="K338" s="1" t="s">
        <v>19</v>
      </c>
      <c r="L338" s="4" t="s">
        <v>1283</v>
      </c>
    </row>
    <row r="339">
      <c r="A339" s="1" t="s">
        <v>12</v>
      </c>
      <c r="B339" s="1" t="s">
        <v>1284</v>
      </c>
      <c r="C339" s="1" t="s">
        <v>1285</v>
      </c>
      <c r="D339" s="1" t="s">
        <v>1286</v>
      </c>
      <c r="E339" s="5">
        <v>37917.0</v>
      </c>
      <c r="F339" s="1" t="s">
        <v>53</v>
      </c>
      <c r="G339" s="1" t="s">
        <v>17</v>
      </c>
      <c r="H339" s="1" t="s">
        <v>18</v>
      </c>
      <c r="I339" s="3">
        <f>+2250787199959</f>
        <v>2250787199959</v>
      </c>
      <c r="J339" s="3">
        <f>+2250544318723</f>
        <v>2250544318723</v>
      </c>
      <c r="K339" s="1" t="s">
        <v>19</v>
      </c>
      <c r="L339" s="4" t="s">
        <v>1287</v>
      </c>
    </row>
    <row r="340">
      <c r="A340" s="1" t="s">
        <v>12</v>
      </c>
      <c r="B340" s="1" t="s">
        <v>1288</v>
      </c>
      <c r="C340" s="1" t="s">
        <v>1289</v>
      </c>
      <c r="D340" s="1" t="s">
        <v>1290</v>
      </c>
      <c r="E340" s="2">
        <v>36074.0</v>
      </c>
      <c r="F340" s="1" t="s">
        <v>351</v>
      </c>
      <c r="G340" s="1" t="s">
        <v>17</v>
      </c>
      <c r="H340" s="1" t="s">
        <v>18</v>
      </c>
      <c r="I340" s="3">
        <f>+2250778989663</f>
        <v>2250778989663</v>
      </c>
      <c r="J340" s="3">
        <f>+2250779723870</f>
        <v>2250779723870</v>
      </c>
      <c r="K340" s="1" t="s">
        <v>19</v>
      </c>
      <c r="L340" s="4" t="s">
        <v>1291</v>
      </c>
    </row>
    <row r="341">
      <c r="A341" s="1" t="s">
        <v>12</v>
      </c>
      <c r="B341" s="1" t="s">
        <v>1292</v>
      </c>
      <c r="C341" s="1" t="s">
        <v>1293</v>
      </c>
      <c r="D341" s="1" t="s">
        <v>1294</v>
      </c>
      <c r="E341" s="5">
        <v>38714.0</v>
      </c>
      <c r="F341" s="1" t="s">
        <v>48</v>
      </c>
      <c r="G341" s="1" t="s">
        <v>76</v>
      </c>
      <c r="H341" s="1" t="s">
        <v>32</v>
      </c>
      <c r="I341" s="3">
        <f>+2250799644139</f>
        <v>2250799644139</v>
      </c>
      <c r="J341" s="3">
        <f>+2250779010911</f>
        <v>2250779010911</v>
      </c>
      <c r="K341" s="1" t="s">
        <v>19</v>
      </c>
      <c r="L341" s="4" t="s">
        <v>1295</v>
      </c>
    </row>
    <row r="342">
      <c r="A342" s="1" t="s">
        <v>12</v>
      </c>
      <c r="B342" s="1" t="s">
        <v>1296</v>
      </c>
      <c r="C342" s="1" t="s">
        <v>1297</v>
      </c>
      <c r="D342" s="1" t="s">
        <v>1298</v>
      </c>
      <c r="E342" s="2">
        <v>37817.0</v>
      </c>
      <c r="F342" s="1" t="s">
        <v>147</v>
      </c>
      <c r="G342" s="1" t="s">
        <v>17</v>
      </c>
      <c r="H342" s="1" t="s">
        <v>18</v>
      </c>
      <c r="I342" s="3">
        <f>+2250757018460</f>
        <v>2250757018460</v>
      </c>
      <c r="J342" s="3">
        <f>+2250749086980</f>
        <v>2250749086980</v>
      </c>
      <c r="K342" s="1" t="s">
        <v>19</v>
      </c>
      <c r="L342" s="4" t="s">
        <v>1299</v>
      </c>
    </row>
    <row r="343">
      <c r="A343" s="1" t="s">
        <v>12</v>
      </c>
      <c r="B343" s="1" t="s">
        <v>1300</v>
      </c>
      <c r="C343" s="1" t="s">
        <v>1297</v>
      </c>
      <c r="D343" s="1" t="s">
        <v>1301</v>
      </c>
      <c r="E343" s="2">
        <v>36897.0</v>
      </c>
      <c r="F343" s="1" t="s">
        <v>53</v>
      </c>
      <c r="G343" s="1" t="s">
        <v>25</v>
      </c>
      <c r="H343" s="1" t="s">
        <v>18</v>
      </c>
      <c r="I343" s="3">
        <f>+2250556110564</f>
        <v>2250556110564</v>
      </c>
      <c r="J343" s="3">
        <f>+2250777219497</f>
        <v>2250777219497</v>
      </c>
      <c r="K343" s="1" t="s">
        <v>19</v>
      </c>
      <c r="L343" s="4" t="s">
        <v>1302</v>
      </c>
    </row>
    <row r="344">
      <c r="A344" s="1" t="s">
        <v>12</v>
      </c>
      <c r="B344" s="1" t="s">
        <v>1303</v>
      </c>
      <c r="C344" s="1" t="s">
        <v>1304</v>
      </c>
      <c r="D344" s="1" t="s">
        <v>1305</v>
      </c>
      <c r="E344" s="2">
        <v>38175.0</v>
      </c>
      <c r="F344" s="1" t="s">
        <v>138</v>
      </c>
      <c r="G344" s="1" t="s">
        <v>31</v>
      </c>
      <c r="H344" s="1" t="s">
        <v>32</v>
      </c>
      <c r="I344" s="3">
        <f>+2250707675628</f>
        <v>2250707675628</v>
      </c>
      <c r="J344" s="3">
        <f>+2250101526563</f>
        <v>2250101526563</v>
      </c>
      <c r="K344" s="1" t="s">
        <v>19</v>
      </c>
      <c r="L344" s="4" t="s">
        <v>1306</v>
      </c>
    </row>
    <row r="345">
      <c r="A345" s="1" t="s">
        <v>12</v>
      </c>
      <c r="B345" s="1" t="s">
        <v>1307</v>
      </c>
      <c r="C345" s="1" t="s">
        <v>1308</v>
      </c>
      <c r="D345" s="1" t="s">
        <v>1309</v>
      </c>
      <c r="E345" s="5">
        <v>36482.0</v>
      </c>
      <c r="F345" s="1" t="s">
        <v>53</v>
      </c>
      <c r="G345" s="1" t="s">
        <v>17</v>
      </c>
      <c r="H345" s="1" t="s">
        <v>18</v>
      </c>
      <c r="I345" s="3">
        <f>+2250769203721</f>
        <v>2250769203721</v>
      </c>
      <c r="J345" s="3">
        <f>+2250759730845</f>
        <v>2250759730845</v>
      </c>
      <c r="K345" s="1" t="s">
        <v>19</v>
      </c>
      <c r="L345" s="4" t="s">
        <v>1310</v>
      </c>
    </row>
    <row r="346">
      <c r="A346" s="1" t="s">
        <v>12</v>
      </c>
      <c r="B346" s="1" t="s">
        <v>1311</v>
      </c>
      <c r="C346" s="1" t="s">
        <v>1308</v>
      </c>
      <c r="D346" s="1" t="s">
        <v>1312</v>
      </c>
      <c r="E346" s="2">
        <v>37138.0</v>
      </c>
      <c r="F346" s="1" t="s">
        <v>101</v>
      </c>
      <c r="G346" s="1" t="s">
        <v>31</v>
      </c>
      <c r="H346" s="1" t="s">
        <v>32</v>
      </c>
      <c r="I346" s="3">
        <f>+2250779706823</f>
        <v>2250779706823</v>
      </c>
      <c r="J346" s="3">
        <f>+2250101009625</f>
        <v>2250101009625</v>
      </c>
      <c r="K346" s="1" t="s">
        <v>19</v>
      </c>
      <c r="L346" s="4" t="s">
        <v>1313</v>
      </c>
    </row>
    <row r="347">
      <c r="A347" s="1" t="s">
        <v>12</v>
      </c>
      <c r="B347" s="1" t="s">
        <v>1314</v>
      </c>
      <c r="C347" s="1" t="s">
        <v>1315</v>
      </c>
      <c r="D347" s="1" t="s">
        <v>1316</v>
      </c>
      <c r="E347" s="2">
        <v>37281.0</v>
      </c>
      <c r="F347" s="1" t="s">
        <v>155</v>
      </c>
      <c r="G347" s="1" t="s">
        <v>31</v>
      </c>
      <c r="H347" s="1" t="s">
        <v>32</v>
      </c>
      <c r="I347" s="3">
        <f>+2250103238041</f>
        <v>2250103238041</v>
      </c>
      <c r="J347" s="3">
        <f>+2250707549745</f>
        <v>2250707549745</v>
      </c>
      <c r="K347" s="1" t="s">
        <v>19</v>
      </c>
      <c r="L347" s="4" t="s">
        <v>1317</v>
      </c>
    </row>
    <row r="348">
      <c r="A348" s="1" t="s">
        <v>12</v>
      </c>
      <c r="B348" s="1" t="s">
        <v>1318</v>
      </c>
      <c r="C348" s="1" t="s">
        <v>1319</v>
      </c>
      <c r="D348" s="1" t="s">
        <v>1320</v>
      </c>
      <c r="E348" s="2">
        <v>37711.0</v>
      </c>
      <c r="F348" s="1" t="s">
        <v>16</v>
      </c>
      <c r="G348" s="1" t="s">
        <v>25</v>
      </c>
      <c r="H348" s="1" t="s">
        <v>18</v>
      </c>
      <c r="I348" s="3">
        <f>+2250749619506</f>
        <v>2250749619506</v>
      </c>
      <c r="J348" s="3">
        <f>+2250708078229</f>
        <v>2250708078229</v>
      </c>
      <c r="K348" s="1" t="s">
        <v>19</v>
      </c>
      <c r="L348" s="4" t="s">
        <v>1321</v>
      </c>
    </row>
    <row r="349">
      <c r="A349" s="1" t="s">
        <v>12</v>
      </c>
      <c r="B349" s="1" t="s">
        <v>1322</v>
      </c>
      <c r="C349" s="1" t="s">
        <v>1323</v>
      </c>
      <c r="D349" s="1" t="s">
        <v>1324</v>
      </c>
      <c r="E349" s="2">
        <v>36591.0</v>
      </c>
      <c r="F349" s="1" t="s">
        <v>570</v>
      </c>
      <c r="G349" s="1" t="s">
        <v>82</v>
      </c>
      <c r="H349" s="1" t="s">
        <v>18</v>
      </c>
      <c r="I349" s="3">
        <f>+2250710007134</f>
        <v>2250710007134</v>
      </c>
      <c r="J349" s="3">
        <f>+2250709777564</f>
        <v>2250709777564</v>
      </c>
      <c r="K349" s="1" t="s">
        <v>19</v>
      </c>
      <c r="L349" s="4" t="s">
        <v>1325</v>
      </c>
    </row>
    <row r="350">
      <c r="A350" s="1" t="s">
        <v>12</v>
      </c>
      <c r="B350" s="1" t="s">
        <v>1326</v>
      </c>
      <c r="C350" s="1" t="s">
        <v>1327</v>
      </c>
      <c r="D350" s="1" t="s">
        <v>1328</v>
      </c>
      <c r="E350" s="5">
        <v>38301.0</v>
      </c>
      <c r="F350" s="1" t="s">
        <v>48</v>
      </c>
      <c r="G350" s="1" t="s">
        <v>76</v>
      </c>
      <c r="H350" s="1" t="s">
        <v>32</v>
      </c>
      <c r="I350" s="3">
        <f>+2250141183932</f>
        <v>2250141183932</v>
      </c>
      <c r="J350" s="3">
        <f>+2250749479832</f>
        <v>2250749479832</v>
      </c>
      <c r="K350" s="1" t="s">
        <v>19</v>
      </c>
      <c r="L350" s="4" t="s">
        <v>1329</v>
      </c>
    </row>
    <row r="351">
      <c r="A351" s="1" t="s">
        <v>12</v>
      </c>
      <c r="B351" s="1" t="s">
        <v>1330</v>
      </c>
      <c r="C351" s="1" t="s">
        <v>1331</v>
      </c>
      <c r="D351" s="1" t="s">
        <v>1332</v>
      </c>
      <c r="E351" s="2">
        <v>38370.0</v>
      </c>
      <c r="F351" s="1" t="s">
        <v>138</v>
      </c>
      <c r="G351" s="1" t="s">
        <v>31</v>
      </c>
      <c r="H351" s="1" t="s">
        <v>32</v>
      </c>
      <c r="I351" s="3">
        <f>+2250777243867</f>
        <v>2250777243867</v>
      </c>
      <c r="J351" s="3">
        <f>+2250707796467</f>
        <v>2250707796467</v>
      </c>
      <c r="K351" s="1" t="s">
        <v>19</v>
      </c>
      <c r="L351" s="4" t="s">
        <v>1333</v>
      </c>
    </row>
    <row r="352">
      <c r="A352" s="1" t="s">
        <v>12</v>
      </c>
      <c r="B352" s="1" t="s">
        <v>1334</v>
      </c>
      <c r="C352" s="1" t="s">
        <v>1335</v>
      </c>
      <c r="D352" s="1" t="s">
        <v>1336</v>
      </c>
      <c r="E352" s="2">
        <v>38162.0</v>
      </c>
      <c r="F352" s="1" t="s">
        <v>75</v>
      </c>
      <c r="G352" s="1" t="s">
        <v>76</v>
      </c>
      <c r="H352" s="1" t="s">
        <v>32</v>
      </c>
      <c r="I352" s="3">
        <f>+2250501188827</f>
        <v>2250501188827</v>
      </c>
      <c r="J352" s="3">
        <f>+2250758282195</f>
        <v>2250758282195</v>
      </c>
      <c r="K352" s="1" t="s">
        <v>19</v>
      </c>
      <c r="L352" s="4" t="s">
        <v>1337</v>
      </c>
    </row>
    <row r="353">
      <c r="A353" s="1" t="s">
        <v>12</v>
      </c>
      <c r="B353" s="1" t="s">
        <v>1338</v>
      </c>
      <c r="C353" s="1" t="s">
        <v>1335</v>
      </c>
      <c r="D353" s="1" t="s">
        <v>1339</v>
      </c>
      <c r="E353" s="2">
        <v>37626.0</v>
      </c>
      <c r="F353" s="1" t="s">
        <v>155</v>
      </c>
      <c r="G353" s="1" t="s">
        <v>31</v>
      </c>
      <c r="H353" s="1" t="s">
        <v>32</v>
      </c>
      <c r="I353" s="3">
        <f>+2250789379892</f>
        <v>2250789379892</v>
      </c>
      <c r="J353" s="3">
        <f>+2250709048616</f>
        <v>2250709048616</v>
      </c>
      <c r="K353" s="1" t="s">
        <v>19</v>
      </c>
      <c r="L353" s="4" t="s">
        <v>1340</v>
      </c>
    </row>
    <row r="354">
      <c r="A354" s="1" t="s">
        <v>12</v>
      </c>
      <c r="B354" s="1" t="s">
        <v>1341</v>
      </c>
      <c r="C354" s="1" t="s">
        <v>1335</v>
      </c>
      <c r="D354" s="1" t="s">
        <v>1342</v>
      </c>
      <c r="E354" s="2">
        <v>37535.0</v>
      </c>
      <c r="F354" s="1" t="s">
        <v>16</v>
      </c>
      <c r="G354" s="1" t="s">
        <v>17</v>
      </c>
      <c r="H354" s="1" t="s">
        <v>18</v>
      </c>
      <c r="I354" s="3">
        <f>+2250789816503</f>
        <v>2250789816503</v>
      </c>
      <c r="J354" s="3">
        <f>+2250707268247</f>
        <v>2250707268247</v>
      </c>
      <c r="K354" s="1" t="s">
        <v>19</v>
      </c>
      <c r="L354" s="4" t="s">
        <v>1343</v>
      </c>
    </row>
    <row r="355">
      <c r="A355" s="1" t="s">
        <v>12</v>
      </c>
      <c r="B355" s="1" t="s">
        <v>1344</v>
      </c>
      <c r="C355" s="1" t="s">
        <v>1345</v>
      </c>
      <c r="D355" s="1" t="s">
        <v>1346</v>
      </c>
      <c r="E355" s="2">
        <v>37896.0</v>
      </c>
      <c r="F355" s="1" t="s">
        <v>87</v>
      </c>
      <c r="G355" s="1" t="s">
        <v>31</v>
      </c>
      <c r="H355" s="1" t="s">
        <v>32</v>
      </c>
      <c r="I355" s="3">
        <f t="shared" ref="I355:J355" si="12">+2250711129306</f>
        <v>2250711129306</v>
      </c>
      <c r="J355" s="3">
        <f t="shared" si="12"/>
        <v>2250711129306</v>
      </c>
      <c r="K355" s="1" t="s">
        <v>19</v>
      </c>
      <c r="L355" s="4" t="s">
        <v>1347</v>
      </c>
    </row>
    <row r="356">
      <c r="A356" s="1" t="s">
        <v>12</v>
      </c>
      <c r="B356" s="1" t="s">
        <v>1348</v>
      </c>
      <c r="C356" s="1" t="s">
        <v>1349</v>
      </c>
      <c r="D356" s="1" t="s">
        <v>1350</v>
      </c>
      <c r="E356" s="2">
        <v>36467.0</v>
      </c>
      <c r="F356" s="1" t="s">
        <v>24</v>
      </c>
      <c r="G356" s="1" t="s">
        <v>82</v>
      </c>
      <c r="H356" s="1" t="s">
        <v>18</v>
      </c>
      <c r="I356" s="3">
        <f>+2250758608463</f>
        <v>2250758608463</v>
      </c>
      <c r="J356" s="3">
        <f>+2250748376227</f>
        <v>2250748376227</v>
      </c>
      <c r="K356" s="1" t="s">
        <v>19</v>
      </c>
      <c r="L356" s="4" t="s">
        <v>1351</v>
      </c>
    </row>
    <row r="357">
      <c r="A357" s="1" t="s">
        <v>12</v>
      </c>
      <c r="B357" s="1" t="s">
        <v>1352</v>
      </c>
      <c r="C357" s="1" t="s">
        <v>1349</v>
      </c>
      <c r="D357" s="1" t="s">
        <v>1353</v>
      </c>
      <c r="E357" s="5">
        <v>38337.0</v>
      </c>
      <c r="F357" s="1" t="s">
        <v>167</v>
      </c>
      <c r="G357" s="1" t="s">
        <v>17</v>
      </c>
      <c r="H357" s="1" t="s">
        <v>18</v>
      </c>
      <c r="I357" s="3">
        <f>+2250141605118</f>
        <v>2250141605118</v>
      </c>
      <c r="J357" s="3">
        <f>+2250748629283</f>
        <v>2250748629283</v>
      </c>
      <c r="K357" s="1" t="s">
        <v>19</v>
      </c>
      <c r="L357" s="4" t="s">
        <v>1354</v>
      </c>
    </row>
    <row r="358">
      <c r="A358" s="1" t="s">
        <v>12</v>
      </c>
      <c r="B358" s="1" t="s">
        <v>1355</v>
      </c>
      <c r="C358" s="1" t="s">
        <v>1356</v>
      </c>
      <c r="D358" s="1" t="s">
        <v>1357</v>
      </c>
      <c r="E358" s="2">
        <v>37377.0</v>
      </c>
      <c r="F358" s="1" t="s">
        <v>24</v>
      </c>
      <c r="G358" s="1" t="s">
        <v>82</v>
      </c>
      <c r="H358" s="1" t="s">
        <v>18</v>
      </c>
      <c r="I358" s="3">
        <f>+2250151971770</f>
        <v>2250151971770</v>
      </c>
      <c r="J358" s="3">
        <f>+2250708384155</f>
        <v>2250708384155</v>
      </c>
      <c r="K358" s="1" t="s">
        <v>19</v>
      </c>
      <c r="L358" s="4" t="s">
        <v>1358</v>
      </c>
    </row>
    <row r="359">
      <c r="A359" s="1" t="s">
        <v>12</v>
      </c>
      <c r="B359" s="1" t="s">
        <v>1359</v>
      </c>
      <c r="C359" s="1" t="s">
        <v>1360</v>
      </c>
      <c r="D359" s="1" t="s">
        <v>1361</v>
      </c>
      <c r="E359" s="2">
        <v>38031.0</v>
      </c>
      <c r="F359" s="1" t="s">
        <v>62</v>
      </c>
      <c r="G359" s="1" t="s">
        <v>82</v>
      </c>
      <c r="H359" s="1" t="s">
        <v>18</v>
      </c>
      <c r="I359" s="3">
        <f>+2250754562343</f>
        <v>2250754562343</v>
      </c>
      <c r="J359" s="3">
        <f>+2250749475504</f>
        <v>2250749475504</v>
      </c>
      <c r="K359" s="1" t="s">
        <v>19</v>
      </c>
      <c r="L359" s="4" t="s">
        <v>1362</v>
      </c>
    </row>
    <row r="360">
      <c r="A360" s="1" t="s">
        <v>12</v>
      </c>
      <c r="B360" s="1" t="s">
        <v>1363</v>
      </c>
      <c r="C360" s="1" t="s">
        <v>1364</v>
      </c>
      <c r="D360" s="1" t="s">
        <v>1365</v>
      </c>
      <c r="E360" s="2">
        <v>38009.0</v>
      </c>
      <c r="F360" s="1" t="s">
        <v>48</v>
      </c>
      <c r="G360" s="1" t="s">
        <v>31</v>
      </c>
      <c r="H360" s="1" t="s">
        <v>32</v>
      </c>
      <c r="I360" s="3">
        <f>+2250703035542</f>
        <v>2250703035542</v>
      </c>
      <c r="J360" s="3">
        <f>+2250709578435</f>
        <v>2250709578435</v>
      </c>
      <c r="K360" s="1" t="s">
        <v>19</v>
      </c>
      <c r="L360" s="4" t="s">
        <v>1366</v>
      </c>
    </row>
    <row r="361">
      <c r="A361" s="1" t="s">
        <v>12</v>
      </c>
      <c r="B361" s="1" t="s">
        <v>1367</v>
      </c>
      <c r="C361" s="1" t="s">
        <v>1368</v>
      </c>
      <c r="D361" s="1" t="s">
        <v>1369</v>
      </c>
      <c r="E361" s="2">
        <v>37096.0</v>
      </c>
      <c r="F361" s="1" t="s">
        <v>62</v>
      </c>
      <c r="G361" s="1" t="s">
        <v>17</v>
      </c>
      <c r="H361" s="1" t="s">
        <v>18</v>
      </c>
      <c r="I361" s="3">
        <f>+2250545960003</f>
        <v>2250545960003</v>
      </c>
      <c r="J361" s="3">
        <f>+2250506364879</f>
        <v>2250506364879</v>
      </c>
      <c r="K361" s="1" t="s">
        <v>19</v>
      </c>
      <c r="L361" s="4" t="s">
        <v>1370</v>
      </c>
    </row>
    <row r="362">
      <c r="A362" s="1" t="s">
        <v>12</v>
      </c>
      <c r="B362" s="1" t="s">
        <v>1371</v>
      </c>
      <c r="C362" s="1" t="s">
        <v>1372</v>
      </c>
      <c r="D362" s="1" t="s">
        <v>1373</v>
      </c>
      <c r="E362" s="2">
        <v>37410.0</v>
      </c>
      <c r="F362" s="1" t="s">
        <v>48</v>
      </c>
      <c r="G362" s="1" t="s">
        <v>31</v>
      </c>
      <c r="H362" s="1" t="s">
        <v>32</v>
      </c>
      <c r="I362" s="3">
        <f>+2250575188253</f>
        <v>2250575188253</v>
      </c>
      <c r="J362" s="3">
        <f>+2250757359552</f>
        <v>2250757359552</v>
      </c>
      <c r="K362" s="1" t="s">
        <v>19</v>
      </c>
      <c r="L362" s="4" t="s">
        <v>1374</v>
      </c>
    </row>
    <row r="363">
      <c r="A363" s="1" t="s">
        <v>12</v>
      </c>
      <c r="B363" s="1" t="s">
        <v>1375</v>
      </c>
      <c r="C363" s="1" t="s">
        <v>1376</v>
      </c>
      <c r="D363" s="1" t="s">
        <v>1377</v>
      </c>
      <c r="E363" s="2">
        <v>37622.0</v>
      </c>
      <c r="F363" s="1" t="s">
        <v>138</v>
      </c>
      <c r="G363" s="1" t="s">
        <v>76</v>
      </c>
      <c r="H363" s="1" t="s">
        <v>32</v>
      </c>
      <c r="I363" s="3">
        <f>+2250172608476</f>
        <v>2250172608476</v>
      </c>
      <c r="J363" s="3">
        <f>+2250759557043</f>
        <v>2250759557043</v>
      </c>
      <c r="K363" s="1" t="s">
        <v>19</v>
      </c>
      <c r="L363" s="4" t="s">
        <v>1378</v>
      </c>
    </row>
    <row r="364">
      <c r="A364" s="1" t="s">
        <v>12</v>
      </c>
      <c r="B364" s="1" t="s">
        <v>1379</v>
      </c>
      <c r="C364" s="1" t="s">
        <v>1380</v>
      </c>
      <c r="D364" s="1" t="s">
        <v>1381</v>
      </c>
      <c r="E364" s="2">
        <v>38441.0</v>
      </c>
      <c r="F364" s="1" t="s">
        <v>53</v>
      </c>
      <c r="G364" s="1" t="s">
        <v>25</v>
      </c>
      <c r="H364" s="1" t="s">
        <v>18</v>
      </c>
      <c r="I364" s="3">
        <f>+2250789058696</f>
        <v>2250789058696</v>
      </c>
      <c r="J364" s="3">
        <f>+2250709021458</f>
        <v>2250709021458</v>
      </c>
      <c r="K364" s="1" t="s">
        <v>19</v>
      </c>
      <c r="L364" s="4" t="s">
        <v>1382</v>
      </c>
    </row>
    <row r="365">
      <c r="A365" s="1" t="s">
        <v>12</v>
      </c>
      <c r="B365" s="1" t="s">
        <v>1383</v>
      </c>
      <c r="C365" s="1" t="s">
        <v>1384</v>
      </c>
      <c r="D365" s="1" t="s">
        <v>1385</v>
      </c>
      <c r="E365" s="2">
        <v>37761.0</v>
      </c>
      <c r="F365" s="1" t="s">
        <v>81</v>
      </c>
      <c r="G365" s="1" t="s">
        <v>82</v>
      </c>
      <c r="H365" s="1" t="s">
        <v>18</v>
      </c>
      <c r="I365" s="3">
        <f>+2250585956634</f>
        <v>2250585956634</v>
      </c>
      <c r="J365" s="3">
        <f>+2250556113933</f>
        <v>2250556113933</v>
      </c>
      <c r="K365" s="1" t="s">
        <v>19</v>
      </c>
      <c r="L365" s="4" t="s">
        <v>1386</v>
      </c>
    </row>
    <row r="366">
      <c r="A366" s="1" t="s">
        <v>12</v>
      </c>
      <c r="B366" s="1" t="s">
        <v>1387</v>
      </c>
      <c r="C366" s="1" t="s">
        <v>1388</v>
      </c>
      <c r="D366" s="1" t="s">
        <v>1389</v>
      </c>
      <c r="E366" s="2">
        <v>37721.0</v>
      </c>
      <c r="F366" s="1" t="s">
        <v>53</v>
      </c>
      <c r="G366" s="1" t="s">
        <v>25</v>
      </c>
      <c r="H366" s="1" t="s">
        <v>18</v>
      </c>
      <c r="I366" s="3">
        <f>+2250564151066</f>
        <v>2250564151066</v>
      </c>
      <c r="J366" s="3">
        <f>+2250555091259</f>
        <v>2250555091259</v>
      </c>
      <c r="K366" s="1" t="s">
        <v>19</v>
      </c>
      <c r="L366" s="4" t="s">
        <v>1390</v>
      </c>
    </row>
    <row r="367">
      <c r="A367" s="1" t="s">
        <v>12</v>
      </c>
      <c r="B367" s="1" t="s">
        <v>1391</v>
      </c>
      <c r="C367" s="1" t="s">
        <v>1388</v>
      </c>
      <c r="D367" s="1" t="s">
        <v>1392</v>
      </c>
      <c r="E367" s="5">
        <v>37947.0</v>
      </c>
      <c r="F367" s="1" t="s">
        <v>62</v>
      </c>
      <c r="G367" s="1" t="s">
        <v>17</v>
      </c>
      <c r="H367" s="1" t="s">
        <v>18</v>
      </c>
      <c r="I367" s="3">
        <f>+2250544384453</f>
        <v>2250544384453</v>
      </c>
      <c r="J367" s="3">
        <f>+2250749745378</f>
        <v>2250749745378</v>
      </c>
      <c r="K367" s="1" t="s">
        <v>19</v>
      </c>
      <c r="L367" s="4" t="s">
        <v>1393</v>
      </c>
    </row>
    <row r="368">
      <c r="A368" s="1" t="s">
        <v>12</v>
      </c>
      <c r="B368" s="1" t="s">
        <v>1394</v>
      </c>
      <c r="C368" s="1" t="s">
        <v>1395</v>
      </c>
      <c r="D368" s="1" t="s">
        <v>1396</v>
      </c>
      <c r="E368" s="2">
        <v>37785.0</v>
      </c>
      <c r="F368" s="1" t="s">
        <v>16</v>
      </c>
      <c r="G368" s="1" t="s">
        <v>17</v>
      </c>
      <c r="H368" s="1" t="s">
        <v>18</v>
      </c>
      <c r="I368" s="3">
        <f>+2250777277667</f>
        <v>2250777277667</v>
      </c>
      <c r="J368" s="3">
        <f>+2250747942587</f>
        <v>2250747942587</v>
      </c>
      <c r="K368" s="1" t="s">
        <v>19</v>
      </c>
      <c r="L368" s="4" t="s">
        <v>1397</v>
      </c>
    </row>
    <row r="369">
      <c r="A369" s="1" t="s">
        <v>12</v>
      </c>
      <c r="B369" s="1" t="s">
        <v>1398</v>
      </c>
      <c r="C369" s="1" t="s">
        <v>1399</v>
      </c>
      <c r="D369" s="1" t="s">
        <v>1400</v>
      </c>
      <c r="E369" s="2">
        <v>37634.0</v>
      </c>
      <c r="F369" s="1" t="s">
        <v>53</v>
      </c>
      <c r="G369" s="1" t="s">
        <v>17</v>
      </c>
      <c r="H369" s="1" t="s">
        <v>18</v>
      </c>
      <c r="I369" s="3">
        <f>+2250787042767</f>
        <v>2250787042767</v>
      </c>
      <c r="J369" s="3">
        <f>+22507484738</f>
        <v>22507484738</v>
      </c>
      <c r="K369" s="1" t="s">
        <v>19</v>
      </c>
      <c r="L369" s="4" t="s">
        <v>1401</v>
      </c>
    </row>
    <row r="370">
      <c r="A370" s="1" t="s">
        <v>12</v>
      </c>
      <c r="B370" s="1" t="s">
        <v>1402</v>
      </c>
      <c r="C370" s="1" t="s">
        <v>1399</v>
      </c>
      <c r="D370" s="1" t="s">
        <v>1403</v>
      </c>
      <c r="E370" s="2">
        <v>36910.0</v>
      </c>
      <c r="F370" s="1" t="s">
        <v>24</v>
      </c>
      <c r="G370" s="1" t="s">
        <v>17</v>
      </c>
      <c r="H370" s="1" t="s">
        <v>18</v>
      </c>
      <c r="I370" s="3">
        <f>+2250151968033</f>
        <v>2250151968033</v>
      </c>
      <c r="J370" s="3">
        <f>+2250546379288</f>
        <v>2250546379288</v>
      </c>
      <c r="K370" s="1" t="s">
        <v>19</v>
      </c>
      <c r="L370" s="4" t="s">
        <v>1404</v>
      </c>
    </row>
    <row r="371">
      <c r="A371" s="1" t="s">
        <v>12</v>
      </c>
      <c r="B371" s="1" t="s">
        <v>1405</v>
      </c>
      <c r="C371" s="1" t="s">
        <v>1406</v>
      </c>
      <c r="D371" s="1" t="s">
        <v>1407</v>
      </c>
      <c r="E371" s="2">
        <v>37081.0</v>
      </c>
      <c r="F371" s="1" t="s">
        <v>53</v>
      </c>
      <c r="G371" s="1" t="s">
        <v>25</v>
      </c>
      <c r="H371" s="1" t="s">
        <v>18</v>
      </c>
      <c r="I371" s="3">
        <f>+2250778341866</f>
        <v>2250778341866</v>
      </c>
      <c r="J371" s="3">
        <f>+2250505640429</f>
        <v>2250505640429</v>
      </c>
      <c r="K371" s="1" t="s">
        <v>19</v>
      </c>
      <c r="L371" s="4" t="s">
        <v>1408</v>
      </c>
    </row>
    <row r="372">
      <c r="A372" s="1" t="s">
        <v>12</v>
      </c>
      <c r="B372" s="1" t="s">
        <v>1409</v>
      </c>
      <c r="C372" s="1" t="s">
        <v>1410</v>
      </c>
      <c r="D372" s="1" t="s">
        <v>1411</v>
      </c>
      <c r="E372" s="5">
        <v>37584.0</v>
      </c>
      <c r="F372" s="1" t="s">
        <v>30</v>
      </c>
      <c r="G372" s="1" t="s">
        <v>31</v>
      </c>
      <c r="H372" s="1" t="s">
        <v>32</v>
      </c>
      <c r="I372" s="3">
        <f>+2250103933708</f>
        <v>2250103933708</v>
      </c>
      <c r="J372" s="3">
        <f>+2250102200204</f>
        <v>2250102200204</v>
      </c>
      <c r="K372" s="1" t="s">
        <v>19</v>
      </c>
      <c r="L372" s="4" t="s">
        <v>1412</v>
      </c>
    </row>
    <row r="373">
      <c r="A373" s="1" t="s">
        <v>12</v>
      </c>
      <c r="B373" s="1" t="s">
        <v>1413</v>
      </c>
      <c r="C373" s="1" t="s">
        <v>1410</v>
      </c>
      <c r="D373" s="1" t="s">
        <v>1414</v>
      </c>
      <c r="E373" s="5">
        <v>37588.0</v>
      </c>
      <c r="F373" s="1" t="s">
        <v>351</v>
      </c>
      <c r="G373" s="1" t="s">
        <v>82</v>
      </c>
      <c r="H373" s="1" t="s">
        <v>18</v>
      </c>
      <c r="I373" s="3">
        <f>+2250767752452</f>
        <v>2250767752452</v>
      </c>
      <c r="J373" s="3">
        <f>+2250504828904</f>
        <v>2250504828904</v>
      </c>
      <c r="K373" s="1" t="s">
        <v>19</v>
      </c>
      <c r="L373" s="4" t="s">
        <v>1415</v>
      </c>
    </row>
    <row r="374">
      <c r="A374" s="1" t="s">
        <v>12</v>
      </c>
      <c r="B374" s="1" t="s">
        <v>1416</v>
      </c>
      <c r="C374" s="1" t="s">
        <v>1410</v>
      </c>
      <c r="D374" s="1" t="s">
        <v>1417</v>
      </c>
      <c r="E374" s="5">
        <v>38304.0</v>
      </c>
      <c r="F374" s="1" t="s">
        <v>30</v>
      </c>
      <c r="G374" s="1" t="s">
        <v>76</v>
      </c>
      <c r="H374" s="1" t="s">
        <v>32</v>
      </c>
      <c r="I374" s="3">
        <f>+2250150345214</f>
        <v>2250150345214</v>
      </c>
      <c r="J374" s="3">
        <f>+2250504049865</f>
        <v>2250504049865</v>
      </c>
      <c r="K374" s="1" t="s">
        <v>19</v>
      </c>
      <c r="L374" s="4" t="s">
        <v>1418</v>
      </c>
    </row>
    <row r="375">
      <c r="A375" s="1" t="s">
        <v>12</v>
      </c>
      <c r="B375" s="1" t="s">
        <v>1419</v>
      </c>
      <c r="C375" s="1" t="s">
        <v>1420</v>
      </c>
      <c r="D375" s="1" t="s">
        <v>1421</v>
      </c>
      <c r="E375" s="2">
        <v>38538.0</v>
      </c>
      <c r="F375" s="1" t="s">
        <v>288</v>
      </c>
      <c r="G375" s="1" t="s">
        <v>76</v>
      </c>
      <c r="H375" s="1" t="s">
        <v>32</v>
      </c>
      <c r="I375" s="3">
        <f>+2250788330089</f>
        <v>2250788330089</v>
      </c>
      <c r="J375" s="3">
        <f>+2250707320490</f>
        <v>2250707320490</v>
      </c>
      <c r="K375" s="1" t="s">
        <v>19</v>
      </c>
      <c r="L375" s="4" t="s">
        <v>1422</v>
      </c>
    </row>
    <row r="376">
      <c r="A376" s="1" t="s">
        <v>12</v>
      </c>
      <c r="B376" s="1" t="s">
        <v>1423</v>
      </c>
      <c r="C376" s="1" t="s">
        <v>1424</v>
      </c>
      <c r="D376" s="1" t="s">
        <v>1425</v>
      </c>
      <c r="E376" s="2">
        <v>38758.0</v>
      </c>
      <c r="F376" s="1" t="s">
        <v>101</v>
      </c>
      <c r="G376" s="1" t="s">
        <v>76</v>
      </c>
      <c r="H376" s="1" t="s">
        <v>32</v>
      </c>
      <c r="I376" s="3">
        <f>+2250140390978</f>
        <v>2250140390978</v>
      </c>
      <c r="J376" s="3">
        <f>+2250153475857</f>
        <v>2250153475857</v>
      </c>
      <c r="K376" s="1" t="s">
        <v>19</v>
      </c>
      <c r="L376" s="4" t="s">
        <v>1426</v>
      </c>
    </row>
    <row r="377">
      <c r="A377" s="1" t="s">
        <v>12</v>
      </c>
      <c r="B377" s="1" t="s">
        <v>1427</v>
      </c>
      <c r="C377" s="1" t="s">
        <v>1428</v>
      </c>
      <c r="D377" s="1" t="s">
        <v>1429</v>
      </c>
      <c r="E377" s="2">
        <v>37562.0</v>
      </c>
      <c r="F377" s="1" t="s">
        <v>75</v>
      </c>
      <c r="G377" s="1" t="s">
        <v>31</v>
      </c>
      <c r="H377" s="1" t="s">
        <v>32</v>
      </c>
      <c r="I377" s="3">
        <f>+2250575249502</f>
        <v>2250575249502</v>
      </c>
      <c r="J377" s="3">
        <f>+2250567410629</f>
        <v>2250567410629</v>
      </c>
      <c r="K377" s="1" t="s">
        <v>19</v>
      </c>
      <c r="L377" s="4" t="s">
        <v>1430</v>
      </c>
    </row>
    <row r="378">
      <c r="A378" s="1" t="s">
        <v>12</v>
      </c>
      <c r="B378" s="1" t="s">
        <v>1431</v>
      </c>
      <c r="C378" s="1" t="s">
        <v>1432</v>
      </c>
      <c r="D378" s="1" t="s">
        <v>1433</v>
      </c>
      <c r="E378" s="2">
        <v>37851.0</v>
      </c>
      <c r="F378" s="1" t="s">
        <v>92</v>
      </c>
      <c r="G378" s="1" t="s">
        <v>76</v>
      </c>
      <c r="H378" s="1" t="s">
        <v>32</v>
      </c>
      <c r="I378" s="3">
        <f>+2250141763240</f>
        <v>2250141763240</v>
      </c>
      <c r="J378" s="3">
        <f>+2250141017868</f>
        <v>2250141017868</v>
      </c>
      <c r="K378" s="1" t="s">
        <v>19</v>
      </c>
      <c r="L378" s="4" t="s">
        <v>1434</v>
      </c>
    </row>
    <row r="379">
      <c r="A379" s="1" t="s">
        <v>12</v>
      </c>
      <c r="B379" s="1" t="s">
        <v>1435</v>
      </c>
      <c r="C379" s="1" t="s">
        <v>1436</v>
      </c>
      <c r="D379" s="1" t="s">
        <v>1437</v>
      </c>
      <c r="E379" s="5">
        <v>37252.0</v>
      </c>
      <c r="F379" s="1" t="s">
        <v>37</v>
      </c>
      <c r="G379" s="1" t="s">
        <v>82</v>
      </c>
      <c r="H379" s="1" t="s">
        <v>18</v>
      </c>
      <c r="I379" s="3">
        <f>+2250789481935</f>
        <v>2250789481935</v>
      </c>
      <c r="J379" s="3">
        <f>+2250707289626</f>
        <v>2250707289626</v>
      </c>
      <c r="K379" s="1" t="s">
        <v>19</v>
      </c>
      <c r="L379" s="4" t="s">
        <v>1438</v>
      </c>
    </row>
    <row r="380">
      <c r="A380" s="1" t="s">
        <v>12</v>
      </c>
      <c r="B380" s="1" t="s">
        <v>1439</v>
      </c>
      <c r="C380" s="1" t="s">
        <v>1436</v>
      </c>
      <c r="D380" s="1" t="s">
        <v>1440</v>
      </c>
      <c r="E380" s="2">
        <v>37456.0</v>
      </c>
      <c r="F380" s="1" t="s">
        <v>53</v>
      </c>
      <c r="G380" s="1" t="s">
        <v>17</v>
      </c>
      <c r="H380" s="1" t="s">
        <v>18</v>
      </c>
      <c r="I380" s="3">
        <f>+2250596800233</f>
        <v>2250596800233</v>
      </c>
      <c r="J380" s="3">
        <f>+2250708385114</f>
        <v>2250708385114</v>
      </c>
      <c r="K380" s="1" t="s">
        <v>19</v>
      </c>
      <c r="L380" s="4" t="s">
        <v>1441</v>
      </c>
    </row>
    <row r="381">
      <c r="A381" s="1" t="s">
        <v>12</v>
      </c>
      <c r="B381" s="1" t="s">
        <v>1442</v>
      </c>
      <c r="C381" s="1" t="s">
        <v>1443</v>
      </c>
      <c r="D381" s="1" t="s">
        <v>1444</v>
      </c>
      <c r="E381" s="2">
        <v>37729.0</v>
      </c>
      <c r="F381" s="1" t="s">
        <v>75</v>
      </c>
      <c r="G381" s="1" t="s">
        <v>76</v>
      </c>
      <c r="H381" s="1" t="s">
        <v>32</v>
      </c>
      <c r="I381" s="3" t="str">
        <f>+225077!595365</f>
        <v>#ERROR!</v>
      </c>
      <c r="J381" s="3">
        <f>+2250708180238</f>
        <v>2250708180238</v>
      </c>
      <c r="K381" s="1" t="s">
        <v>19</v>
      </c>
      <c r="L381" s="4" t="s">
        <v>1445</v>
      </c>
    </row>
    <row r="382">
      <c r="A382" s="1" t="s">
        <v>12</v>
      </c>
      <c r="B382" s="1" t="s">
        <v>1446</v>
      </c>
      <c r="C382" s="1" t="s">
        <v>1443</v>
      </c>
      <c r="D382" s="1" t="s">
        <v>1447</v>
      </c>
      <c r="E382" s="2">
        <v>37070.0</v>
      </c>
      <c r="F382" s="1" t="s">
        <v>16</v>
      </c>
      <c r="G382" s="1" t="s">
        <v>25</v>
      </c>
      <c r="H382" s="1" t="s">
        <v>18</v>
      </c>
      <c r="I382" s="3">
        <f>+2250767513231</f>
        <v>2250767513231</v>
      </c>
      <c r="J382" s="3">
        <f>+2250708828378</f>
        <v>2250708828378</v>
      </c>
      <c r="K382" s="1" t="s">
        <v>19</v>
      </c>
      <c r="L382" s="4" t="s">
        <v>1448</v>
      </c>
    </row>
    <row r="383">
      <c r="A383" s="1" t="s">
        <v>12</v>
      </c>
      <c r="B383" s="1" t="s">
        <v>1449</v>
      </c>
      <c r="C383" s="1" t="s">
        <v>1443</v>
      </c>
      <c r="D383" s="1" t="s">
        <v>1450</v>
      </c>
      <c r="E383" s="2">
        <v>37663.0</v>
      </c>
      <c r="F383" s="1" t="s">
        <v>167</v>
      </c>
      <c r="G383" s="1" t="s">
        <v>25</v>
      </c>
      <c r="H383" s="1" t="s">
        <v>18</v>
      </c>
      <c r="I383" s="3">
        <f>+2250584780385</f>
        <v>2250584780385</v>
      </c>
      <c r="J383" s="3">
        <f>+2250505921885</f>
        <v>2250505921885</v>
      </c>
      <c r="K383" s="1" t="s">
        <v>19</v>
      </c>
      <c r="L383" s="4" t="s">
        <v>1451</v>
      </c>
    </row>
    <row r="384">
      <c r="A384" s="1" t="s">
        <v>12</v>
      </c>
      <c r="B384" s="1" t="s">
        <v>1452</v>
      </c>
      <c r="C384" s="1" t="s">
        <v>1443</v>
      </c>
      <c r="D384" s="1" t="s">
        <v>1453</v>
      </c>
      <c r="E384" s="2">
        <v>38220.0</v>
      </c>
      <c r="F384" s="1" t="s">
        <v>62</v>
      </c>
      <c r="G384" s="1" t="s">
        <v>17</v>
      </c>
      <c r="H384" s="1" t="s">
        <v>18</v>
      </c>
      <c r="I384" s="3">
        <f>+2250140607015</f>
        <v>2250140607015</v>
      </c>
      <c r="J384" s="3">
        <f>+2250103566281</f>
        <v>2250103566281</v>
      </c>
      <c r="K384" s="1" t="s">
        <v>19</v>
      </c>
      <c r="L384" s="4" t="s">
        <v>1454</v>
      </c>
    </row>
    <row r="385">
      <c r="A385" s="1" t="s">
        <v>12</v>
      </c>
      <c r="B385" s="1" t="s">
        <v>1455</v>
      </c>
      <c r="C385" s="1" t="s">
        <v>1456</v>
      </c>
      <c r="D385" s="1" t="s">
        <v>1457</v>
      </c>
      <c r="E385" s="2">
        <v>37651.0</v>
      </c>
      <c r="F385" s="1" t="s">
        <v>30</v>
      </c>
      <c r="G385" s="1" t="s">
        <v>76</v>
      </c>
      <c r="H385" s="1" t="s">
        <v>32</v>
      </c>
      <c r="I385" s="3">
        <f>+2250142986560</f>
        <v>2250142986560</v>
      </c>
      <c r="J385" s="3">
        <f>+2250505683056</f>
        <v>2250505683056</v>
      </c>
      <c r="K385" s="1" t="s">
        <v>19</v>
      </c>
      <c r="L385" s="4" t="s">
        <v>1458</v>
      </c>
    </row>
    <row r="386">
      <c r="A386" s="1" t="s">
        <v>12</v>
      </c>
      <c r="B386" s="1" t="s">
        <v>1459</v>
      </c>
      <c r="C386" s="1" t="s">
        <v>1460</v>
      </c>
      <c r="D386" s="1" t="s">
        <v>1461</v>
      </c>
      <c r="E386" s="2">
        <v>37675.0</v>
      </c>
      <c r="F386" s="1" t="s">
        <v>70</v>
      </c>
      <c r="G386" s="1" t="s">
        <v>31</v>
      </c>
      <c r="H386" s="1" t="s">
        <v>32</v>
      </c>
      <c r="I386" s="3">
        <f>+2250173247225</f>
        <v>2250173247225</v>
      </c>
      <c r="J386" s="3">
        <f>+2250708349772</f>
        <v>2250708349772</v>
      </c>
      <c r="K386" s="1" t="s">
        <v>19</v>
      </c>
      <c r="L386" s="4" t="s">
        <v>1462</v>
      </c>
    </row>
    <row r="387">
      <c r="A387" s="1" t="s">
        <v>12</v>
      </c>
      <c r="B387" s="1" t="s">
        <v>1463</v>
      </c>
      <c r="C387" s="1" t="s">
        <v>1460</v>
      </c>
      <c r="D387" s="1" t="s">
        <v>1464</v>
      </c>
      <c r="E387" s="2">
        <v>36252.0</v>
      </c>
      <c r="F387" s="1" t="s">
        <v>1465</v>
      </c>
      <c r="G387" s="1" t="s">
        <v>76</v>
      </c>
      <c r="H387" s="1" t="s">
        <v>32</v>
      </c>
      <c r="I387" s="3">
        <f>+2250787523931</f>
        <v>2250787523931</v>
      </c>
      <c r="J387" s="3">
        <f>+2250505026002</f>
        <v>2250505026002</v>
      </c>
      <c r="K387" s="1" t="s">
        <v>19</v>
      </c>
      <c r="L387" s="4" t="s">
        <v>1466</v>
      </c>
    </row>
    <row r="388">
      <c r="A388" s="1" t="s">
        <v>12</v>
      </c>
      <c r="B388" s="1" t="s">
        <v>1467</v>
      </c>
      <c r="C388" s="1" t="s">
        <v>1468</v>
      </c>
      <c r="D388" s="1" t="s">
        <v>1469</v>
      </c>
      <c r="E388" s="2">
        <v>37784.0</v>
      </c>
      <c r="F388" s="1" t="s">
        <v>48</v>
      </c>
      <c r="G388" s="1" t="s">
        <v>82</v>
      </c>
      <c r="H388" s="1" t="s">
        <v>18</v>
      </c>
      <c r="I388" s="3">
        <f>+2250759226150</f>
        <v>2250759226150</v>
      </c>
      <c r="J388" s="3">
        <f>+2250709955058</f>
        <v>2250709955058</v>
      </c>
      <c r="K388" s="1" t="s">
        <v>19</v>
      </c>
      <c r="L388" s="4" t="s">
        <v>1470</v>
      </c>
    </row>
    <row r="389">
      <c r="A389" s="1" t="s">
        <v>12</v>
      </c>
      <c r="B389" s="1" t="s">
        <v>1471</v>
      </c>
      <c r="C389" s="1" t="s">
        <v>1468</v>
      </c>
      <c r="D389" s="1" t="s">
        <v>1472</v>
      </c>
      <c r="E389" s="2">
        <v>38424.0</v>
      </c>
      <c r="F389" s="1" t="s">
        <v>416</v>
      </c>
      <c r="G389" s="1" t="s">
        <v>76</v>
      </c>
      <c r="H389" s="1" t="s">
        <v>32</v>
      </c>
      <c r="I389" s="3">
        <f>+2250700319688</f>
        <v>2250700319688</v>
      </c>
      <c r="J389" s="3">
        <f>+2250708030441</f>
        <v>2250708030441</v>
      </c>
      <c r="K389" s="1" t="s">
        <v>19</v>
      </c>
      <c r="L389" s="4" t="s">
        <v>1473</v>
      </c>
    </row>
    <row r="390">
      <c r="A390" s="1" t="s">
        <v>12</v>
      </c>
      <c r="B390" s="1" t="s">
        <v>1474</v>
      </c>
      <c r="C390" s="1" t="s">
        <v>1475</v>
      </c>
      <c r="D390" s="1" t="s">
        <v>1476</v>
      </c>
      <c r="E390" s="2">
        <v>38212.0</v>
      </c>
      <c r="F390" s="1" t="s">
        <v>92</v>
      </c>
      <c r="G390" s="1" t="s">
        <v>76</v>
      </c>
      <c r="H390" s="1" t="s">
        <v>32</v>
      </c>
      <c r="I390" s="3">
        <f>+2250102457609</f>
        <v>2250102457609</v>
      </c>
      <c r="J390" s="3">
        <f>+2250748706658</f>
        <v>2250748706658</v>
      </c>
      <c r="K390" s="1" t="s">
        <v>19</v>
      </c>
      <c r="L390" s="4" t="s">
        <v>1477</v>
      </c>
    </row>
    <row r="391">
      <c r="A391" s="1" t="s">
        <v>12</v>
      </c>
      <c r="B391" s="1" t="s">
        <v>1478</v>
      </c>
      <c r="C391" s="1" t="s">
        <v>1479</v>
      </c>
      <c r="D391" s="1" t="s">
        <v>1480</v>
      </c>
      <c r="E391" s="5">
        <v>38272.0</v>
      </c>
      <c r="F391" s="1" t="s">
        <v>16</v>
      </c>
      <c r="G391" s="1" t="s">
        <v>17</v>
      </c>
      <c r="H391" s="1" t="s">
        <v>18</v>
      </c>
      <c r="I391" s="3">
        <f>+2250594764229</f>
        <v>2250594764229</v>
      </c>
      <c r="J391" s="3">
        <f>+2250708806538</f>
        <v>2250708806538</v>
      </c>
      <c r="K391" s="1" t="s">
        <v>19</v>
      </c>
      <c r="L391" s="4" t="s">
        <v>1481</v>
      </c>
    </row>
    <row r="392">
      <c r="A392" s="1" t="s">
        <v>12</v>
      </c>
      <c r="B392" s="1" t="s">
        <v>1482</v>
      </c>
      <c r="C392" s="1" t="s">
        <v>1483</v>
      </c>
      <c r="D392" s="1" t="s">
        <v>1484</v>
      </c>
      <c r="E392" s="2">
        <v>35285.0</v>
      </c>
      <c r="F392" s="1" t="s">
        <v>75</v>
      </c>
      <c r="G392" s="1" t="s">
        <v>31</v>
      </c>
      <c r="H392" s="1" t="s">
        <v>32</v>
      </c>
      <c r="I392" s="3">
        <f>+2250757997037</f>
        <v>2250757997037</v>
      </c>
      <c r="J392" s="3">
        <f>+2250708099241</f>
        <v>2250708099241</v>
      </c>
      <c r="K392" s="1" t="s">
        <v>19</v>
      </c>
      <c r="L392" s="4" t="s">
        <v>1485</v>
      </c>
    </row>
    <row r="393">
      <c r="A393" s="1" t="s">
        <v>12</v>
      </c>
      <c r="B393" s="1" t="s">
        <v>1486</v>
      </c>
      <c r="C393" s="1" t="s">
        <v>1487</v>
      </c>
      <c r="D393" s="1" t="s">
        <v>1488</v>
      </c>
      <c r="E393" s="5">
        <v>37191.0</v>
      </c>
      <c r="F393" s="1" t="s">
        <v>92</v>
      </c>
      <c r="G393" s="1" t="s">
        <v>31</v>
      </c>
      <c r="H393" s="1" t="s">
        <v>32</v>
      </c>
      <c r="I393" s="3">
        <f>+2250141617473</f>
        <v>2250141617473</v>
      </c>
      <c r="J393" s="3">
        <f>+2250101215687</f>
        <v>2250101215687</v>
      </c>
      <c r="K393" s="1" t="s">
        <v>19</v>
      </c>
      <c r="L393" s="4" t="s">
        <v>1489</v>
      </c>
    </row>
    <row r="394">
      <c r="A394" s="1" t="s">
        <v>12</v>
      </c>
      <c r="B394" s="1" t="s">
        <v>1490</v>
      </c>
      <c r="C394" s="1" t="s">
        <v>1491</v>
      </c>
      <c r="D394" s="1" t="s">
        <v>1492</v>
      </c>
      <c r="E394" s="2">
        <v>36526.0</v>
      </c>
      <c r="F394" s="1" t="s">
        <v>16</v>
      </c>
      <c r="G394" s="1" t="s">
        <v>17</v>
      </c>
      <c r="H394" s="1" t="s">
        <v>18</v>
      </c>
      <c r="I394" s="3">
        <f>+2250706053074</f>
        <v>2250706053074</v>
      </c>
      <c r="J394" s="3">
        <f>+2250103115323</f>
        <v>2250103115323</v>
      </c>
      <c r="K394" s="1" t="s">
        <v>19</v>
      </c>
      <c r="L394" s="4" t="s">
        <v>1493</v>
      </c>
    </row>
    <row r="395">
      <c r="A395" s="1" t="s">
        <v>12</v>
      </c>
      <c r="B395" s="1" t="s">
        <v>1494</v>
      </c>
      <c r="C395" s="1" t="s">
        <v>1495</v>
      </c>
      <c r="D395" s="1" t="s">
        <v>1496</v>
      </c>
      <c r="E395" s="5">
        <v>37255.0</v>
      </c>
      <c r="F395" s="1" t="s">
        <v>87</v>
      </c>
      <c r="G395" s="1" t="s">
        <v>76</v>
      </c>
      <c r="H395" s="1" t="s">
        <v>32</v>
      </c>
      <c r="I395" s="3">
        <f>+2250141257450</f>
        <v>2250141257450</v>
      </c>
      <c r="J395" s="3">
        <f>+2250544902196</f>
        <v>2250544902196</v>
      </c>
      <c r="K395" s="1" t="s">
        <v>19</v>
      </c>
      <c r="L395" s="4" t="s">
        <v>1497</v>
      </c>
    </row>
    <row r="396">
      <c r="A396" s="1" t="s">
        <v>12</v>
      </c>
      <c r="B396" s="1" t="s">
        <v>1498</v>
      </c>
      <c r="C396" s="1" t="s">
        <v>1499</v>
      </c>
      <c r="D396" s="1" t="s">
        <v>1500</v>
      </c>
      <c r="E396" s="5">
        <v>37254.0</v>
      </c>
      <c r="F396" s="1" t="s">
        <v>288</v>
      </c>
      <c r="G396" s="1" t="s">
        <v>82</v>
      </c>
      <c r="H396" s="1" t="s">
        <v>18</v>
      </c>
      <c r="I396" s="3">
        <f>+2250749943655</f>
        <v>2250749943655</v>
      </c>
      <c r="J396" s="3">
        <f>+2250707999791</f>
        <v>2250707999791</v>
      </c>
      <c r="K396" s="1" t="s">
        <v>19</v>
      </c>
      <c r="L396" s="4" t="s">
        <v>1501</v>
      </c>
    </row>
    <row r="397">
      <c r="A397" s="1" t="s">
        <v>12</v>
      </c>
      <c r="B397" s="1" t="s">
        <v>1502</v>
      </c>
      <c r="C397" s="1" t="s">
        <v>1503</v>
      </c>
      <c r="D397" s="1" t="s">
        <v>1504</v>
      </c>
      <c r="E397" s="2">
        <v>36897.0</v>
      </c>
      <c r="F397" s="1" t="s">
        <v>75</v>
      </c>
      <c r="G397" s="1" t="s">
        <v>76</v>
      </c>
      <c r="H397" s="1" t="s">
        <v>32</v>
      </c>
      <c r="I397" s="3">
        <f>+2250711206996</f>
        <v>2250711206996</v>
      </c>
      <c r="J397" s="3">
        <f>+2250702740413</f>
        <v>2250702740413</v>
      </c>
      <c r="K397" s="1" t="s">
        <v>19</v>
      </c>
      <c r="L397" s="4" t="s">
        <v>1505</v>
      </c>
    </row>
    <row r="398">
      <c r="A398" s="1" t="s">
        <v>12</v>
      </c>
      <c r="B398" s="1" t="s">
        <v>1506</v>
      </c>
      <c r="C398" s="1" t="s">
        <v>1507</v>
      </c>
      <c r="D398" s="1" t="s">
        <v>1508</v>
      </c>
      <c r="E398" s="2">
        <v>38143.0</v>
      </c>
      <c r="F398" s="1" t="s">
        <v>92</v>
      </c>
      <c r="G398" s="1" t="s">
        <v>82</v>
      </c>
      <c r="H398" s="1" t="s">
        <v>18</v>
      </c>
      <c r="I398" s="3">
        <f>+2250797597205</f>
        <v>2250797597205</v>
      </c>
      <c r="J398" s="3">
        <f>+2250749757549</f>
        <v>2250749757549</v>
      </c>
      <c r="K398" s="1" t="s">
        <v>19</v>
      </c>
      <c r="L398" s="4" t="s">
        <v>1509</v>
      </c>
    </row>
    <row r="399">
      <c r="A399" s="1" t="s">
        <v>12</v>
      </c>
      <c r="B399" s="1" t="s">
        <v>1510</v>
      </c>
      <c r="C399" s="1" t="s">
        <v>1511</v>
      </c>
      <c r="D399" s="1" t="s">
        <v>1512</v>
      </c>
      <c r="E399" s="2">
        <v>36297.0</v>
      </c>
      <c r="F399" s="1" t="s">
        <v>182</v>
      </c>
      <c r="G399" s="1" t="s">
        <v>82</v>
      </c>
      <c r="H399" s="1" t="s">
        <v>18</v>
      </c>
      <c r="I399" s="3">
        <f>+2250748918497</f>
        <v>2250748918497</v>
      </c>
      <c r="J399" s="3">
        <f>+2250707890869</f>
        <v>2250707890869</v>
      </c>
      <c r="K399" s="1" t="s">
        <v>19</v>
      </c>
      <c r="L399" s="4" t="s">
        <v>1513</v>
      </c>
    </row>
    <row r="400">
      <c r="A400" s="1" t="s">
        <v>12</v>
      </c>
      <c r="B400" s="1" t="s">
        <v>1514</v>
      </c>
      <c r="C400" s="1" t="s">
        <v>1515</v>
      </c>
      <c r="D400" s="1" t="s">
        <v>1516</v>
      </c>
      <c r="E400" s="2">
        <v>36311.0</v>
      </c>
      <c r="F400" s="1" t="s">
        <v>16</v>
      </c>
      <c r="G400" s="1" t="s">
        <v>25</v>
      </c>
      <c r="H400" s="1" t="s">
        <v>18</v>
      </c>
      <c r="I400" s="3">
        <f>+2250749564261</f>
        <v>2250749564261</v>
      </c>
      <c r="J400" s="3">
        <f>+2250759776326</f>
        <v>2250759776326</v>
      </c>
      <c r="K400" s="1" t="s">
        <v>19</v>
      </c>
      <c r="L400" s="4" t="s">
        <v>1517</v>
      </c>
    </row>
    <row r="401">
      <c r="A401" s="1" t="s">
        <v>12</v>
      </c>
      <c r="B401" s="1" t="s">
        <v>1518</v>
      </c>
      <c r="C401" s="1" t="s">
        <v>1515</v>
      </c>
      <c r="D401" s="1" t="s">
        <v>1519</v>
      </c>
      <c r="E401" s="5">
        <v>37215.0</v>
      </c>
      <c r="F401" s="1" t="s">
        <v>16</v>
      </c>
      <c r="G401" s="1" t="s">
        <v>25</v>
      </c>
      <c r="H401" s="1" t="s">
        <v>18</v>
      </c>
      <c r="I401" s="3">
        <f>+2250789023680</f>
        <v>2250789023680</v>
      </c>
      <c r="J401" s="3">
        <f>+2250749564261</f>
        <v>2250749564261</v>
      </c>
      <c r="K401" s="1" t="s">
        <v>19</v>
      </c>
      <c r="L401" s="4" t="s">
        <v>1520</v>
      </c>
    </row>
    <row r="402">
      <c r="A402" s="1" t="s">
        <v>12</v>
      </c>
      <c r="B402" s="1" t="s">
        <v>1521</v>
      </c>
      <c r="C402" s="1" t="s">
        <v>1522</v>
      </c>
      <c r="D402" s="1" t="s">
        <v>1523</v>
      </c>
      <c r="E402" s="2">
        <v>38797.0</v>
      </c>
      <c r="F402" s="1" t="s">
        <v>16</v>
      </c>
      <c r="G402" s="1" t="s">
        <v>25</v>
      </c>
      <c r="H402" s="1" t="s">
        <v>18</v>
      </c>
      <c r="I402" s="3">
        <f>+2250574009772</f>
        <v>2250574009772</v>
      </c>
      <c r="J402" s="3">
        <f>+2250555488697</f>
        <v>2250555488697</v>
      </c>
      <c r="K402" s="1" t="s">
        <v>19</v>
      </c>
      <c r="L402" s="4" t="s">
        <v>1524</v>
      </c>
    </row>
    <row r="403">
      <c r="A403" s="1" t="s">
        <v>12</v>
      </c>
      <c r="B403" s="1" t="s">
        <v>1525</v>
      </c>
      <c r="C403" s="1" t="s">
        <v>1526</v>
      </c>
      <c r="D403" s="1" t="s">
        <v>1527</v>
      </c>
      <c r="E403" s="2">
        <v>37167.0</v>
      </c>
      <c r="F403" s="1" t="s">
        <v>48</v>
      </c>
      <c r="G403" s="1" t="s">
        <v>82</v>
      </c>
      <c r="H403" s="1" t="s">
        <v>18</v>
      </c>
      <c r="I403" s="3">
        <f>+2250143178980</f>
        <v>2250143178980</v>
      </c>
      <c r="J403" s="3">
        <f>+2250546556808</f>
        <v>2250546556808</v>
      </c>
      <c r="K403" s="1" t="s">
        <v>19</v>
      </c>
      <c r="L403" s="4" t="s">
        <v>1528</v>
      </c>
    </row>
    <row r="404">
      <c r="A404" s="1" t="s">
        <v>12</v>
      </c>
      <c r="B404" s="1" t="s">
        <v>1529</v>
      </c>
      <c r="C404" s="1" t="s">
        <v>1530</v>
      </c>
      <c r="D404" s="1" t="s">
        <v>1531</v>
      </c>
      <c r="E404" s="2">
        <v>36972.0</v>
      </c>
      <c r="F404" s="1" t="s">
        <v>351</v>
      </c>
      <c r="G404" s="1" t="s">
        <v>76</v>
      </c>
      <c r="H404" s="1" t="s">
        <v>32</v>
      </c>
      <c r="I404" s="3">
        <f>+2250704838534</f>
        <v>2250704838534</v>
      </c>
      <c r="J404" s="3">
        <f>+2250709465009</f>
        <v>2250709465009</v>
      </c>
      <c r="K404" s="1" t="s">
        <v>19</v>
      </c>
      <c r="L404" s="4" t="s">
        <v>1532</v>
      </c>
    </row>
    <row r="405">
      <c r="A405" s="1" t="s">
        <v>12</v>
      </c>
      <c r="B405" s="1" t="s">
        <v>1533</v>
      </c>
      <c r="C405" s="1" t="s">
        <v>1530</v>
      </c>
      <c r="D405" s="1" t="s">
        <v>1534</v>
      </c>
      <c r="E405" s="2">
        <v>38386.0</v>
      </c>
      <c r="F405" s="1" t="s">
        <v>16</v>
      </c>
      <c r="G405" s="1" t="s">
        <v>17</v>
      </c>
      <c r="H405" s="1" t="s">
        <v>18</v>
      </c>
      <c r="I405" s="3">
        <f>+2250779070228</f>
        <v>2250779070228</v>
      </c>
      <c r="J405" s="3">
        <f>+2250709481931</f>
        <v>2250709481931</v>
      </c>
      <c r="K405" s="1" t="s">
        <v>19</v>
      </c>
      <c r="L405" s="4" t="s">
        <v>1535</v>
      </c>
    </row>
    <row r="406">
      <c r="A406" s="1" t="s">
        <v>12</v>
      </c>
      <c r="B406" s="1" t="s">
        <v>1536</v>
      </c>
      <c r="C406" s="1" t="s">
        <v>1537</v>
      </c>
      <c r="D406" s="1" t="s">
        <v>1538</v>
      </c>
      <c r="E406" s="2">
        <v>38545.0</v>
      </c>
      <c r="F406" s="1" t="s">
        <v>48</v>
      </c>
      <c r="G406" s="1" t="s">
        <v>31</v>
      </c>
      <c r="H406" s="1" t="s">
        <v>32</v>
      </c>
      <c r="I406" s="3">
        <f>+2250101023272</f>
        <v>2250101023272</v>
      </c>
      <c r="J406" s="3">
        <f>+2250103763675</f>
        <v>2250103763675</v>
      </c>
      <c r="K406" s="1" t="s">
        <v>19</v>
      </c>
      <c r="L406" s="4" t="s">
        <v>1539</v>
      </c>
    </row>
    <row r="407">
      <c r="A407" s="1" t="s">
        <v>12</v>
      </c>
      <c r="B407" s="1" t="s">
        <v>1540</v>
      </c>
      <c r="C407" s="1" t="s">
        <v>1541</v>
      </c>
      <c r="D407" s="1" t="s">
        <v>1542</v>
      </c>
      <c r="E407" s="2">
        <v>38033.0</v>
      </c>
      <c r="F407" s="1" t="s">
        <v>92</v>
      </c>
      <c r="G407" s="1" t="s">
        <v>76</v>
      </c>
      <c r="H407" s="1" t="s">
        <v>32</v>
      </c>
      <c r="I407" s="3">
        <f>+2250789608366</f>
        <v>2250789608366</v>
      </c>
      <c r="J407" s="3">
        <f>+2250707704024</f>
        <v>2250707704024</v>
      </c>
      <c r="K407" s="1" t="s">
        <v>19</v>
      </c>
      <c r="L407" s="4" t="s">
        <v>1543</v>
      </c>
    </row>
    <row r="408">
      <c r="A408" s="1" t="s">
        <v>12</v>
      </c>
      <c r="B408" s="1" t="s">
        <v>1544</v>
      </c>
      <c r="C408" s="1" t="s">
        <v>1545</v>
      </c>
      <c r="D408" s="1" t="s">
        <v>1546</v>
      </c>
      <c r="E408" s="2">
        <v>38020.0</v>
      </c>
      <c r="F408" s="1" t="s">
        <v>101</v>
      </c>
      <c r="G408" s="1" t="s">
        <v>76</v>
      </c>
      <c r="H408" s="1" t="s">
        <v>32</v>
      </c>
      <c r="I408" s="3">
        <f>+2250171339075</f>
        <v>2250171339075</v>
      </c>
      <c r="J408" s="3">
        <f>+2250748980030</f>
        <v>2250748980030</v>
      </c>
      <c r="K408" s="1" t="s">
        <v>19</v>
      </c>
      <c r="L408" s="4" t="s">
        <v>1547</v>
      </c>
    </row>
    <row r="409">
      <c r="A409" s="1" t="s">
        <v>12</v>
      </c>
      <c r="B409" s="1" t="s">
        <v>1548</v>
      </c>
      <c r="C409" s="1" t="s">
        <v>1549</v>
      </c>
      <c r="D409" s="1" t="s">
        <v>1550</v>
      </c>
      <c r="E409" s="2">
        <v>38001.0</v>
      </c>
      <c r="F409" s="1" t="s">
        <v>92</v>
      </c>
      <c r="G409" s="1" t="s">
        <v>76</v>
      </c>
      <c r="H409" s="1" t="s">
        <v>32</v>
      </c>
      <c r="I409" s="3">
        <f>+2250797247975</f>
        <v>2250797247975</v>
      </c>
      <c r="J409" s="3">
        <f>+2250707981468</f>
        <v>2250707981468</v>
      </c>
      <c r="K409" s="1" t="s">
        <v>19</v>
      </c>
      <c r="L409" s="4" t="s">
        <v>1551</v>
      </c>
    </row>
    <row r="410">
      <c r="A410" s="1" t="s">
        <v>12</v>
      </c>
      <c r="B410" s="1" t="s">
        <v>1552</v>
      </c>
      <c r="C410" s="1" t="s">
        <v>1553</v>
      </c>
      <c r="D410" s="1" t="s">
        <v>1554</v>
      </c>
      <c r="E410" s="2">
        <v>37987.0</v>
      </c>
      <c r="F410" s="1" t="s">
        <v>70</v>
      </c>
      <c r="G410" s="1" t="s">
        <v>76</v>
      </c>
      <c r="H410" s="1" t="s">
        <v>32</v>
      </c>
      <c r="I410" s="3">
        <f>+2250102189704</f>
        <v>2250102189704</v>
      </c>
      <c r="J410" s="3">
        <f>+2250757378020</f>
        <v>2250757378020</v>
      </c>
      <c r="K410" s="1" t="s">
        <v>19</v>
      </c>
      <c r="L410" s="4" t="s">
        <v>1555</v>
      </c>
    </row>
    <row r="411">
      <c r="A411" s="1" t="s">
        <v>12</v>
      </c>
      <c r="B411" s="1" t="s">
        <v>1556</v>
      </c>
      <c r="C411" s="1" t="s">
        <v>1557</v>
      </c>
      <c r="D411" s="1" t="s">
        <v>1558</v>
      </c>
      <c r="E411" s="2">
        <v>37348.0</v>
      </c>
      <c r="F411" s="1" t="s">
        <v>62</v>
      </c>
      <c r="G411" s="1" t="s">
        <v>17</v>
      </c>
      <c r="H411" s="1" t="s">
        <v>18</v>
      </c>
      <c r="I411" s="3">
        <f>+2250502680043</f>
        <v>2250502680043</v>
      </c>
      <c r="J411" s="3">
        <f>+2250700006096</f>
        <v>2250700006096</v>
      </c>
      <c r="K411" s="1" t="s">
        <v>19</v>
      </c>
      <c r="L411" s="4" t="s">
        <v>1559</v>
      </c>
    </row>
    <row r="412">
      <c r="A412" s="1" t="s">
        <v>12</v>
      </c>
      <c r="B412" s="1" t="s">
        <v>1560</v>
      </c>
      <c r="C412" s="1" t="s">
        <v>1561</v>
      </c>
      <c r="D412" s="1" t="s">
        <v>1562</v>
      </c>
      <c r="E412" s="2">
        <v>37489.0</v>
      </c>
      <c r="F412" s="1" t="s">
        <v>24</v>
      </c>
      <c r="G412" s="1" t="s">
        <v>17</v>
      </c>
      <c r="H412" s="1" t="s">
        <v>18</v>
      </c>
      <c r="I412" s="3">
        <f>+2250768011546</f>
        <v>2250768011546</v>
      </c>
      <c r="J412" s="3">
        <f>+2250707920664</f>
        <v>2250707920664</v>
      </c>
      <c r="K412" s="1" t="s">
        <v>19</v>
      </c>
      <c r="L412" s="4" t="s">
        <v>1563</v>
      </c>
    </row>
    <row r="413">
      <c r="A413" s="1" t="s">
        <v>12</v>
      </c>
      <c r="B413" s="1" t="s">
        <v>1564</v>
      </c>
      <c r="C413" s="1" t="s">
        <v>1565</v>
      </c>
      <c r="D413" s="1" t="s">
        <v>1566</v>
      </c>
      <c r="E413" s="2">
        <v>36797.0</v>
      </c>
      <c r="F413" s="1" t="s">
        <v>62</v>
      </c>
      <c r="G413" s="1" t="s">
        <v>25</v>
      </c>
      <c r="H413" s="1" t="s">
        <v>18</v>
      </c>
      <c r="I413" s="3">
        <f>+2250704160983</f>
        <v>2250704160983</v>
      </c>
      <c r="J413" s="3">
        <f>+2250747969787</f>
        <v>2250747969787</v>
      </c>
      <c r="K413" s="1" t="s">
        <v>19</v>
      </c>
      <c r="L413" s="4" t="s">
        <v>1567</v>
      </c>
    </row>
    <row r="414">
      <c r="A414" s="1" t="s">
        <v>12</v>
      </c>
      <c r="B414" s="1" t="s">
        <v>1568</v>
      </c>
      <c r="C414" s="1" t="s">
        <v>1569</v>
      </c>
      <c r="D414" s="1" t="s">
        <v>1570</v>
      </c>
      <c r="E414" s="2">
        <v>37782.0</v>
      </c>
      <c r="F414" s="1" t="s">
        <v>53</v>
      </c>
      <c r="G414" s="1" t="s">
        <v>17</v>
      </c>
      <c r="H414" s="1" t="s">
        <v>18</v>
      </c>
      <c r="I414" s="3">
        <f>+2250172542368</f>
        <v>2250172542368</v>
      </c>
      <c r="J414" s="3">
        <f>+2250171668657</f>
        <v>2250171668657</v>
      </c>
      <c r="K414" s="1" t="s">
        <v>19</v>
      </c>
      <c r="L414" s="4" t="s">
        <v>1571</v>
      </c>
    </row>
    <row r="415">
      <c r="A415" s="1" t="s">
        <v>12</v>
      </c>
      <c r="B415" s="1" t="s">
        <v>1572</v>
      </c>
      <c r="C415" s="1" t="s">
        <v>1573</v>
      </c>
      <c r="D415" s="1" t="s">
        <v>1574</v>
      </c>
      <c r="E415" s="2">
        <v>37170.0</v>
      </c>
      <c r="F415" s="1" t="s">
        <v>101</v>
      </c>
      <c r="G415" s="1" t="s">
        <v>31</v>
      </c>
      <c r="H415" s="1" t="s">
        <v>32</v>
      </c>
      <c r="I415" s="3">
        <f>+2250758209201</f>
        <v>2250758209201</v>
      </c>
      <c r="J415" s="3">
        <f>+2250544579231</f>
        <v>2250544579231</v>
      </c>
      <c r="K415" s="1" t="s">
        <v>19</v>
      </c>
      <c r="L415" s="4" t="s">
        <v>1575</v>
      </c>
    </row>
    <row r="416">
      <c r="A416" s="1" t="s">
        <v>12</v>
      </c>
      <c r="B416" s="1" t="s">
        <v>1576</v>
      </c>
      <c r="C416" s="1" t="s">
        <v>1577</v>
      </c>
      <c r="D416" s="1" t="s">
        <v>1578</v>
      </c>
      <c r="E416" s="2">
        <v>36941.0</v>
      </c>
      <c r="F416" s="1" t="s">
        <v>138</v>
      </c>
      <c r="G416" s="1" t="s">
        <v>76</v>
      </c>
      <c r="H416" s="1" t="s">
        <v>32</v>
      </c>
      <c r="I416" s="3">
        <f>+2250798458596</f>
        <v>2250798458596</v>
      </c>
      <c r="J416" s="3">
        <f>+2250757331767</f>
        <v>2250757331767</v>
      </c>
      <c r="K416" s="1" t="s">
        <v>19</v>
      </c>
      <c r="L416" s="4" t="s">
        <v>1579</v>
      </c>
    </row>
    <row r="417">
      <c r="A417" s="1" t="s">
        <v>12</v>
      </c>
      <c r="B417" s="1" t="s">
        <v>1580</v>
      </c>
      <c r="C417" s="1" t="s">
        <v>1581</v>
      </c>
      <c r="D417" s="1" t="s">
        <v>1582</v>
      </c>
      <c r="E417" s="2">
        <v>37498.0</v>
      </c>
      <c r="F417" s="1" t="s">
        <v>30</v>
      </c>
      <c r="G417" s="1" t="s">
        <v>31</v>
      </c>
      <c r="H417" s="1" t="s">
        <v>32</v>
      </c>
      <c r="I417" s="3">
        <f>+2250503304788</f>
        <v>2250503304788</v>
      </c>
      <c r="J417" s="3">
        <f>+2250759386487</f>
        <v>2250759386487</v>
      </c>
      <c r="K417" s="1" t="s">
        <v>19</v>
      </c>
      <c r="L417" s="4" t="s">
        <v>1583</v>
      </c>
    </row>
    <row r="418">
      <c r="A418" s="1" t="s">
        <v>12</v>
      </c>
      <c r="B418" s="1" t="s">
        <v>1584</v>
      </c>
      <c r="C418" s="1" t="s">
        <v>1581</v>
      </c>
      <c r="D418" s="1" t="s">
        <v>1585</v>
      </c>
      <c r="E418" s="2">
        <v>38038.0</v>
      </c>
      <c r="F418" s="1" t="s">
        <v>155</v>
      </c>
      <c r="G418" s="1" t="s">
        <v>31</v>
      </c>
      <c r="H418" s="1" t="s">
        <v>32</v>
      </c>
      <c r="I418" s="3">
        <f>+2250564847972</f>
        <v>2250564847972</v>
      </c>
      <c r="J418" s="3">
        <f>+2250707991278</f>
        <v>2250707991278</v>
      </c>
      <c r="K418" s="1" t="s">
        <v>19</v>
      </c>
      <c r="L418" s="4" t="s">
        <v>1586</v>
      </c>
    </row>
    <row r="419">
      <c r="A419" s="1" t="s">
        <v>12</v>
      </c>
      <c r="B419" s="1" t="s">
        <v>1587</v>
      </c>
      <c r="C419" s="1" t="s">
        <v>1588</v>
      </c>
      <c r="D419" s="1" t="s">
        <v>1589</v>
      </c>
      <c r="E419" s="2">
        <v>37056.0</v>
      </c>
      <c r="F419" s="1" t="s">
        <v>53</v>
      </c>
      <c r="G419" s="1" t="s">
        <v>17</v>
      </c>
      <c r="H419" s="1" t="s">
        <v>18</v>
      </c>
      <c r="I419" s="3">
        <f>+2250503097091</f>
        <v>2250503097091</v>
      </c>
      <c r="J419" s="3">
        <f>+2250566142554</f>
        <v>2250566142554</v>
      </c>
      <c r="K419" s="1" t="s">
        <v>19</v>
      </c>
      <c r="L419" s="4" t="s">
        <v>1590</v>
      </c>
    </row>
    <row r="420">
      <c r="A420" s="1" t="s">
        <v>12</v>
      </c>
      <c r="B420" s="1" t="s">
        <v>1591</v>
      </c>
      <c r="C420" s="1" t="s">
        <v>1592</v>
      </c>
      <c r="D420" s="1" t="s">
        <v>1593</v>
      </c>
      <c r="E420" s="2">
        <v>37666.0</v>
      </c>
      <c r="F420" s="1" t="s">
        <v>48</v>
      </c>
      <c r="G420" s="1" t="s">
        <v>76</v>
      </c>
      <c r="H420" s="1" t="s">
        <v>32</v>
      </c>
      <c r="I420" s="3">
        <f>+2250798020714</f>
        <v>2250798020714</v>
      </c>
      <c r="J420" s="3">
        <f>+2250749006017</f>
        <v>2250749006017</v>
      </c>
      <c r="K420" s="1" t="s">
        <v>19</v>
      </c>
      <c r="L420" s="4" t="s">
        <v>1594</v>
      </c>
    </row>
    <row r="421">
      <c r="A421" s="1" t="s">
        <v>12</v>
      </c>
      <c r="B421" s="1" t="s">
        <v>1595</v>
      </c>
      <c r="C421" s="1" t="s">
        <v>1592</v>
      </c>
      <c r="D421" s="1" t="s">
        <v>1596</v>
      </c>
      <c r="E421" s="2">
        <v>38256.0</v>
      </c>
      <c r="F421" s="1" t="s">
        <v>62</v>
      </c>
      <c r="G421" s="1" t="s">
        <v>25</v>
      </c>
      <c r="H421" s="1" t="s">
        <v>18</v>
      </c>
      <c r="I421" s="3">
        <f>+2250152285662</f>
        <v>2250152285662</v>
      </c>
      <c r="J421" s="3">
        <f>+2250707971962</f>
        <v>2250707971962</v>
      </c>
      <c r="K421" s="1" t="s">
        <v>19</v>
      </c>
      <c r="L421" s="4" t="s">
        <v>1597</v>
      </c>
    </row>
    <row r="422">
      <c r="A422" s="1" t="s">
        <v>12</v>
      </c>
      <c r="B422" s="1" t="s">
        <v>1598</v>
      </c>
      <c r="C422" s="1" t="s">
        <v>1599</v>
      </c>
      <c r="D422" s="1" t="s">
        <v>1600</v>
      </c>
      <c r="E422" s="2">
        <v>37838.0</v>
      </c>
      <c r="F422" s="1" t="s">
        <v>48</v>
      </c>
      <c r="G422" s="1" t="s">
        <v>76</v>
      </c>
      <c r="H422" s="1" t="s">
        <v>32</v>
      </c>
      <c r="I422" s="3">
        <f>+2250152608818</f>
        <v>2250152608818</v>
      </c>
      <c r="J422" s="3">
        <f>+2250707675658</f>
        <v>2250707675658</v>
      </c>
      <c r="K422" s="1" t="s">
        <v>19</v>
      </c>
      <c r="L422" s="4" t="s">
        <v>1601</v>
      </c>
    </row>
    <row r="423">
      <c r="A423" s="1" t="s">
        <v>12</v>
      </c>
      <c r="B423" s="1" t="s">
        <v>1602</v>
      </c>
      <c r="C423" s="1" t="s">
        <v>1603</v>
      </c>
      <c r="D423" s="1" t="s">
        <v>1604</v>
      </c>
      <c r="E423" s="5">
        <v>37587.0</v>
      </c>
      <c r="F423" s="1" t="s">
        <v>48</v>
      </c>
      <c r="G423" s="1" t="s">
        <v>76</v>
      </c>
      <c r="H423" s="1" t="s">
        <v>32</v>
      </c>
      <c r="I423" s="3">
        <f>+2250150466240</f>
        <v>2250150466240</v>
      </c>
      <c r="J423" s="3">
        <f>+2250152972771</f>
        <v>2250152972771</v>
      </c>
      <c r="K423" s="1" t="s">
        <v>19</v>
      </c>
      <c r="L423" s="4" t="s">
        <v>1605</v>
      </c>
    </row>
    <row r="424">
      <c r="A424" s="1" t="s">
        <v>12</v>
      </c>
      <c r="B424" s="1" t="s">
        <v>1606</v>
      </c>
      <c r="C424" s="1" t="s">
        <v>1603</v>
      </c>
      <c r="D424" s="1" t="s">
        <v>1607</v>
      </c>
      <c r="E424" s="2">
        <v>36968.0</v>
      </c>
      <c r="F424" s="1" t="s">
        <v>62</v>
      </c>
      <c r="G424" s="1" t="s">
        <v>17</v>
      </c>
      <c r="H424" s="1" t="s">
        <v>18</v>
      </c>
      <c r="I424" s="3">
        <f>+2250778575363</f>
        <v>2250778575363</v>
      </c>
      <c r="J424" s="3">
        <f>+2250546522332</f>
        <v>2250546522332</v>
      </c>
      <c r="K424" s="1" t="s">
        <v>19</v>
      </c>
      <c r="L424" s="4" t="s">
        <v>1608</v>
      </c>
    </row>
    <row r="425">
      <c r="A425" s="1" t="s">
        <v>12</v>
      </c>
      <c r="B425" s="1" t="s">
        <v>1609</v>
      </c>
      <c r="C425" s="1" t="s">
        <v>1603</v>
      </c>
      <c r="D425" s="1" t="s">
        <v>1610</v>
      </c>
      <c r="E425" s="2">
        <v>36788.0</v>
      </c>
      <c r="F425" s="1" t="s">
        <v>16</v>
      </c>
      <c r="G425" s="1" t="s">
        <v>17</v>
      </c>
      <c r="H425" s="1" t="s">
        <v>18</v>
      </c>
      <c r="I425" s="3">
        <f t="shared" ref="I425:J425" si="13">+2250778574634</f>
        <v>2250778574634</v>
      </c>
      <c r="J425" s="3">
        <f t="shared" si="13"/>
        <v>2250778574634</v>
      </c>
      <c r="K425" s="1" t="s">
        <v>19</v>
      </c>
      <c r="L425" s="4" t="s">
        <v>1611</v>
      </c>
    </row>
    <row r="426">
      <c r="A426" s="1" t="s">
        <v>12</v>
      </c>
      <c r="B426" s="1" t="s">
        <v>1612</v>
      </c>
      <c r="C426" s="1" t="s">
        <v>1613</v>
      </c>
      <c r="D426" s="1" t="s">
        <v>1614</v>
      </c>
      <c r="E426" s="2">
        <v>38024.0</v>
      </c>
      <c r="F426" s="1" t="s">
        <v>48</v>
      </c>
      <c r="G426" s="1" t="s">
        <v>31</v>
      </c>
      <c r="H426" s="1" t="s">
        <v>32</v>
      </c>
      <c r="I426" s="3">
        <f>+2250704462951</f>
        <v>2250704462951</v>
      </c>
      <c r="J426" s="3">
        <f>+2250707671185</f>
        <v>2250707671185</v>
      </c>
      <c r="K426" s="1" t="s">
        <v>19</v>
      </c>
      <c r="L426" s="4" t="s">
        <v>1615</v>
      </c>
    </row>
    <row r="427">
      <c r="A427" s="1" t="s">
        <v>12</v>
      </c>
      <c r="B427" s="1" t="s">
        <v>1616</v>
      </c>
      <c r="C427" s="1" t="s">
        <v>1617</v>
      </c>
      <c r="D427" s="1" t="s">
        <v>1618</v>
      </c>
      <c r="E427" s="2">
        <v>37622.0</v>
      </c>
      <c r="F427" s="1" t="s">
        <v>155</v>
      </c>
      <c r="G427" s="1" t="s">
        <v>76</v>
      </c>
      <c r="H427" s="1" t="s">
        <v>32</v>
      </c>
      <c r="I427" s="3">
        <f>+2250141550013</f>
        <v>2250141550013</v>
      </c>
      <c r="J427" s="3">
        <f>+2250799123309</f>
        <v>2250799123309</v>
      </c>
      <c r="K427" s="1" t="s">
        <v>19</v>
      </c>
      <c r="L427" s="4" t="s">
        <v>1619</v>
      </c>
    </row>
    <row r="428">
      <c r="A428" s="1" t="s">
        <v>12</v>
      </c>
      <c r="B428" s="1" t="s">
        <v>1620</v>
      </c>
      <c r="C428" s="1" t="s">
        <v>1621</v>
      </c>
      <c r="D428" s="1" t="s">
        <v>1622</v>
      </c>
      <c r="E428" s="2">
        <v>37270.0</v>
      </c>
      <c r="F428" s="1" t="s">
        <v>138</v>
      </c>
      <c r="G428" s="1" t="s">
        <v>31</v>
      </c>
      <c r="H428" s="1" t="s">
        <v>32</v>
      </c>
      <c r="I428" s="3">
        <f>+2250152760082</f>
        <v>2250152760082</v>
      </c>
      <c r="J428" s="3">
        <f>+2250505084545</f>
        <v>2250505084545</v>
      </c>
      <c r="K428" s="1" t="s">
        <v>19</v>
      </c>
      <c r="L428" s="4" t="s">
        <v>1623</v>
      </c>
    </row>
    <row r="429">
      <c r="A429" s="1" t="s">
        <v>12</v>
      </c>
      <c r="B429" s="1" t="s">
        <v>1624</v>
      </c>
      <c r="C429" s="1" t="s">
        <v>1621</v>
      </c>
      <c r="D429" s="1" t="s">
        <v>1625</v>
      </c>
      <c r="E429" s="2">
        <v>36164.0</v>
      </c>
      <c r="F429" s="1" t="s">
        <v>16</v>
      </c>
      <c r="G429" s="1" t="s">
        <v>82</v>
      </c>
      <c r="H429" s="1" t="s">
        <v>18</v>
      </c>
      <c r="I429" s="3">
        <f>+2250748565678</f>
        <v>2250748565678</v>
      </c>
      <c r="J429" s="3">
        <f>+2250749396129</f>
        <v>2250749396129</v>
      </c>
      <c r="K429" s="1" t="s">
        <v>19</v>
      </c>
      <c r="L429" s="4" t="s">
        <v>1626</v>
      </c>
    </row>
    <row r="430">
      <c r="A430" s="1" t="s">
        <v>12</v>
      </c>
      <c r="B430" s="1" t="s">
        <v>1627</v>
      </c>
      <c r="C430" s="1" t="s">
        <v>1621</v>
      </c>
      <c r="D430" s="1" t="s">
        <v>1628</v>
      </c>
      <c r="E430" s="5">
        <v>39014.0</v>
      </c>
      <c r="F430" s="1" t="s">
        <v>62</v>
      </c>
      <c r="G430" s="1" t="s">
        <v>25</v>
      </c>
      <c r="H430" s="1" t="s">
        <v>18</v>
      </c>
      <c r="I430" s="3">
        <f>+2250576476624</f>
        <v>2250576476624</v>
      </c>
      <c r="J430" s="3">
        <f>+2250707790742</f>
        <v>2250707790742</v>
      </c>
      <c r="K430" s="1" t="s">
        <v>19</v>
      </c>
      <c r="L430" s="4" t="s">
        <v>1629</v>
      </c>
    </row>
    <row r="431">
      <c r="A431" s="1" t="s">
        <v>12</v>
      </c>
      <c r="B431" s="1" t="s">
        <v>1630</v>
      </c>
      <c r="C431" s="1" t="s">
        <v>1621</v>
      </c>
      <c r="D431" s="1" t="s">
        <v>1631</v>
      </c>
      <c r="E431" s="2">
        <v>37801.0</v>
      </c>
      <c r="F431" s="1" t="s">
        <v>62</v>
      </c>
      <c r="G431" s="1" t="s">
        <v>25</v>
      </c>
      <c r="H431" s="1" t="s">
        <v>18</v>
      </c>
      <c r="I431" s="3">
        <f>+2250797055642</f>
        <v>2250797055642</v>
      </c>
      <c r="J431" s="3">
        <f>+2250707556194</f>
        <v>2250707556194</v>
      </c>
      <c r="K431" s="1" t="s">
        <v>19</v>
      </c>
      <c r="L431" s="4" t="s">
        <v>1632</v>
      </c>
    </row>
    <row r="432">
      <c r="A432" s="1" t="s">
        <v>12</v>
      </c>
      <c r="B432" s="1" t="s">
        <v>1633</v>
      </c>
      <c r="C432" s="1" t="s">
        <v>1621</v>
      </c>
      <c r="D432" s="1" t="s">
        <v>1634</v>
      </c>
      <c r="E432" s="2">
        <v>37384.0</v>
      </c>
      <c r="F432" s="1" t="s">
        <v>62</v>
      </c>
      <c r="G432" s="1" t="s">
        <v>17</v>
      </c>
      <c r="H432" s="1" t="s">
        <v>18</v>
      </c>
      <c r="I432" s="3">
        <f>+2250798068281</f>
        <v>2250798068281</v>
      </c>
      <c r="J432" s="3">
        <f>+2250707922657</f>
        <v>2250707922657</v>
      </c>
      <c r="K432" s="1" t="s">
        <v>19</v>
      </c>
      <c r="L432" s="4" t="s">
        <v>1635</v>
      </c>
    </row>
    <row r="433">
      <c r="A433" s="1" t="s">
        <v>12</v>
      </c>
      <c r="B433" s="1" t="s">
        <v>1636</v>
      </c>
      <c r="C433" s="1" t="s">
        <v>1621</v>
      </c>
      <c r="D433" s="1" t="s">
        <v>1637</v>
      </c>
      <c r="E433" s="5">
        <v>37245.0</v>
      </c>
      <c r="F433" s="1" t="s">
        <v>101</v>
      </c>
      <c r="G433" s="1" t="s">
        <v>31</v>
      </c>
      <c r="H433" s="1" t="s">
        <v>32</v>
      </c>
      <c r="I433" s="3">
        <f>+2250101135068</f>
        <v>2250101135068</v>
      </c>
      <c r="J433" s="3">
        <f>+2250709072523</f>
        <v>2250709072523</v>
      </c>
      <c r="K433" s="1" t="s">
        <v>19</v>
      </c>
      <c r="L433" s="4" t="s">
        <v>1638</v>
      </c>
    </row>
    <row r="434">
      <c r="A434" s="1" t="s">
        <v>12</v>
      </c>
      <c r="B434" s="1" t="s">
        <v>1639</v>
      </c>
      <c r="C434" s="1" t="s">
        <v>1621</v>
      </c>
      <c r="D434" s="1" t="s">
        <v>1640</v>
      </c>
      <c r="E434" s="2">
        <v>36675.0</v>
      </c>
      <c r="F434" s="1" t="s">
        <v>16</v>
      </c>
      <c r="G434" s="1" t="s">
        <v>82</v>
      </c>
      <c r="H434" s="1" t="s">
        <v>18</v>
      </c>
      <c r="I434" s="3">
        <f>+2250507321745</f>
        <v>2250507321745</v>
      </c>
      <c r="J434" s="3">
        <f>+2250748399894</f>
        <v>2250748399894</v>
      </c>
      <c r="K434" s="1" t="s">
        <v>19</v>
      </c>
      <c r="L434" s="4" t="s">
        <v>1641</v>
      </c>
    </row>
    <row r="435">
      <c r="A435" s="1" t="s">
        <v>12</v>
      </c>
      <c r="B435" s="1" t="s">
        <v>1642</v>
      </c>
      <c r="C435" s="1" t="s">
        <v>1621</v>
      </c>
      <c r="D435" s="1" t="s">
        <v>1643</v>
      </c>
      <c r="E435" s="5">
        <v>38342.0</v>
      </c>
      <c r="F435" s="1" t="s">
        <v>416</v>
      </c>
      <c r="G435" s="1" t="s">
        <v>76</v>
      </c>
      <c r="H435" s="1" t="s">
        <v>32</v>
      </c>
      <c r="I435" s="3">
        <f>+2250576186267</f>
        <v>2250576186267</v>
      </c>
      <c r="J435" s="3">
        <f>+2250586171336</f>
        <v>2250586171336</v>
      </c>
      <c r="K435" s="1" t="s">
        <v>19</v>
      </c>
      <c r="L435" s="4" t="s">
        <v>1644</v>
      </c>
    </row>
    <row r="436">
      <c r="A436" s="1" t="s">
        <v>12</v>
      </c>
      <c r="B436" s="1" t="s">
        <v>1645</v>
      </c>
      <c r="C436" s="1" t="s">
        <v>1621</v>
      </c>
      <c r="D436" s="1" t="s">
        <v>1646</v>
      </c>
      <c r="E436" s="2">
        <v>37386.0</v>
      </c>
      <c r="F436" s="1" t="s">
        <v>75</v>
      </c>
      <c r="G436" s="1" t="s">
        <v>31</v>
      </c>
      <c r="H436" s="1" t="s">
        <v>32</v>
      </c>
      <c r="I436" s="3">
        <f>+2250711058737</f>
        <v>2250711058737</v>
      </c>
      <c r="J436" s="3">
        <f>+2250787352142</f>
        <v>2250787352142</v>
      </c>
      <c r="K436" s="1" t="s">
        <v>19</v>
      </c>
      <c r="L436" s="4" t="s">
        <v>1647</v>
      </c>
    </row>
    <row r="437">
      <c r="A437" s="1" t="s">
        <v>12</v>
      </c>
      <c r="B437" s="1" t="s">
        <v>1648</v>
      </c>
      <c r="C437" s="1" t="s">
        <v>1621</v>
      </c>
      <c r="D437" s="1" t="s">
        <v>1649</v>
      </c>
      <c r="E437" s="2">
        <v>38560.0</v>
      </c>
      <c r="F437" s="1" t="s">
        <v>48</v>
      </c>
      <c r="G437" s="1" t="s">
        <v>76</v>
      </c>
      <c r="H437" s="1" t="s">
        <v>32</v>
      </c>
      <c r="I437" s="3">
        <f>+2250767302612</f>
        <v>2250767302612</v>
      </c>
      <c r="J437" s="3">
        <f>+2250707556194</f>
        <v>2250707556194</v>
      </c>
      <c r="K437" s="1" t="s">
        <v>19</v>
      </c>
      <c r="L437" s="4" t="s">
        <v>1650</v>
      </c>
    </row>
    <row r="438">
      <c r="A438" s="1" t="s">
        <v>12</v>
      </c>
      <c r="B438" s="1" t="s">
        <v>1651</v>
      </c>
      <c r="C438" s="1" t="s">
        <v>1621</v>
      </c>
      <c r="D438" s="1" t="s">
        <v>1652</v>
      </c>
      <c r="E438" s="2">
        <v>37359.0</v>
      </c>
      <c r="F438" s="1" t="s">
        <v>53</v>
      </c>
      <c r="G438" s="1" t="s">
        <v>17</v>
      </c>
      <c r="H438" s="1" t="s">
        <v>18</v>
      </c>
      <c r="I438" s="3">
        <f>+2250767352151</f>
        <v>2250767352151</v>
      </c>
      <c r="J438" s="3">
        <f>+2250708658147</f>
        <v>2250708658147</v>
      </c>
      <c r="K438" s="1" t="s">
        <v>19</v>
      </c>
      <c r="L438" s="4" t="s">
        <v>1653</v>
      </c>
    </row>
    <row r="439">
      <c r="A439" s="1" t="s">
        <v>12</v>
      </c>
      <c r="B439" s="1" t="s">
        <v>1654</v>
      </c>
      <c r="C439" s="1" t="s">
        <v>1655</v>
      </c>
      <c r="D439" s="1" t="s">
        <v>1656</v>
      </c>
      <c r="E439" s="2">
        <v>37791.0</v>
      </c>
      <c r="F439" s="1" t="s">
        <v>75</v>
      </c>
      <c r="G439" s="1" t="s">
        <v>76</v>
      </c>
      <c r="H439" s="1" t="s">
        <v>32</v>
      </c>
      <c r="I439" s="3">
        <f>+2250797080561</f>
        <v>2250797080561</v>
      </c>
      <c r="J439" s="3">
        <f>+2250585499317</f>
        <v>2250585499317</v>
      </c>
      <c r="K439" s="1" t="s">
        <v>19</v>
      </c>
      <c r="L439" s="4" t="s">
        <v>1657</v>
      </c>
    </row>
    <row r="440">
      <c r="A440" s="1" t="s">
        <v>12</v>
      </c>
      <c r="B440" s="1" t="s">
        <v>1658</v>
      </c>
      <c r="C440" s="1" t="s">
        <v>1659</v>
      </c>
      <c r="D440" s="1" t="s">
        <v>1660</v>
      </c>
      <c r="E440" s="2">
        <v>37562.0</v>
      </c>
      <c r="F440" s="1" t="s">
        <v>30</v>
      </c>
      <c r="G440" s="1" t="s">
        <v>76</v>
      </c>
      <c r="H440" s="1" t="s">
        <v>32</v>
      </c>
      <c r="I440" s="3">
        <f>+2250710020756</f>
        <v>2250710020756</v>
      </c>
      <c r="J440" s="3">
        <f>+2250758934939</f>
        <v>2250758934939</v>
      </c>
      <c r="K440" s="1" t="s">
        <v>19</v>
      </c>
      <c r="L440" s="4" t="s">
        <v>1661</v>
      </c>
    </row>
    <row r="441">
      <c r="A441" s="1" t="s">
        <v>12</v>
      </c>
      <c r="B441" s="1" t="s">
        <v>1662</v>
      </c>
      <c r="C441" s="1" t="s">
        <v>1659</v>
      </c>
      <c r="D441" s="1" t="s">
        <v>1663</v>
      </c>
      <c r="E441" s="2">
        <v>36697.0</v>
      </c>
      <c r="F441" s="1" t="s">
        <v>53</v>
      </c>
      <c r="G441" s="1" t="s">
        <v>17</v>
      </c>
      <c r="H441" s="1" t="s">
        <v>18</v>
      </c>
      <c r="I441" s="3">
        <f>+2250150690180</f>
        <v>2250150690180</v>
      </c>
      <c r="J441" s="3">
        <f>+2250788985027</f>
        <v>2250788985027</v>
      </c>
      <c r="K441" s="1" t="s">
        <v>19</v>
      </c>
      <c r="L441" s="4" t="s">
        <v>1664</v>
      </c>
    </row>
    <row r="442">
      <c r="A442" s="1" t="s">
        <v>12</v>
      </c>
      <c r="B442" s="1" t="s">
        <v>1665</v>
      </c>
      <c r="C442" s="1" t="s">
        <v>1666</v>
      </c>
      <c r="D442" s="1" t="s">
        <v>1667</v>
      </c>
      <c r="E442" s="2">
        <v>38012.0</v>
      </c>
      <c r="F442" s="1" t="s">
        <v>62</v>
      </c>
      <c r="G442" s="1" t="s">
        <v>17</v>
      </c>
      <c r="H442" s="1" t="s">
        <v>18</v>
      </c>
      <c r="I442" s="3">
        <f>+2250596490295</f>
        <v>2250596490295</v>
      </c>
      <c r="J442" s="3">
        <f>+2250141010189</f>
        <v>2250141010189</v>
      </c>
      <c r="K442" s="1" t="s">
        <v>19</v>
      </c>
      <c r="L442" s="4" t="s">
        <v>1668</v>
      </c>
    </row>
    <row r="443">
      <c r="A443" s="1" t="s">
        <v>12</v>
      </c>
      <c r="B443" s="1" t="s">
        <v>1669</v>
      </c>
      <c r="C443" s="1" t="s">
        <v>1670</v>
      </c>
      <c r="D443" s="1" t="s">
        <v>1671</v>
      </c>
      <c r="E443" s="2">
        <v>38045.0</v>
      </c>
      <c r="F443" s="1" t="s">
        <v>138</v>
      </c>
      <c r="G443" s="1" t="s">
        <v>31</v>
      </c>
      <c r="H443" s="1" t="s">
        <v>32</v>
      </c>
      <c r="I443" s="3">
        <f>+2250789003422</f>
        <v>2250789003422</v>
      </c>
      <c r="J443" s="3">
        <f>+2250708928426</f>
        <v>2250708928426</v>
      </c>
      <c r="K443" s="1" t="s">
        <v>19</v>
      </c>
      <c r="L443" s="4" t="s">
        <v>1672</v>
      </c>
    </row>
    <row r="444">
      <c r="A444" s="1" t="s">
        <v>12</v>
      </c>
      <c r="B444" s="1" t="s">
        <v>1673</v>
      </c>
      <c r="C444" s="1" t="s">
        <v>1674</v>
      </c>
      <c r="D444" s="1" t="s">
        <v>1675</v>
      </c>
      <c r="E444" s="2">
        <v>38258.0</v>
      </c>
      <c r="F444" s="1" t="s">
        <v>62</v>
      </c>
      <c r="G444" s="1" t="s">
        <v>17</v>
      </c>
      <c r="H444" s="1" t="s">
        <v>18</v>
      </c>
      <c r="I444" s="3">
        <f>+2250769262901</f>
        <v>2250769262901</v>
      </c>
      <c r="J444" s="3">
        <f>+2250749499315</f>
        <v>2250749499315</v>
      </c>
      <c r="K444" s="1" t="s">
        <v>19</v>
      </c>
      <c r="L444" s="4" t="s">
        <v>1676</v>
      </c>
    </row>
    <row r="445">
      <c r="A445" s="1" t="s">
        <v>12</v>
      </c>
      <c r="B445" s="1" t="s">
        <v>1677</v>
      </c>
      <c r="C445" s="1" t="s">
        <v>1678</v>
      </c>
      <c r="D445" s="1" t="s">
        <v>1679</v>
      </c>
      <c r="E445" s="2">
        <v>37835.0</v>
      </c>
      <c r="F445" s="1" t="s">
        <v>351</v>
      </c>
      <c r="G445" s="1" t="s">
        <v>82</v>
      </c>
      <c r="H445" s="1" t="s">
        <v>18</v>
      </c>
      <c r="I445" s="3">
        <f>+2250757536950</f>
        <v>2250757536950</v>
      </c>
      <c r="J445" s="3">
        <f>+2250103871950</f>
        <v>2250103871950</v>
      </c>
      <c r="K445" s="1" t="s">
        <v>19</v>
      </c>
      <c r="L445" s="4" t="s">
        <v>1680</v>
      </c>
    </row>
    <row r="446">
      <c r="A446" s="1" t="s">
        <v>12</v>
      </c>
      <c r="B446" s="1" t="s">
        <v>1681</v>
      </c>
      <c r="C446" s="1" t="s">
        <v>1678</v>
      </c>
      <c r="D446" s="1" t="s">
        <v>1682</v>
      </c>
      <c r="E446" s="2">
        <v>38022.0</v>
      </c>
      <c r="F446" s="1" t="s">
        <v>16</v>
      </c>
      <c r="G446" s="1" t="s">
        <v>25</v>
      </c>
      <c r="H446" s="1" t="s">
        <v>18</v>
      </c>
      <c r="I446" s="3">
        <f>+2250151386449</f>
        <v>2250151386449</v>
      </c>
      <c r="J446" s="3">
        <f>+2250709819144</f>
        <v>2250709819144</v>
      </c>
      <c r="K446" s="1" t="s">
        <v>19</v>
      </c>
      <c r="L446" s="4" t="s">
        <v>1683</v>
      </c>
    </row>
    <row r="447">
      <c r="A447" s="1" t="s">
        <v>12</v>
      </c>
      <c r="B447" s="1" t="s">
        <v>1684</v>
      </c>
      <c r="C447" s="1" t="s">
        <v>1685</v>
      </c>
      <c r="D447" s="1" t="s">
        <v>1686</v>
      </c>
      <c r="E447" s="2">
        <v>37567.0</v>
      </c>
      <c r="F447" s="1" t="s">
        <v>155</v>
      </c>
      <c r="G447" s="1" t="s">
        <v>31</v>
      </c>
      <c r="H447" s="1" t="s">
        <v>32</v>
      </c>
      <c r="I447" s="3">
        <f>+2250702743111</f>
        <v>2250702743111</v>
      </c>
      <c r="J447" s="3">
        <f>+2250708292577</f>
        <v>2250708292577</v>
      </c>
      <c r="K447" s="1" t="s">
        <v>19</v>
      </c>
      <c r="L447" s="4" t="s">
        <v>1687</v>
      </c>
    </row>
    <row r="448">
      <c r="A448" s="1" t="s">
        <v>12</v>
      </c>
      <c r="B448" s="1" t="s">
        <v>1688</v>
      </c>
      <c r="C448" s="1" t="s">
        <v>1689</v>
      </c>
      <c r="D448" s="1" t="s">
        <v>1690</v>
      </c>
      <c r="E448" s="2">
        <v>37348.0</v>
      </c>
      <c r="F448" s="1" t="s">
        <v>16</v>
      </c>
      <c r="G448" s="1" t="s">
        <v>17</v>
      </c>
      <c r="H448" s="1" t="s">
        <v>18</v>
      </c>
      <c r="I448" s="3">
        <f>+2250789922202</f>
        <v>2250789922202</v>
      </c>
      <c r="J448" s="3">
        <f>+2250797115797</f>
        <v>2250797115797</v>
      </c>
      <c r="K448" s="1" t="s">
        <v>19</v>
      </c>
      <c r="L448" s="4" t="s">
        <v>1691</v>
      </c>
    </row>
    <row r="449">
      <c r="A449" s="1" t="s">
        <v>12</v>
      </c>
      <c r="B449" s="1" t="s">
        <v>1692</v>
      </c>
      <c r="C449" s="1" t="s">
        <v>1689</v>
      </c>
      <c r="D449" s="1" t="s">
        <v>1693</v>
      </c>
      <c r="E449" s="2">
        <v>38494.0</v>
      </c>
      <c r="F449" s="1" t="s">
        <v>16</v>
      </c>
      <c r="G449" s="1" t="s">
        <v>82</v>
      </c>
      <c r="H449" s="1" t="s">
        <v>18</v>
      </c>
      <c r="I449" s="3">
        <f>+2250788200175</f>
        <v>2250788200175</v>
      </c>
      <c r="J449" s="3">
        <f>+2250749947169</f>
        <v>2250749947169</v>
      </c>
      <c r="K449" s="1" t="s">
        <v>19</v>
      </c>
      <c r="L449" s="4" t="s">
        <v>1694</v>
      </c>
    </row>
    <row r="450">
      <c r="A450" s="1" t="s">
        <v>12</v>
      </c>
      <c r="B450" s="1" t="s">
        <v>1695</v>
      </c>
      <c r="C450" s="1" t="s">
        <v>1696</v>
      </c>
      <c r="D450" s="1" t="s">
        <v>1697</v>
      </c>
      <c r="E450" s="5">
        <v>37541.0</v>
      </c>
      <c r="F450" s="1" t="s">
        <v>62</v>
      </c>
      <c r="G450" s="1" t="s">
        <v>17</v>
      </c>
      <c r="H450" s="1" t="s">
        <v>18</v>
      </c>
      <c r="I450" s="3">
        <f>+2250787101310</f>
        <v>2250787101310</v>
      </c>
      <c r="J450" s="3">
        <f>+2250707617803</f>
        <v>2250707617803</v>
      </c>
      <c r="K450" s="1" t="s">
        <v>19</v>
      </c>
      <c r="L450" s="4" t="s">
        <v>1698</v>
      </c>
    </row>
    <row r="451">
      <c r="A451" s="1" t="s">
        <v>12</v>
      </c>
      <c r="B451" s="1" t="s">
        <v>1699</v>
      </c>
      <c r="C451" s="1" t="s">
        <v>1700</v>
      </c>
      <c r="D451" s="1" t="s">
        <v>1701</v>
      </c>
      <c r="E451" s="2">
        <v>37778.0</v>
      </c>
      <c r="F451" s="1" t="s">
        <v>30</v>
      </c>
      <c r="G451" s="1" t="s">
        <v>76</v>
      </c>
      <c r="H451" s="1" t="s">
        <v>32</v>
      </c>
      <c r="I451" s="3">
        <f>+2250767300478</f>
        <v>2250767300478</v>
      </c>
      <c r="J451" s="3">
        <f>+2250140208418</f>
        <v>2250140208418</v>
      </c>
      <c r="K451" s="1" t="s">
        <v>19</v>
      </c>
      <c r="L451" s="4" t="s">
        <v>1702</v>
      </c>
    </row>
    <row r="452">
      <c r="A452" s="1" t="s">
        <v>12</v>
      </c>
      <c r="B452" s="1" t="s">
        <v>1703</v>
      </c>
      <c r="C452" s="1" t="s">
        <v>1704</v>
      </c>
      <c r="D452" s="1" t="s">
        <v>1705</v>
      </c>
      <c r="E452" s="5">
        <v>37939.0</v>
      </c>
      <c r="F452" s="1" t="s">
        <v>92</v>
      </c>
      <c r="G452" s="1" t="s">
        <v>76</v>
      </c>
      <c r="H452" s="1" t="s">
        <v>32</v>
      </c>
      <c r="I452" s="3">
        <f>+2250504118706</f>
        <v>2250504118706</v>
      </c>
      <c r="J452" s="3">
        <f>+2250788242947</f>
        <v>2250788242947</v>
      </c>
      <c r="K452" s="1" t="s">
        <v>19</v>
      </c>
      <c r="L452" s="4" t="s">
        <v>1706</v>
      </c>
    </row>
    <row r="453">
      <c r="A453" s="1" t="s">
        <v>12</v>
      </c>
      <c r="B453" s="1" t="s">
        <v>1707</v>
      </c>
      <c r="C453" s="1" t="s">
        <v>1704</v>
      </c>
      <c r="D453" s="1" t="s">
        <v>1708</v>
      </c>
      <c r="E453" s="2">
        <v>38518.0</v>
      </c>
      <c r="F453" s="1" t="s">
        <v>101</v>
      </c>
      <c r="G453" s="1" t="s">
        <v>76</v>
      </c>
      <c r="H453" s="1" t="s">
        <v>32</v>
      </c>
      <c r="I453" s="3">
        <f>+2250748876118</f>
        <v>2250748876118</v>
      </c>
      <c r="J453" s="3">
        <f>+2250757147642</f>
        <v>2250757147642</v>
      </c>
      <c r="K453" s="1" t="s">
        <v>19</v>
      </c>
      <c r="L453" s="4" t="s">
        <v>1709</v>
      </c>
    </row>
    <row r="454">
      <c r="A454" s="1" t="s">
        <v>12</v>
      </c>
      <c r="B454" s="1" t="s">
        <v>1710</v>
      </c>
      <c r="C454" s="1" t="s">
        <v>1704</v>
      </c>
      <c r="D454" s="1" t="s">
        <v>1711</v>
      </c>
      <c r="E454" s="2">
        <v>37802.0</v>
      </c>
      <c r="F454" s="1" t="s">
        <v>30</v>
      </c>
      <c r="G454" s="1" t="s">
        <v>31</v>
      </c>
      <c r="H454" s="1" t="s">
        <v>32</v>
      </c>
      <c r="I454" s="3">
        <f>+2250153596421</f>
        <v>2250153596421</v>
      </c>
      <c r="J454" s="3">
        <f>+2250778193678</f>
        <v>2250778193678</v>
      </c>
      <c r="K454" s="1" t="s">
        <v>19</v>
      </c>
      <c r="L454" s="4" t="s">
        <v>1712</v>
      </c>
    </row>
    <row r="455">
      <c r="A455" s="1" t="s">
        <v>12</v>
      </c>
      <c r="B455" s="1" t="s">
        <v>1713</v>
      </c>
      <c r="C455" s="1" t="s">
        <v>1704</v>
      </c>
      <c r="D455" s="1" t="s">
        <v>1714</v>
      </c>
      <c r="E455" s="2">
        <v>36617.0</v>
      </c>
      <c r="F455" s="1" t="s">
        <v>62</v>
      </c>
      <c r="G455" s="1" t="s">
        <v>17</v>
      </c>
      <c r="H455" s="1" t="s">
        <v>18</v>
      </c>
      <c r="I455" s="3">
        <f>+2250140576112</f>
        <v>2250140576112</v>
      </c>
      <c r="J455" s="3">
        <f>+2250798842066</f>
        <v>2250798842066</v>
      </c>
      <c r="K455" s="1" t="s">
        <v>19</v>
      </c>
      <c r="L455" s="4" t="s">
        <v>1715</v>
      </c>
    </row>
    <row r="456">
      <c r="A456" s="1" t="s">
        <v>12</v>
      </c>
      <c r="B456" s="1" t="s">
        <v>1716</v>
      </c>
      <c r="C456" s="1" t="s">
        <v>1704</v>
      </c>
      <c r="D456" s="1" t="s">
        <v>1714</v>
      </c>
      <c r="E456" s="2">
        <v>37880.0</v>
      </c>
      <c r="F456" s="1" t="s">
        <v>30</v>
      </c>
      <c r="G456" s="1" t="s">
        <v>76</v>
      </c>
      <c r="H456" s="1" t="s">
        <v>32</v>
      </c>
      <c r="I456" s="3">
        <f>+2250585267908</f>
        <v>2250585267908</v>
      </c>
      <c r="J456" s="3">
        <f>+2250757818033</f>
        <v>2250757818033</v>
      </c>
      <c r="K456" s="1" t="s">
        <v>19</v>
      </c>
      <c r="L456" s="4" t="s">
        <v>1717</v>
      </c>
    </row>
    <row r="457">
      <c r="A457" s="1" t="s">
        <v>12</v>
      </c>
      <c r="B457" s="1" t="s">
        <v>1718</v>
      </c>
      <c r="C457" s="1" t="s">
        <v>1704</v>
      </c>
      <c r="D457" s="1" t="s">
        <v>1719</v>
      </c>
      <c r="E457" s="5">
        <v>37559.0</v>
      </c>
      <c r="F457" s="1" t="s">
        <v>16</v>
      </c>
      <c r="G457" s="1" t="s">
        <v>25</v>
      </c>
      <c r="H457" s="1" t="s">
        <v>18</v>
      </c>
      <c r="I457" s="3">
        <f>+2250141781616</f>
        <v>2250141781616</v>
      </c>
      <c r="J457" s="3">
        <f>+2250102008256</f>
        <v>2250102008256</v>
      </c>
      <c r="K457" s="1" t="s">
        <v>19</v>
      </c>
      <c r="L457" s="4" t="s">
        <v>1720</v>
      </c>
    </row>
    <row r="458">
      <c r="A458" s="1" t="s">
        <v>12</v>
      </c>
      <c r="B458" s="1" t="s">
        <v>1721</v>
      </c>
      <c r="C458" s="1" t="s">
        <v>1704</v>
      </c>
      <c r="D458" s="1" t="s">
        <v>1722</v>
      </c>
      <c r="E458" s="5">
        <v>37220.0</v>
      </c>
      <c r="F458" s="1" t="s">
        <v>1723</v>
      </c>
      <c r="G458" s="1" t="s">
        <v>82</v>
      </c>
      <c r="H458" s="1" t="s">
        <v>18</v>
      </c>
      <c r="I458" s="3">
        <f>+2250142992411</f>
        <v>2250142992411</v>
      </c>
      <c r="J458" s="3">
        <f>+2250173085907</f>
        <v>2250173085907</v>
      </c>
      <c r="K458" s="1" t="s">
        <v>19</v>
      </c>
      <c r="L458" s="4" t="s">
        <v>1724</v>
      </c>
    </row>
    <row r="459">
      <c r="A459" s="1" t="s">
        <v>12</v>
      </c>
      <c r="B459" s="1" t="s">
        <v>1725</v>
      </c>
      <c r="C459" s="1" t="s">
        <v>1704</v>
      </c>
      <c r="D459" s="1" t="s">
        <v>1726</v>
      </c>
      <c r="E459" s="5">
        <v>38303.0</v>
      </c>
      <c r="F459" s="1" t="s">
        <v>53</v>
      </c>
      <c r="G459" s="1" t="s">
        <v>25</v>
      </c>
      <c r="H459" s="1" t="s">
        <v>18</v>
      </c>
      <c r="I459" s="3">
        <f>+2250777967528</f>
        <v>2250777967528</v>
      </c>
      <c r="J459" s="3">
        <f>+2250707137514</f>
        <v>2250707137514</v>
      </c>
      <c r="K459" s="1" t="s">
        <v>19</v>
      </c>
      <c r="L459" s="4" t="s">
        <v>1727</v>
      </c>
    </row>
    <row r="460">
      <c r="A460" s="1" t="s">
        <v>12</v>
      </c>
      <c r="B460" s="1" t="s">
        <v>1728</v>
      </c>
      <c r="C460" s="1" t="s">
        <v>1704</v>
      </c>
      <c r="D460" s="1" t="s">
        <v>1729</v>
      </c>
      <c r="E460" s="2">
        <v>37459.0</v>
      </c>
      <c r="F460" s="1" t="s">
        <v>62</v>
      </c>
      <c r="G460" s="1" t="s">
        <v>17</v>
      </c>
      <c r="H460" s="1" t="s">
        <v>18</v>
      </c>
      <c r="I460" s="3">
        <f t="shared" ref="I460:J460" si="14">+2250574112499</f>
        <v>2250574112499</v>
      </c>
      <c r="J460" s="3">
        <f t="shared" si="14"/>
        <v>2250574112499</v>
      </c>
      <c r="K460" s="1" t="s">
        <v>19</v>
      </c>
      <c r="L460" s="4" t="s">
        <v>1730</v>
      </c>
    </row>
    <row r="461">
      <c r="A461" s="1" t="s">
        <v>12</v>
      </c>
      <c r="B461" s="1" t="s">
        <v>1731</v>
      </c>
      <c r="C461" s="1" t="s">
        <v>1704</v>
      </c>
      <c r="D461" s="1" t="s">
        <v>1732</v>
      </c>
      <c r="E461" s="2">
        <v>37357.0</v>
      </c>
      <c r="F461" s="1" t="s">
        <v>167</v>
      </c>
      <c r="G461" s="1" t="s">
        <v>82</v>
      </c>
      <c r="H461" s="1" t="s">
        <v>18</v>
      </c>
      <c r="I461" s="3">
        <f>+2250779335030</f>
        <v>2250779335030</v>
      </c>
      <c r="J461" s="3">
        <f>+2250505173484</f>
        <v>2250505173484</v>
      </c>
      <c r="K461" s="1" t="s">
        <v>19</v>
      </c>
      <c r="L461" s="4" t="s">
        <v>1733</v>
      </c>
    </row>
    <row r="462">
      <c r="A462" s="1" t="s">
        <v>12</v>
      </c>
      <c r="B462" s="1" t="s">
        <v>1734</v>
      </c>
      <c r="C462" s="1" t="s">
        <v>1704</v>
      </c>
      <c r="D462" s="1" t="s">
        <v>1735</v>
      </c>
      <c r="E462" s="2">
        <v>37694.0</v>
      </c>
      <c r="F462" s="1" t="s">
        <v>101</v>
      </c>
      <c r="G462" s="1" t="s">
        <v>76</v>
      </c>
      <c r="H462" s="1" t="s">
        <v>32</v>
      </c>
      <c r="I462" s="3">
        <f t="shared" ref="I462:J462" si="15">+2250788057055</f>
        <v>2250788057055</v>
      </c>
      <c r="J462" s="3">
        <f t="shared" si="15"/>
        <v>2250788057055</v>
      </c>
      <c r="K462" s="1" t="s">
        <v>19</v>
      </c>
      <c r="L462" s="4" t="s">
        <v>1736</v>
      </c>
    </row>
    <row r="463">
      <c r="A463" s="1" t="s">
        <v>12</v>
      </c>
      <c r="B463" s="1" t="s">
        <v>1737</v>
      </c>
      <c r="C463" s="1" t="s">
        <v>1704</v>
      </c>
      <c r="D463" s="1" t="s">
        <v>1735</v>
      </c>
      <c r="E463" s="5">
        <v>38335.0</v>
      </c>
      <c r="F463" s="1" t="s">
        <v>62</v>
      </c>
      <c r="G463" s="1" t="s">
        <v>25</v>
      </c>
      <c r="H463" s="1" t="s">
        <v>18</v>
      </c>
      <c r="I463" s="3">
        <f>+2250566403066</f>
        <v>2250566403066</v>
      </c>
      <c r="J463" s="3">
        <f>+2250556568555</f>
        <v>2250556568555</v>
      </c>
      <c r="K463" s="1" t="s">
        <v>19</v>
      </c>
      <c r="L463" s="4" t="s">
        <v>1738</v>
      </c>
    </row>
    <row r="464">
      <c r="A464" s="1" t="s">
        <v>12</v>
      </c>
      <c r="B464" s="1" t="s">
        <v>1739</v>
      </c>
      <c r="C464" s="1" t="s">
        <v>1704</v>
      </c>
      <c r="D464" s="1" t="s">
        <v>1740</v>
      </c>
      <c r="E464" s="5">
        <v>36871.0</v>
      </c>
      <c r="F464" s="1" t="s">
        <v>62</v>
      </c>
      <c r="G464" s="1" t="s">
        <v>17</v>
      </c>
      <c r="H464" s="1" t="s">
        <v>18</v>
      </c>
      <c r="I464" s="3">
        <f>+2250769789400</f>
        <v>2250769789400</v>
      </c>
      <c r="J464" s="3">
        <f>+2250506391644</f>
        <v>2250506391644</v>
      </c>
      <c r="K464" s="1" t="s">
        <v>19</v>
      </c>
      <c r="L464" s="4" t="s">
        <v>1741</v>
      </c>
    </row>
    <row r="465">
      <c r="A465" s="1" t="s">
        <v>12</v>
      </c>
      <c r="B465" s="1" t="s">
        <v>1742</v>
      </c>
      <c r="C465" s="1" t="s">
        <v>1704</v>
      </c>
      <c r="D465" s="1" t="s">
        <v>1743</v>
      </c>
      <c r="E465" s="2">
        <v>38179.0</v>
      </c>
      <c r="F465" s="1" t="s">
        <v>30</v>
      </c>
      <c r="G465" s="1" t="s">
        <v>76</v>
      </c>
      <c r="H465" s="1" t="s">
        <v>32</v>
      </c>
      <c r="I465" s="3">
        <f>+2250709838878</f>
        <v>2250709838878</v>
      </c>
      <c r="J465" s="3">
        <f>+2250709331666</f>
        <v>2250709331666</v>
      </c>
      <c r="K465" s="1" t="s">
        <v>19</v>
      </c>
      <c r="L465" s="4" t="s">
        <v>1744</v>
      </c>
    </row>
    <row r="466">
      <c r="A466" s="1" t="s">
        <v>12</v>
      </c>
      <c r="B466" s="1" t="s">
        <v>1745</v>
      </c>
      <c r="C466" s="1" t="s">
        <v>1704</v>
      </c>
      <c r="D466" s="1" t="s">
        <v>1746</v>
      </c>
      <c r="E466" s="2">
        <v>37476.0</v>
      </c>
      <c r="F466" s="1" t="s">
        <v>155</v>
      </c>
      <c r="G466" s="1" t="s">
        <v>76</v>
      </c>
      <c r="H466" s="1" t="s">
        <v>32</v>
      </c>
      <c r="I466" s="3">
        <f>+2250758239000</f>
        <v>2250758239000</v>
      </c>
      <c r="J466" s="3">
        <f>+2250504883113</f>
        <v>2250504883113</v>
      </c>
      <c r="K466" s="1" t="s">
        <v>19</v>
      </c>
      <c r="L466" s="4" t="s">
        <v>1747</v>
      </c>
    </row>
    <row r="467">
      <c r="A467" s="1" t="s">
        <v>12</v>
      </c>
      <c r="B467" s="1" t="s">
        <v>1748</v>
      </c>
      <c r="C467" s="1" t="s">
        <v>1704</v>
      </c>
      <c r="D467" s="1" t="s">
        <v>1749</v>
      </c>
      <c r="E467" s="5">
        <v>37947.0</v>
      </c>
      <c r="F467" s="1" t="s">
        <v>62</v>
      </c>
      <c r="G467" s="1" t="s">
        <v>17</v>
      </c>
      <c r="H467" s="1" t="s">
        <v>18</v>
      </c>
      <c r="I467" s="3">
        <f>+2250544195490</f>
        <v>2250544195490</v>
      </c>
      <c r="J467" s="3">
        <f>+2250748012436</f>
        <v>2250748012436</v>
      </c>
      <c r="K467" s="1" t="s">
        <v>19</v>
      </c>
      <c r="L467" s="4" t="s">
        <v>1750</v>
      </c>
    </row>
    <row r="468">
      <c r="A468" s="1" t="s">
        <v>12</v>
      </c>
      <c r="B468" s="1" t="s">
        <v>1751</v>
      </c>
      <c r="C468" s="1" t="s">
        <v>1752</v>
      </c>
      <c r="D468" s="1" t="s">
        <v>1753</v>
      </c>
      <c r="E468" s="2">
        <v>37564.0</v>
      </c>
      <c r="F468" s="1" t="s">
        <v>16</v>
      </c>
      <c r="G468" s="1" t="s">
        <v>17</v>
      </c>
      <c r="H468" s="1" t="s">
        <v>18</v>
      </c>
      <c r="I468" s="3">
        <f>+2250757150673</f>
        <v>2250757150673</v>
      </c>
      <c r="J468" s="3">
        <f>+2250747200123</f>
        <v>2250747200123</v>
      </c>
      <c r="K468" s="1" t="s">
        <v>19</v>
      </c>
      <c r="L468" s="4" t="s">
        <v>1754</v>
      </c>
    </row>
    <row r="469">
      <c r="A469" s="1" t="s">
        <v>12</v>
      </c>
      <c r="B469" s="1" t="s">
        <v>1755</v>
      </c>
      <c r="C469" s="1" t="s">
        <v>1752</v>
      </c>
      <c r="D469" s="1" t="s">
        <v>1756</v>
      </c>
      <c r="E469" s="2">
        <v>36972.0</v>
      </c>
      <c r="F469" s="1" t="s">
        <v>155</v>
      </c>
      <c r="G469" s="1" t="s">
        <v>31</v>
      </c>
      <c r="H469" s="1" t="s">
        <v>32</v>
      </c>
      <c r="I469" s="3">
        <f>+2250173457245</f>
        <v>2250173457245</v>
      </c>
      <c r="J469" s="3">
        <f>+2250708381970</f>
        <v>2250708381970</v>
      </c>
      <c r="K469" s="1" t="s">
        <v>19</v>
      </c>
      <c r="L469" s="4" t="s">
        <v>1757</v>
      </c>
    </row>
    <row r="470">
      <c r="A470" s="1" t="s">
        <v>12</v>
      </c>
      <c r="B470" s="1" t="s">
        <v>1758</v>
      </c>
      <c r="C470" s="1" t="s">
        <v>1752</v>
      </c>
      <c r="D470" s="1" t="s">
        <v>1759</v>
      </c>
      <c r="E470" s="2">
        <v>37739.0</v>
      </c>
      <c r="F470" s="1" t="s">
        <v>48</v>
      </c>
      <c r="G470" s="1" t="s">
        <v>31</v>
      </c>
      <c r="H470" s="1" t="s">
        <v>32</v>
      </c>
      <c r="I470" s="3">
        <f>+2250759392524</f>
        <v>2250759392524</v>
      </c>
      <c r="J470" s="3">
        <f>+2250759950250</f>
        <v>2250759950250</v>
      </c>
      <c r="K470" s="1" t="s">
        <v>19</v>
      </c>
      <c r="L470" s="4" t="s">
        <v>1760</v>
      </c>
    </row>
    <row r="471">
      <c r="A471" s="1" t="s">
        <v>12</v>
      </c>
      <c r="B471" s="1" t="s">
        <v>1761</v>
      </c>
      <c r="C471" s="1" t="s">
        <v>1762</v>
      </c>
      <c r="D471" s="1" t="s">
        <v>1763</v>
      </c>
      <c r="E471" s="2">
        <v>37048.0</v>
      </c>
      <c r="F471" s="1" t="s">
        <v>16</v>
      </c>
      <c r="G471" s="1" t="s">
        <v>17</v>
      </c>
      <c r="H471" s="1" t="s">
        <v>18</v>
      </c>
      <c r="I471" s="3">
        <f>+2250586801916</f>
        <v>2250586801916</v>
      </c>
      <c r="J471" s="3">
        <f>+2250545129506</f>
        <v>2250545129506</v>
      </c>
      <c r="K471" s="1" t="s">
        <v>19</v>
      </c>
      <c r="L471" s="4" t="s">
        <v>1764</v>
      </c>
    </row>
    <row r="472">
      <c r="A472" s="1" t="s">
        <v>12</v>
      </c>
      <c r="B472" s="1" t="s">
        <v>1765</v>
      </c>
      <c r="C472" s="1" t="s">
        <v>1766</v>
      </c>
      <c r="D472" s="1" t="s">
        <v>1767</v>
      </c>
      <c r="E472" s="2">
        <v>36618.0</v>
      </c>
      <c r="F472" s="1" t="s">
        <v>87</v>
      </c>
      <c r="G472" s="1" t="s">
        <v>31</v>
      </c>
      <c r="H472" s="1" t="s">
        <v>32</v>
      </c>
      <c r="I472" s="3">
        <f>+2250749489915</f>
        <v>2250749489915</v>
      </c>
      <c r="J472" s="3">
        <f>+2250707131743</f>
        <v>2250707131743</v>
      </c>
      <c r="K472" s="1" t="s">
        <v>19</v>
      </c>
      <c r="L472" s="4" t="s">
        <v>1768</v>
      </c>
    </row>
    <row r="473">
      <c r="A473" s="1" t="s">
        <v>12</v>
      </c>
      <c r="B473" s="1" t="s">
        <v>1769</v>
      </c>
      <c r="C473" s="1" t="s">
        <v>1770</v>
      </c>
      <c r="D473" s="1" t="s">
        <v>1771</v>
      </c>
      <c r="E473" s="5">
        <v>37935.0</v>
      </c>
      <c r="F473" s="1" t="s">
        <v>92</v>
      </c>
      <c r="G473" s="1" t="s">
        <v>82</v>
      </c>
      <c r="H473" s="1" t="s">
        <v>18</v>
      </c>
      <c r="I473" s="3">
        <f>+2250758558530</f>
        <v>2250758558530</v>
      </c>
      <c r="J473" s="3">
        <f>+2250707899209</f>
        <v>2250707899209</v>
      </c>
      <c r="K473" s="1" t="s">
        <v>19</v>
      </c>
      <c r="L473" s="4" t="s">
        <v>1772</v>
      </c>
    </row>
    <row r="474">
      <c r="A474" s="1" t="s">
        <v>12</v>
      </c>
      <c r="B474" s="1" t="s">
        <v>1773</v>
      </c>
      <c r="C474" s="1" t="s">
        <v>1770</v>
      </c>
      <c r="D474" s="1" t="s">
        <v>1774</v>
      </c>
      <c r="E474" s="2">
        <v>37400.0</v>
      </c>
      <c r="F474" s="1" t="s">
        <v>138</v>
      </c>
      <c r="G474" s="1" t="s">
        <v>31</v>
      </c>
      <c r="H474" s="1" t="s">
        <v>32</v>
      </c>
      <c r="I474" s="3">
        <f>+2250564402256</f>
        <v>2250564402256</v>
      </c>
      <c r="J474" s="3">
        <f>+2250749514311</f>
        <v>2250749514311</v>
      </c>
      <c r="K474" s="1" t="s">
        <v>19</v>
      </c>
      <c r="L474" s="4" t="s">
        <v>1775</v>
      </c>
    </row>
    <row r="475">
      <c r="A475" s="1" t="s">
        <v>12</v>
      </c>
      <c r="B475" s="1" t="s">
        <v>1776</v>
      </c>
      <c r="C475" s="1" t="s">
        <v>1777</v>
      </c>
      <c r="D475" s="1" t="s">
        <v>1778</v>
      </c>
      <c r="E475" s="2">
        <v>37518.0</v>
      </c>
      <c r="F475" s="1" t="s">
        <v>101</v>
      </c>
      <c r="G475" s="1" t="s">
        <v>31</v>
      </c>
      <c r="H475" s="1" t="s">
        <v>32</v>
      </c>
      <c r="I475" s="3">
        <f>+2250172073774</f>
        <v>2250172073774</v>
      </c>
      <c r="J475" s="3">
        <f>+2250709447691</f>
        <v>2250709447691</v>
      </c>
      <c r="K475" s="1" t="s">
        <v>19</v>
      </c>
      <c r="L475" s="4" t="s">
        <v>1779</v>
      </c>
    </row>
    <row r="476">
      <c r="A476" s="1" t="s">
        <v>12</v>
      </c>
      <c r="B476" s="1" t="s">
        <v>1780</v>
      </c>
      <c r="C476" s="1" t="s">
        <v>1781</v>
      </c>
      <c r="D476" s="1" t="s">
        <v>175</v>
      </c>
      <c r="E476" s="5">
        <v>37935.0</v>
      </c>
      <c r="F476" s="1" t="s">
        <v>16</v>
      </c>
      <c r="G476" s="1" t="s">
        <v>17</v>
      </c>
      <c r="H476" s="1" t="s">
        <v>18</v>
      </c>
      <c r="I476" s="3">
        <f>+2250757159305</f>
        <v>2250757159305</v>
      </c>
      <c r="J476" s="3">
        <f>+2250707770916</f>
        <v>2250707770916</v>
      </c>
      <c r="K476" s="1" t="s">
        <v>19</v>
      </c>
      <c r="L476" s="4" t="s">
        <v>1782</v>
      </c>
    </row>
    <row r="477">
      <c r="A477" s="1" t="s">
        <v>12</v>
      </c>
      <c r="B477" s="1" t="s">
        <v>1783</v>
      </c>
      <c r="C477" s="1" t="s">
        <v>1781</v>
      </c>
      <c r="D477" s="1" t="s">
        <v>1784</v>
      </c>
      <c r="E477" s="5">
        <v>39051.0</v>
      </c>
      <c r="F477" s="1" t="s">
        <v>92</v>
      </c>
      <c r="G477" s="1" t="s">
        <v>25</v>
      </c>
      <c r="H477" s="1" t="s">
        <v>18</v>
      </c>
      <c r="I477" s="3">
        <f>+2250700899659</f>
        <v>2250700899659</v>
      </c>
      <c r="J477" s="3">
        <f>+2250545300130</f>
        <v>2250545300130</v>
      </c>
      <c r="K477" s="1" t="s">
        <v>19</v>
      </c>
      <c r="L477" s="4" t="s">
        <v>1785</v>
      </c>
    </row>
    <row r="478">
      <c r="A478" s="1" t="s">
        <v>12</v>
      </c>
      <c r="B478" s="1" t="s">
        <v>1786</v>
      </c>
      <c r="C478" s="1" t="s">
        <v>1781</v>
      </c>
      <c r="D478" s="1" t="s">
        <v>1787</v>
      </c>
      <c r="E478" s="2">
        <v>38628.0</v>
      </c>
      <c r="F478" s="1" t="s">
        <v>138</v>
      </c>
      <c r="G478" s="1" t="s">
        <v>76</v>
      </c>
      <c r="H478" s="1" t="s">
        <v>32</v>
      </c>
      <c r="I478" s="3">
        <f>+2250502486101</f>
        <v>2250502486101</v>
      </c>
      <c r="J478" s="3">
        <f>+2250789600754</f>
        <v>2250789600754</v>
      </c>
      <c r="K478" s="1" t="s">
        <v>19</v>
      </c>
      <c r="L478" s="4" t="s">
        <v>1788</v>
      </c>
    </row>
    <row r="479">
      <c r="A479" s="1" t="s">
        <v>12</v>
      </c>
      <c r="B479" s="1" t="s">
        <v>1789</v>
      </c>
      <c r="C479" s="1" t="s">
        <v>1790</v>
      </c>
      <c r="D479" s="1" t="s">
        <v>1791</v>
      </c>
      <c r="E479" s="2">
        <v>38369.0</v>
      </c>
      <c r="F479" s="1" t="s">
        <v>48</v>
      </c>
      <c r="G479" s="1" t="s">
        <v>76</v>
      </c>
      <c r="H479" s="1" t="s">
        <v>32</v>
      </c>
      <c r="I479" s="3">
        <f>+2250769238318</f>
        <v>2250769238318</v>
      </c>
      <c r="J479" s="3">
        <f>+2250555727049</f>
        <v>2250555727049</v>
      </c>
      <c r="K479" s="1" t="s">
        <v>19</v>
      </c>
      <c r="L479" s="4" t="s">
        <v>1792</v>
      </c>
    </row>
    <row r="480">
      <c r="A480" s="1" t="s">
        <v>12</v>
      </c>
      <c r="B480" s="1" t="s">
        <v>1793</v>
      </c>
      <c r="C480" s="1" t="s">
        <v>1794</v>
      </c>
      <c r="D480" s="1" t="s">
        <v>1795</v>
      </c>
      <c r="E480" s="2">
        <v>38035.0</v>
      </c>
      <c r="F480" s="1" t="s">
        <v>288</v>
      </c>
      <c r="G480" s="1" t="s">
        <v>31</v>
      </c>
      <c r="H480" s="1" t="s">
        <v>32</v>
      </c>
      <c r="I480" s="3">
        <f>+2250101410991</f>
        <v>2250101410991</v>
      </c>
      <c r="J480" s="3">
        <f>+2250757510360</f>
        <v>2250757510360</v>
      </c>
      <c r="K480" s="1" t="s">
        <v>19</v>
      </c>
      <c r="L480" s="4" t="s">
        <v>1796</v>
      </c>
    </row>
    <row r="481">
      <c r="A481" s="1" t="s">
        <v>12</v>
      </c>
      <c r="B481" s="1" t="s">
        <v>1797</v>
      </c>
      <c r="C481" s="1" t="s">
        <v>1798</v>
      </c>
      <c r="D481" s="1" t="s">
        <v>1799</v>
      </c>
      <c r="E481" s="5">
        <v>37188.0</v>
      </c>
      <c r="F481" s="1" t="s">
        <v>138</v>
      </c>
      <c r="G481" s="1" t="s">
        <v>31</v>
      </c>
      <c r="H481" s="1" t="s">
        <v>32</v>
      </c>
      <c r="I481" s="3">
        <f>+2250504563416</f>
        <v>2250504563416</v>
      </c>
      <c r="J481" s="3">
        <f>+2250171756123</f>
        <v>2250171756123</v>
      </c>
      <c r="K481" s="1" t="s">
        <v>19</v>
      </c>
      <c r="L481" s="4" t="s">
        <v>1800</v>
      </c>
    </row>
    <row r="482">
      <c r="A482" s="1" t="s">
        <v>12</v>
      </c>
      <c r="B482" s="1" t="s">
        <v>1801</v>
      </c>
      <c r="C482" s="1" t="s">
        <v>1798</v>
      </c>
      <c r="D482" s="1" t="s">
        <v>1802</v>
      </c>
      <c r="E482" s="2">
        <v>37928.0</v>
      </c>
      <c r="F482" s="1" t="s">
        <v>62</v>
      </c>
      <c r="G482" s="1" t="s">
        <v>17</v>
      </c>
      <c r="H482" s="1" t="s">
        <v>18</v>
      </c>
      <c r="I482" s="3">
        <f>+2250798071787</f>
        <v>2250798071787</v>
      </c>
      <c r="J482" s="3">
        <f>+2250546195848</f>
        <v>2250546195848</v>
      </c>
      <c r="K482" s="1" t="s">
        <v>19</v>
      </c>
      <c r="L482" s="4" t="s">
        <v>1803</v>
      </c>
    </row>
    <row r="483">
      <c r="A483" s="1" t="s">
        <v>12</v>
      </c>
      <c r="B483" s="1" t="s">
        <v>1804</v>
      </c>
      <c r="C483" s="1" t="s">
        <v>1798</v>
      </c>
      <c r="D483" s="1" t="s">
        <v>1805</v>
      </c>
      <c r="E483" s="5">
        <v>37241.0</v>
      </c>
      <c r="F483" s="1" t="s">
        <v>92</v>
      </c>
      <c r="G483" s="1" t="s">
        <v>31</v>
      </c>
      <c r="H483" s="1" t="s">
        <v>32</v>
      </c>
      <c r="I483" s="3">
        <f>+2250584813576</f>
        <v>2250584813576</v>
      </c>
      <c r="J483" s="3">
        <f>+2250505192469</f>
        <v>2250505192469</v>
      </c>
      <c r="K483" s="1" t="s">
        <v>19</v>
      </c>
      <c r="L483" s="4" t="s">
        <v>1806</v>
      </c>
    </row>
    <row r="484">
      <c r="A484" s="1" t="s">
        <v>12</v>
      </c>
      <c r="B484" s="1" t="s">
        <v>1807</v>
      </c>
      <c r="C484" s="1" t="s">
        <v>1798</v>
      </c>
      <c r="D484" s="1" t="s">
        <v>1808</v>
      </c>
      <c r="E484" s="2">
        <v>36526.0</v>
      </c>
      <c r="F484" s="1" t="s">
        <v>53</v>
      </c>
      <c r="G484" s="1" t="s">
        <v>17</v>
      </c>
      <c r="H484" s="1" t="s">
        <v>18</v>
      </c>
      <c r="I484" s="3">
        <f>+2250556807668</f>
        <v>2250556807668</v>
      </c>
      <c r="J484" s="3">
        <f>+2250778101216</f>
        <v>2250778101216</v>
      </c>
      <c r="K484" s="1" t="s">
        <v>19</v>
      </c>
      <c r="L484" s="4" t="s">
        <v>1809</v>
      </c>
    </row>
    <row r="485">
      <c r="A485" s="1" t="s">
        <v>12</v>
      </c>
      <c r="B485" s="1" t="s">
        <v>1810</v>
      </c>
      <c r="C485" s="1" t="s">
        <v>1798</v>
      </c>
      <c r="D485" s="1" t="s">
        <v>1811</v>
      </c>
      <c r="E485" s="2">
        <v>38936.0</v>
      </c>
      <c r="F485" s="1" t="s">
        <v>30</v>
      </c>
      <c r="G485" s="1" t="s">
        <v>76</v>
      </c>
      <c r="H485" s="1" t="s">
        <v>32</v>
      </c>
      <c r="I485" s="3">
        <f>+2250797475085</f>
        <v>2250797475085</v>
      </c>
      <c r="J485" s="3">
        <f>+2250101760108</f>
        <v>2250101760108</v>
      </c>
      <c r="K485" s="1" t="s">
        <v>19</v>
      </c>
      <c r="L485" s="4" t="s">
        <v>1812</v>
      </c>
    </row>
    <row r="486">
      <c r="A486" s="1" t="s">
        <v>12</v>
      </c>
      <c r="B486" s="1" t="s">
        <v>1813</v>
      </c>
      <c r="C486" s="1" t="s">
        <v>1798</v>
      </c>
      <c r="D486" s="1" t="s">
        <v>1618</v>
      </c>
      <c r="E486" s="2">
        <v>36687.0</v>
      </c>
      <c r="F486" s="1" t="s">
        <v>92</v>
      </c>
      <c r="G486" s="1" t="s">
        <v>31</v>
      </c>
      <c r="H486" s="1" t="s">
        <v>32</v>
      </c>
      <c r="I486" s="3">
        <f>+2250554642482</f>
        <v>2250554642482</v>
      </c>
      <c r="J486" s="3">
        <f>+2250505887507</f>
        <v>2250505887507</v>
      </c>
      <c r="K486" s="1" t="s">
        <v>19</v>
      </c>
      <c r="L486" s="4" t="s">
        <v>1814</v>
      </c>
    </row>
    <row r="487">
      <c r="A487" s="1" t="s">
        <v>12</v>
      </c>
      <c r="B487" s="1" t="s">
        <v>1815</v>
      </c>
      <c r="C487" s="1" t="s">
        <v>1798</v>
      </c>
      <c r="D487" s="1" t="s">
        <v>1053</v>
      </c>
      <c r="E487" s="2">
        <v>38323.0</v>
      </c>
      <c r="F487" s="1" t="s">
        <v>16</v>
      </c>
      <c r="G487" s="1" t="s">
        <v>17</v>
      </c>
      <c r="H487" s="1" t="s">
        <v>18</v>
      </c>
      <c r="I487" s="3">
        <f>+2250170520861</f>
        <v>2250170520861</v>
      </c>
      <c r="J487" s="3">
        <f>+2250102172400</f>
        <v>2250102172400</v>
      </c>
      <c r="K487" s="1" t="s">
        <v>19</v>
      </c>
      <c r="L487" s="4" t="s">
        <v>1816</v>
      </c>
    </row>
    <row r="488">
      <c r="A488" s="1" t="s">
        <v>12</v>
      </c>
      <c r="B488" s="1" t="s">
        <v>1817</v>
      </c>
      <c r="C488" s="1" t="s">
        <v>1798</v>
      </c>
      <c r="D488" s="1" t="s">
        <v>1818</v>
      </c>
      <c r="E488" s="2">
        <v>38190.0</v>
      </c>
      <c r="F488" s="1" t="s">
        <v>30</v>
      </c>
      <c r="G488" s="1" t="s">
        <v>76</v>
      </c>
      <c r="H488" s="1" t="s">
        <v>32</v>
      </c>
      <c r="I488" s="3">
        <f>+2250102847012</f>
        <v>2250102847012</v>
      </c>
      <c r="J488" s="3">
        <f>+2250757438417</f>
        <v>2250757438417</v>
      </c>
      <c r="K488" s="1" t="s">
        <v>19</v>
      </c>
      <c r="L488" s="4" t="s">
        <v>1819</v>
      </c>
    </row>
    <row r="489">
      <c r="A489" s="1" t="s">
        <v>12</v>
      </c>
      <c r="B489" s="1" t="s">
        <v>1820</v>
      </c>
      <c r="C489" s="1" t="s">
        <v>1798</v>
      </c>
      <c r="D489" s="1" t="s">
        <v>1821</v>
      </c>
      <c r="E489" s="2">
        <v>37326.0</v>
      </c>
      <c r="F489" s="1" t="s">
        <v>92</v>
      </c>
      <c r="G489" s="1" t="s">
        <v>76</v>
      </c>
      <c r="H489" s="1" t="s">
        <v>32</v>
      </c>
      <c r="I489" s="3">
        <f t="shared" ref="I489:J489" si="16">+2250708101067</f>
        <v>2250708101067</v>
      </c>
      <c r="J489" s="3">
        <f t="shared" si="16"/>
        <v>2250708101067</v>
      </c>
      <c r="K489" s="1" t="s">
        <v>19</v>
      </c>
      <c r="L489" s="4" t="s">
        <v>1822</v>
      </c>
    </row>
    <row r="490">
      <c r="A490" s="1" t="s">
        <v>12</v>
      </c>
      <c r="B490" s="1" t="s">
        <v>1823</v>
      </c>
      <c r="C490" s="1" t="s">
        <v>1798</v>
      </c>
      <c r="D490" s="1" t="s">
        <v>1824</v>
      </c>
      <c r="E490" s="5">
        <v>37914.0</v>
      </c>
      <c r="F490" s="1" t="s">
        <v>16</v>
      </c>
      <c r="G490" s="1" t="s">
        <v>17</v>
      </c>
      <c r="H490" s="1" t="s">
        <v>18</v>
      </c>
      <c r="I490" s="3">
        <f>+2250789309208</f>
        <v>2250789309208</v>
      </c>
      <c r="J490" s="3">
        <f>+2250505314386</f>
        <v>2250505314386</v>
      </c>
      <c r="K490" s="1" t="s">
        <v>19</v>
      </c>
      <c r="L490" s="4" t="s">
        <v>1825</v>
      </c>
    </row>
    <row r="491">
      <c r="A491" s="1" t="s">
        <v>12</v>
      </c>
      <c r="B491" s="1" t="s">
        <v>1826</v>
      </c>
      <c r="C491" s="1" t="s">
        <v>1798</v>
      </c>
      <c r="D491" s="1" t="s">
        <v>1827</v>
      </c>
      <c r="E491" s="2">
        <v>37001.0</v>
      </c>
      <c r="F491" s="1" t="s">
        <v>155</v>
      </c>
      <c r="G491" s="1" t="s">
        <v>31</v>
      </c>
      <c r="H491" s="1" t="s">
        <v>32</v>
      </c>
      <c r="I491" s="3">
        <f>+2250565037374</f>
        <v>2250565037374</v>
      </c>
      <c r="J491" s="3">
        <f>+2250758542784</f>
        <v>2250758542784</v>
      </c>
      <c r="K491" s="1" t="s">
        <v>19</v>
      </c>
      <c r="L491" s="4" t="s">
        <v>1828</v>
      </c>
    </row>
    <row r="492">
      <c r="A492" s="1" t="s">
        <v>12</v>
      </c>
      <c r="B492" s="1" t="s">
        <v>1829</v>
      </c>
      <c r="C492" s="1" t="s">
        <v>1798</v>
      </c>
      <c r="D492" s="1" t="s">
        <v>1714</v>
      </c>
      <c r="E492" s="2">
        <v>37470.0</v>
      </c>
      <c r="F492" s="1" t="s">
        <v>53</v>
      </c>
      <c r="G492" s="1" t="s">
        <v>25</v>
      </c>
      <c r="H492" s="1" t="s">
        <v>18</v>
      </c>
      <c r="I492" s="3">
        <f>+2250555497686</f>
        <v>2250555497686</v>
      </c>
      <c r="J492" s="3">
        <f>+2250574647364</f>
        <v>2250574647364</v>
      </c>
      <c r="K492" s="1" t="s">
        <v>19</v>
      </c>
      <c r="L492" s="4" t="s">
        <v>1830</v>
      </c>
    </row>
    <row r="493">
      <c r="A493" s="1" t="s">
        <v>12</v>
      </c>
      <c r="B493" s="1" t="s">
        <v>1831</v>
      </c>
      <c r="C493" s="1" t="s">
        <v>1798</v>
      </c>
      <c r="D493" s="1" t="s">
        <v>1714</v>
      </c>
      <c r="E493" s="2">
        <v>38373.0</v>
      </c>
      <c r="F493" s="1" t="s">
        <v>24</v>
      </c>
      <c r="G493" s="1" t="s">
        <v>17</v>
      </c>
      <c r="H493" s="1" t="s">
        <v>18</v>
      </c>
      <c r="I493" s="3">
        <f>+2250584329220</f>
        <v>2250584329220</v>
      </c>
      <c r="J493" s="3">
        <f>+2250504106339</f>
        <v>2250504106339</v>
      </c>
      <c r="K493" s="1" t="s">
        <v>19</v>
      </c>
      <c r="L493" s="4" t="s">
        <v>1832</v>
      </c>
    </row>
    <row r="494">
      <c r="A494" s="1" t="s">
        <v>12</v>
      </c>
      <c r="B494" s="1" t="s">
        <v>1833</v>
      </c>
      <c r="C494" s="1" t="s">
        <v>1798</v>
      </c>
      <c r="D494" s="1" t="s">
        <v>1834</v>
      </c>
      <c r="E494" s="2">
        <v>37754.0</v>
      </c>
      <c r="F494" s="1" t="s">
        <v>155</v>
      </c>
      <c r="G494" s="1" t="s">
        <v>31</v>
      </c>
      <c r="H494" s="1" t="s">
        <v>32</v>
      </c>
      <c r="I494" s="3">
        <f>+2250585227576</f>
        <v>2250585227576</v>
      </c>
      <c r="J494" s="3">
        <f>+2250585889213</f>
        <v>2250585889213</v>
      </c>
      <c r="K494" s="1" t="s">
        <v>19</v>
      </c>
      <c r="L494" s="4" t="s">
        <v>1835</v>
      </c>
    </row>
    <row r="495">
      <c r="A495" s="1" t="s">
        <v>12</v>
      </c>
      <c r="B495" s="1" t="s">
        <v>1836</v>
      </c>
      <c r="C495" s="1" t="s">
        <v>1798</v>
      </c>
      <c r="D495" s="1" t="s">
        <v>1837</v>
      </c>
      <c r="E495" s="2">
        <v>38298.0</v>
      </c>
      <c r="F495" s="1" t="s">
        <v>16</v>
      </c>
      <c r="G495" s="1" t="s">
        <v>25</v>
      </c>
      <c r="H495" s="1" t="s">
        <v>18</v>
      </c>
      <c r="I495" s="3">
        <f>+2250700002630</f>
        <v>2250700002630</v>
      </c>
      <c r="J495" s="3">
        <f>+2250707008350</f>
        <v>2250707008350</v>
      </c>
      <c r="K495" s="1" t="s">
        <v>19</v>
      </c>
      <c r="L495" s="4" t="s">
        <v>1838</v>
      </c>
    </row>
    <row r="496">
      <c r="A496" s="1" t="s">
        <v>12</v>
      </c>
      <c r="B496" s="1" t="s">
        <v>1839</v>
      </c>
      <c r="C496" s="1" t="s">
        <v>1798</v>
      </c>
      <c r="D496" s="1" t="s">
        <v>1840</v>
      </c>
      <c r="E496" s="2">
        <v>37882.0</v>
      </c>
      <c r="F496" s="1" t="s">
        <v>16</v>
      </c>
      <c r="G496" s="1" t="s">
        <v>25</v>
      </c>
      <c r="H496" s="1" t="s">
        <v>18</v>
      </c>
      <c r="I496" s="3">
        <f>+2250709147002</f>
        <v>2250709147002</v>
      </c>
      <c r="J496" s="3">
        <f>+2250707059826</f>
        <v>2250707059826</v>
      </c>
      <c r="K496" s="1" t="s">
        <v>19</v>
      </c>
      <c r="L496" s="4" t="s">
        <v>1841</v>
      </c>
    </row>
    <row r="497">
      <c r="A497" s="1" t="s">
        <v>12</v>
      </c>
      <c r="B497" s="1" t="s">
        <v>1842</v>
      </c>
      <c r="C497" s="1" t="s">
        <v>1798</v>
      </c>
      <c r="D497" s="1" t="s">
        <v>1843</v>
      </c>
      <c r="E497" s="5">
        <v>38270.0</v>
      </c>
      <c r="F497" s="1" t="s">
        <v>62</v>
      </c>
      <c r="G497" s="1" t="s">
        <v>17</v>
      </c>
      <c r="H497" s="1" t="s">
        <v>18</v>
      </c>
      <c r="I497" s="3">
        <f>+2250142487338</f>
        <v>2250142487338</v>
      </c>
      <c r="J497" s="3">
        <f>+2250506144473</f>
        <v>2250506144473</v>
      </c>
      <c r="K497" s="1" t="s">
        <v>19</v>
      </c>
      <c r="L497" s="4" t="s">
        <v>1844</v>
      </c>
    </row>
    <row r="498">
      <c r="A498" s="1" t="s">
        <v>12</v>
      </c>
      <c r="B498" s="1" t="s">
        <v>1845</v>
      </c>
      <c r="C498" s="1" t="s">
        <v>1798</v>
      </c>
      <c r="D498" s="1" t="s">
        <v>1846</v>
      </c>
      <c r="E498" s="2">
        <v>38442.0</v>
      </c>
      <c r="F498" s="1" t="s">
        <v>48</v>
      </c>
      <c r="G498" s="1" t="s">
        <v>76</v>
      </c>
      <c r="H498" s="1" t="s">
        <v>32</v>
      </c>
      <c r="I498" s="3">
        <f>+2250767868463</f>
        <v>2250767868463</v>
      </c>
      <c r="J498" s="3">
        <f>+2250747931044</f>
        <v>2250747931044</v>
      </c>
      <c r="K498" s="1" t="s">
        <v>19</v>
      </c>
      <c r="L498" s="4" t="s">
        <v>1847</v>
      </c>
    </row>
    <row r="499">
      <c r="A499" s="1" t="s">
        <v>12</v>
      </c>
      <c r="B499" s="1" t="s">
        <v>1848</v>
      </c>
      <c r="C499" s="1" t="s">
        <v>1798</v>
      </c>
      <c r="D499" s="1" t="s">
        <v>1849</v>
      </c>
      <c r="E499" s="2">
        <v>38071.0</v>
      </c>
      <c r="F499" s="1" t="s">
        <v>1850</v>
      </c>
      <c r="G499" s="1" t="s">
        <v>76</v>
      </c>
      <c r="H499" s="1" t="s">
        <v>32</v>
      </c>
      <c r="I499" s="3">
        <f>+2250141889371</f>
        <v>2250141889371</v>
      </c>
      <c r="J499" s="3">
        <f>+2250504934015</f>
        <v>2250504934015</v>
      </c>
      <c r="K499" s="1" t="s">
        <v>19</v>
      </c>
      <c r="L499" s="4" t="s">
        <v>1851</v>
      </c>
    </row>
    <row r="500">
      <c r="A500" s="1" t="s">
        <v>12</v>
      </c>
      <c r="B500" s="1" t="s">
        <v>1852</v>
      </c>
      <c r="C500" s="1" t="s">
        <v>1798</v>
      </c>
      <c r="D500" s="1" t="s">
        <v>1853</v>
      </c>
      <c r="E500" s="2">
        <v>37757.0</v>
      </c>
      <c r="F500" s="1" t="s">
        <v>16</v>
      </c>
      <c r="G500" s="1" t="s">
        <v>17</v>
      </c>
      <c r="H500" s="1" t="s">
        <v>18</v>
      </c>
      <c r="I500" s="3">
        <f>+2250564209279</f>
        <v>2250564209279</v>
      </c>
      <c r="J500" s="3">
        <f>+2250709281206</f>
        <v>2250709281206</v>
      </c>
      <c r="K500" s="1" t="s">
        <v>19</v>
      </c>
      <c r="L500" s="4" t="s">
        <v>1854</v>
      </c>
    </row>
    <row r="501">
      <c r="A501" s="1" t="s">
        <v>12</v>
      </c>
      <c r="B501" s="1" t="s">
        <v>1855</v>
      </c>
      <c r="C501" s="1" t="s">
        <v>1798</v>
      </c>
      <c r="D501" s="1" t="s">
        <v>1643</v>
      </c>
      <c r="E501" s="2">
        <v>38053.0</v>
      </c>
      <c r="F501" s="1" t="s">
        <v>48</v>
      </c>
      <c r="G501" s="1" t="s">
        <v>76</v>
      </c>
      <c r="H501" s="1" t="s">
        <v>32</v>
      </c>
      <c r="I501" s="3">
        <f>+2250141629490</f>
        <v>2250141629490</v>
      </c>
      <c r="J501" s="3">
        <f>+2250505958651</f>
        <v>2250505958651</v>
      </c>
      <c r="K501" s="1" t="s">
        <v>19</v>
      </c>
      <c r="L501" s="4" t="s">
        <v>1856</v>
      </c>
    </row>
    <row r="502">
      <c r="A502" s="1" t="s">
        <v>12</v>
      </c>
      <c r="B502" s="1" t="s">
        <v>1857</v>
      </c>
      <c r="C502" s="1" t="s">
        <v>1798</v>
      </c>
      <c r="D502" s="1" t="s">
        <v>1858</v>
      </c>
      <c r="E502" s="2">
        <v>36434.0</v>
      </c>
      <c r="F502" s="1" t="s">
        <v>182</v>
      </c>
      <c r="G502" s="1" t="s">
        <v>82</v>
      </c>
      <c r="H502" s="1" t="s">
        <v>18</v>
      </c>
      <c r="I502" s="3">
        <f>+2250709871110</f>
        <v>2250709871110</v>
      </c>
      <c r="J502" s="3">
        <f>+2250502144064</f>
        <v>2250502144064</v>
      </c>
      <c r="K502" s="1" t="s">
        <v>19</v>
      </c>
      <c r="L502" s="4" t="s">
        <v>1859</v>
      </c>
    </row>
    <row r="503">
      <c r="A503" s="1" t="s">
        <v>12</v>
      </c>
      <c r="B503" s="1" t="s">
        <v>1860</v>
      </c>
      <c r="C503" s="1" t="s">
        <v>1798</v>
      </c>
      <c r="D503" s="1" t="s">
        <v>1861</v>
      </c>
      <c r="E503" s="2">
        <v>36650.0</v>
      </c>
      <c r="F503" s="1" t="s">
        <v>167</v>
      </c>
      <c r="G503" s="1" t="s">
        <v>17</v>
      </c>
      <c r="H503" s="1" t="s">
        <v>18</v>
      </c>
      <c r="I503" s="3">
        <f>+2250777965701</f>
        <v>2250777965701</v>
      </c>
      <c r="J503" s="3">
        <f>+2250708400238</f>
        <v>2250708400238</v>
      </c>
      <c r="K503" s="1" t="s">
        <v>19</v>
      </c>
      <c r="L503" s="4" t="s">
        <v>1862</v>
      </c>
    </row>
    <row r="504">
      <c r="A504" s="1" t="s">
        <v>12</v>
      </c>
      <c r="B504" s="1" t="s">
        <v>1863</v>
      </c>
      <c r="C504" s="1" t="s">
        <v>1798</v>
      </c>
      <c r="D504" s="1" t="s">
        <v>1864</v>
      </c>
      <c r="E504" s="2">
        <v>35964.0</v>
      </c>
      <c r="F504" s="1" t="s">
        <v>16</v>
      </c>
      <c r="G504" s="1" t="s">
        <v>17</v>
      </c>
      <c r="H504" s="1" t="s">
        <v>18</v>
      </c>
      <c r="I504" s="3">
        <f>+2250565745570</f>
        <v>2250565745570</v>
      </c>
      <c r="J504" s="3">
        <f>+2250748468774</f>
        <v>2250748468774</v>
      </c>
      <c r="K504" s="1" t="s">
        <v>19</v>
      </c>
      <c r="L504" s="4" t="s">
        <v>1865</v>
      </c>
    </row>
    <row r="505">
      <c r="A505" s="1" t="s">
        <v>12</v>
      </c>
      <c r="B505" s="1" t="s">
        <v>1866</v>
      </c>
      <c r="C505" s="1" t="s">
        <v>1798</v>
      </c>
      <c r="D505" s="1" t="s">
        <v>1867</v>
      </c>
      <c r="E505" s="2">
        <v>37805.0</v>
      </c>
      <c r="F505" s="1" t="s">
        <v>16</v>
      </c>
      <c r="G505" s="1" t="s">
        <v>25</v>
      </c>
      <c r="H505" s="1" t="s">
        <v>18</v>
      </c>
      <c r="I505" s="3">
        <f>+2250797207715</f>
        <v>2250797207715</v>
      </c>
      <c r="J505" s="3">
        <f>+2250747947358</f>
        <v>2250747947358</v>
      </c>
      <c r="K505" s="1" t="s">
        <v>19</v>
      </c>
      <c r="L505" s="4" t="s">
        <v>1868</v>
      </c>
    </row>
    <row r="506">
      <c r="A506" s="1" t="s">
        <v>12</v>
      </c>
      <c r="B506" s="1" t="s">
        <v>1869</v>
      </c>
      <c r="C506" s="1" t="s">
        <v>1798</v>
      </c>
      <c r="D506" s="1" t="s">
        <v>1870</v>
      </c>
      <c r="E506" s="5">
        <v>36878.0</v>
      </c>
      <c r="F506" s="1" t="s">
        <v>62</v>
      </c>
      <c r="G506" s="1" t="s">
        <v>17</v>
      </c>
      <c r="H506" s="1" t="s">
        <v>18</v>
      </c>
      <c r="I506" s="3">
        <f>+2250150502662</f>
        <v>2250150502662</v>
      </c>
      <c r="J506" s="3">
        <f>+2250102890921</f>
        <v>2250102890921</v>
      </c>
      <c r="K506" s="1" t="s">
        <v>19</v>
      </c>
      <c r="L506" s="4" t="s">
        <v>1871</v>
      </c>
    </row>
    <row r="507">
      <c r="A507" s="1" t="s">
        <v>12</v>
      </c>
      <c r="B507" s="1" t="s">
        <v>1872</v>
      </c>
      <c r="C507" s="1" t="s">
        <v>1798</v>
      </c>
      <c r="D507" s="1" t="s">
        <v>1873</v>
      </c>
      <c r="E507" s="2">
        <v>37744.0</v>
      </c>
      <c r="F507" s="1" t="s">
        <v>97</v>
      </c>
      <c r="G507" s="1" t="s">
        <v>82</v>
      </c>
      <c r="H507" s="1" t="s">
        <v>18</v>
      </c>
      <c r="I507" s="3">
        <f>+2250143298710</f>
        <v>2250143298710</v>
      </c>
      <c r="J507" s="3">
        <f>+2250101660897</f>
        <v>2250101660897</v>
      </c>
      <c r="K507" s="1" t="s">
        <v>19</v>
      </c>
      <c r="L507" s="4" t="s">
        <v>1874</v>
      </c>
    </row>
    <row r="508">
      <c r="A508" s="1" t="s">
        <v>12</v>
      </c>
      <c r="B508" s="1" t="s">
        <v>1875</v>
      </c>
      <c r="C508" s="1" t="s">
        <v>1798</v>
      </c>
      <c r="D508" s="1" t="s">
        <v>1876</v>
      </c>
      <c r="E508" s="5">
        <v>37215.0</v>
      </c>
      <c r="F508" s="1" t="s">
        <v>48</v>
      </c>
      <c r="G508" s="1" t="s">
        <v>31</v>
      </c>
      <c r="H508" s="1" t="s">
        <v>32</v>
      </c>
      <c r="I508" s="3">
        <f>+2250797418360</f>
        <v>2250797418360</v>
      </c>
      <c r="J508" s="3">
        <f>+2250505716008</f>
        <v>2250505716008</v>
      </c>
      <c r="K508" s="1" t="s">
        <v>19</v>
      </c>
      <c r="L508" s="4" t="s">
        <v>1877</v>
      </c>
    </row>
    <row r="509">
      <c r="A509" s="1" t="s">
        <v>12</v>
      </c>
      <c r="B509" s="1" t="s">
        <v>1878</v>
      </c>
      <c r="C509" s="1" t="s">
        <v>1798</v>
      </c>
      <c r="D509" s="1" t="s">
        <v>1879</v>
      </c>
      <c r="E509" s="2">
        <v>37489.0</v>
      </c>
      <c r="F509" s="1" t="s">
        <v>53</v>
      </c>
      <c r="G509" s="1" t="s">
        <v>17</v>
      </c>
      <c r="H509" s="1" t="s">
        <v>18</v>
      </c>
      <c r="I509" s="3">
        <f>+2250506391624</f>
        <v>2250506391624</v>
      </c>
      <c r="J509" s="3">
        <f>+2250707600730</f>
        <v>2250707600730</v>
      </c>
      <c r="K509" s="1" t="s">
        <v>19</v>
      </c>
      <c r="L509" s="4" t="s">
        <v>1880</v>
      </c>
    </row>
    <row r="510">
      <c r="A510" s="1" t="s">
        <v>12</v>
      </c>
      <c r="B510" s="1" t="s">
        <v>1881</v>
      </c>
      <c r="C510" s="1" t="s">
        <v>1798</v>
      </c>
      <c r="D510" s="1" t="s">
        <v>1882</v>
      </c>
      <c r="E510" s="2">
        <v>37987.0</v>
      </c>
      <c r="F510" s="1" t="s">
        <v>138</v>
      </c>
      <c r="G510" s="1" t="s">
        <v>76</v>
      </c>
      <c r="H510" s="1" t="s">
        <v>32</v>
      </c>
      <c r="I510" s="3">
        <f>+2250767598287</f>
        <v>2250767598287</v>
      </c>
      <c r="J510" s="3">
        <f>+2250103637900</f>
        <v>2250103637900</v>
      </c>
      <c r="K510" s="1" t="s">
        <v>19</v>
      </c>
      <c r="L510" s="4" t="s">
        <v>1883</v>
      </c>
    </row>
    <row r="511">
      <c r="A511" s="1" t="s">
        <v>12</v>
      </c>
      <c r="B511" s="1" t="s">
        <v>1884</v>
      </c>
      <c r="C511" s="1" t="s">
        <v>1798</v>
      </c>
      <c r="D511" s="1" t="s">
        <v>1885</v>
      </c>
      <c r="E511" s="5">
        <v>37546.0</v>
      </c>
      <c r="F511" s="1" t="s">
        <v>62</v>
      </c>
      <c r="G511" s="1" t="s">
        <v>25</v>
      </c>
      <c r="H511" s="1" t="s">
        <v>18</v>
      </c>
      <c r="I511" s="3">
        <f>+2250708432843</f>
        <v>2250708432843</v>
      </c>
      <c r="J511" s="3">
        <f>+2250709356720</f>
        <v>2250709356720</v>
      </c>
      <c r="K511" s="1" t="s">
        <v>19</v>
      </c>
      <c r="L511" s="4" t="s">
        <v>1886</v>
      </c>
    </row>
    <row r="512">
      <c r="A512" s="1" t="s">
        <v>12</v>
      </c>
      <c r="B512" s="1" t="s">
        <v>1887</v>
      </c>
      <c r="C512" s="1" t="s">
        <v>1798</v>
      </c>
      <c r="D512" s="1" t="s">
        <v>1888</v>
      </c>
      <c r="E512" s="5">
        <v>37570.0</v>
      </c>
      <c r="F512" s="1" t="s">
        <v>147</v>
      </c>
      <c r="G512" s="1" t="s">
        <v>17</v>
      </c>
      <c r="H512" s="1" t="s">
        <v>18</v>
      </c>
      <c r="I512" s="3">
        <f>+2250503918200</f>
        <v>2250503918200</v>
      </c>
      <c r="J512" s="3">
        <f>+2250708727178</f>
        <v>2250708727178</v>
      </c>
      <c r="K512" s="1" t="s">
        <v>19</v>
      </c>
      <c r="L512" s="4" t="s">
        <v>1889</v>
      </c>
    </row>
    <row r="513">
      <c r="A513" s="1" t="s">
        <v>12</v>
      </c>
      <c r="B513" s="1" t="s">
        <v>1890</v>
      </c>
      <c r="C513" s="1" t="s">
        <v>1798</v>
      </c>
      <c r="D513" s="1" t="s">
        <v>1891</v>
      </c>
      <c r="E513" s="5">
        <v>37953.0</v>
      </c>
      <c r="F513" s="1" t="s">
        <v>155</v>
      </c>
      <c r="G513" s="1" t="s">
        <v>76</v>
      </c>
      <c r="H513" s="1" t="s">
        <v>32</v>
      </c>
      <c r="I513" s="3">
        <f>+2250576408292</f>
        <v>2250576408292</v>
      </c>
      <c r="J513" s="3">
        <f>+2250707806381</f>
        <v>2250707806381</v>
      </c>
      <c r="K513" s="1" t="s">
        <v>19</v>
      </c>
      <c r="L513" s="4" t="s">
        <v>1892</v>
      </c>
    </row>
    <row r="514">
      <c r="A514" s="1" t="s">
        <v>12</v>
      </c>
      <c r="B514" s="1" t="s">
        <v>1893</v>
      </c>
      <c r="C514" s="1" t="s">
        <v>1894</v>
      </c>
      <c r="D514" s="1" t="s">
        <v>1895</v>
      </c>
      <c r="E514" s="2">
        <v>38112.0</v>
      </c>
      <c r="F514" s="1" t="s">
        <v>53</v>
      </c>
      <c r="G514" s="1" t="s">
        <v>17</v>
      </c>
      <c r="H514" s="1" t="s">
        <v>18</v>
      </c>
      <c r="I514" s="3">
        <f>+2250554271473</f>
        <v>2250554271473</v>
      </c>
      <c r="J514" s="3">
        <f>+2250707576930</f>
        <v>2250707576930</v>
      </c>
      <c r="K514" s="1" t="s">
        <v>19</v>
      </c>
      <c r="L514" s="4" t="s">
        <v>1896</v>
      </c>
    </row>
    <row r="515">
      <c r="A515" s="1" t="s">
        <v>12</v>
      </c>
      <c r="B515" s="1" t="s">
        <v>1897</v>
      </c>
      <c r="C515" s="1" t="s">
        <v>1894</v>
      </c>
      <c r="D515" s="1" t="s">
        <v>1898</v>
      </c>
      <c r="E515" s="2">
        <v>38164.0</v>
      </c>
      <c r="F515" s="1" t="s">
        <v>81</v>
      </c>
      <c r="G515" s="1" t="s">
        <v>82</v>
      </c>
      <c r="H515" s="1" t="s">
        <v>18</v>
      </c>
      <c r="I515" s="3">
        <f>+2250140439988</f>
        <v>2250140439988</v>
      </c>
      <c r="J515" s="3">
        <f>+2250101558017</f>
        <v>2250101558017</v>
      </c>
      <c r="K515" s="1" t="s">
        <v>19</v>
      </c>
      <c r="L515" s="4" t="s">
        <v>1899</v>
      </c>
    </row>
    <row r="516">
      <c r="A516" s="1" t="s">
        <v>12</v>
      </c>
      <c r="B516" s="1" t="s">
        <v>1900</v>
      </c>
      <c r="C516" s="1" t="s">
        <v>1901</v>
      </c>
      <c r="D516" s="1" t="s">
        <v>1902</v>
      </c>
      <c r="E516" s="5">
        <v>37975.0</v>
      </c>
      <c r="F516" s="1" t="s">
        <v>75</v>
      </c>
      <c r="G516" s="1" t="s">
        <v>31</v>
      </c>
      <c r="H516" s="1" t="s">
        <v>32</v>
      </c>
      <c r="I516" s="3">
        <f>+2250172159040</f>
        <v>2250172159040</v>
      </c>
      <c r="J516" s="3">
        <f>+2250506774392</f>
        <v>2250506774392</v>
      </c>
      <c r="K516" s="1" t="s">
        <v>19</v>
      </c>
      <c r="L516" s="4" t="s">
        <v>1903</v>
      </c>
    </row>
    <row r="517">
      <c r="A517" s="1" t="s">
        <v>12</v>
      </c>
      <c r="B517" s="1" t="s">
        <v>1904</v>
      </c>
      <c r="C517" s="1" t="s">
        <v>1905</v>
      </c>
      <c r="D517" s="1" t="s">
        <v>1053</v>
      </c>
      <c r="E517" s="2">
        <v>37456.0</v>
      </c>
      <c r="F517" s="1" t="s">
        <v>53</v>
      </c>
      <c r="G517" s="1" t="s">
        <v>25</v>
      </c>
      <c r="H517" s="1" t="s">
        <v>18</v>
      </c>
      <c r="I517" s="3">
        <f>+2250594367064</f>
        <v>2250594367064</v>
      </c>
      <c r="J517" s="3">
        <f>+2250707313930</f>
        <v>2250707313930</v>
      </c>
      <c r="K517" s="1" t="s">
        <v>19</v>
      </c>
      <c r="L517" s="4" t="s">
        <v>1906</v>
      </c>
    </row>
    <row r="518">
      <c r="A518" s="1" t="s">
        <v>12</v>
      </c>
      <c r="B518" s="1" t="s">
        <v>1907</v>
      </c>
      <c r="C518" s="1" t="s">
        <v>1905</v>
      </c>
      <c r="D518" s="1" t="s">
        <v>1908</v>
      </c>
      <c r="E518" s="2">
        <v>37777.0</v>
      </c>
      <c r="F518" s="1" t="s">
        <v>167</v>
      </c>
      <c r="G518" s="1" t="s">
        <v>82</v>
      </c>
      <c r="H518" s="1" t="s">
        <v>18</v>
      </c>
      <c r="I518" s="3">
        <f>+2250768795945</f>
        <v>2250768795945</v>
      </c>
      <c r="J518" s="3">
        <f>+2250789303087</f>
        <v>2250789303087</v>
      </c>
      <c r="K518" s="1" t="s">
        <v>19</v>
      </c>
      <c r="L518" s="4" t="s">
        <v>1909</v>
      </c>
    </row>
    <row r="519">
      <c r="A519" s="1" t="s">
        <v>12</v>
      </c>
      <c r="B519" s="1" t="s">
        <v>1910</v>
      </c>
      <c r="C519" s="1" t="s">
        <v>1905</v>
      </c>
      <c r="D519" s="1" t="s">
        <v>1911</v>
      </c>
      <c r="E519" s="2">
        <v>38775.0</v>
      </c>
      <c r="F519" s="1" t="s">
        <v>48</v>
      </c>
      <c r="G519" s="1" t="s">
        <v>31</v>
      </c>
      <c r="H519" s="1" t="s">
        <v>32</v>
      </c>
      <c r="I519" s="3">
        <f>+2250506189536</f>
        <v>2250506189536</v>
      </c>
      <c r="J519" s="3">
        <f>+2250708609040</f>
        <v>2250708609040</v>
      </c>
      <c r="K519" s="1" t="s">
        <v>19</v>
      </c>
      <c r="L519" s="4" t="s">
        <v>1912</v>
      </c>
    </row>
    <row r="520">
      <c r="A520" s="1" t="s">
        <v>12</v>
      </c>
      <c r="B520" s="1" t="s">
        <v>1913</v>
      </c>
      <c r="C520" s="1" t="s">
        <v>1914</v>
      </c>
      <c r="D520" s="1" t="s">
        <v>1915</v>
      </c>
      <c r="E520" s="2">
        <v>37082.0</v>
      </c>
      <c r="F520" s="1" t="s">
        <v>48</v>
      </c>
      <c r="G520" s="1" t="s">
        <v>76</v>
      </c>
      <c r="H520" s="1" t="s">
        <v>32</v>
      </c>
      <c r="I520" s="3">
        <f>+2250797487972</f>
        <v>2250797487972</v>
      </c>
      <c r="J520" s="3">
        <f>+2250708145296</f>
        <v>2250708145296</v>
      </c>
      <c r="K520" s="1" t="s">
        <v>19</v>
      </c>
      <c r="L520" s="4" t="s">
        <v>1916</v>
      </c>
    </row>
    <row r="521">
      <c r="A521" s="1" t="s">
        <v>12</v>
      </c>
      <c r="B521" s="1" t="s">
        <v>1917</v>
      </c>
      <c r="C521" s="1" t="s">
        <v>1918</v>
      </c>
      <c r="D521" s="1" t="s">
        <v>1919</v>
      </c>
      <c r="E521" s="2">
        <v>37963.0</v>
      </c>
      <c r="F521" s="1" t="s">
        <v>110</v>
      </c>
      <c r="G521" s="1" t="s">
        <v>82</v>
      </c>
      <c r="H521" s="1" t="s">
        <v>18</v>
      </c>
      <c r="I521" s="3">
        <f>+2250777540288</f>
        <v>2250777540288</v>
      </c>
      <c r="J521" s="3">
        <f>+2250700243435</f>
        <v>2250700243435</v>
      </c>
      <c r="K521" s="1" t="s">
        <v>19</v>
      </c>
      <c r="L521" s="4" t="s">
        <v>1920</v>
      </c>
    </row>
    <row r="522">
      <c r="A522" s="1" t="s">
        <v>12</v>
      </c>
      <c r="B522" s="1" t="s">
        <v>1921</v>
      </c>
      <c r="C522" s="1" t="s">
        <v>1922</v>
      </c>
      <c r="D522" s="1" t="s">
        <v>1923</v>
      </c>
      <c r="E522" s="2">
        <v>36693.0</v>
      </c>
      <c r="F522" s="1" t="s">
        <v>16</v>
      </c>
      <c r="G522" s="1" t="s">
        <v>17</v>
      </c>
      <c r="H522" s="1" t="s">
        <v>18</v>
      </c>
      <c r="I522" s="3">
        <f>+2250787570976</f>
        <v>2250787570976</v>
      </c>
      <c r="J522" s="3">
        <f>+2250707663035</f>
        <v>2250707663035</v>
      </c>
      <c r="K522" s="1" t="s">
        <v>19</v>
      </c>
      <c r="L522" s="4" t="s">
        <v>1924</v>
      </c>
    </row>
    <row r="523">
      <c r="A523" s="1" t="s">
        <v>12</v>
      </c>
      <c r="B523" s="1" t="s">
        <v>1925</v>
      </c>
      <c r="C523" s="1" t="s">
        <v>1926</v>
      </c>
      <c r="D523" s="1" t="s">
        <v>1927</v>
      </c>
      <c r="E523" s="5">
        <v>37967.0</v>
      </c>
      <c r="F523" s="1" t="s">
        <v>16</v>
      </c>
      <c r="G523" s="1" t="s">
        <v>82</v>
      </c>
      <c r="H523" s="1" t="s">
        <v>18</v>
      </c>
      <c r="I523" s="3">
        <f>+2250748198685</f>
        <v>2250748198685</v>
      </c>
      <c r="J523" s="3">
        <f>+2250109225248</f>
        <v>2250109225248</v>
      </c>
      <c r="K523" s="1" t="s">
        <v>19</v>
      </c>
      <c r="L523" s="4" t="s">
        <v>1928</v>
      </c>
    </row>
    <row r="524">
      <c r="A524" s="1" t="s">
        <v>12</v>
      </c>
      <c r="B524" s="1" t="s">
        <v>1929</v>
      </c>
      <c r="C524" s="1" t="s">
        <v>1930</v>
      </c>
      <c r="D524" s="1" t="s">
        <v>1931</v>
      </c>
      <c r="E524" s="5">
        <v>38282.0</v>
      </c>
      <c r="F524" s="1" t="s">
        <v>53</v>
      </c>
      <c r="G524" s="1" t="s">
        <v>25</v>
      </c>
      <c r="H524" s="1" t="s">
        <v>18</v>
      </c>
      <c r="I524" s="3">
        <f>+2250103873155</f>
        <v>2250103873155</v>
      </c>
      <c r="J524" s="3">
        <f>+2250707610942</f>
        <v>2250707610942</v>
      </c>
      <c r="K524" s="1" t="s">
        <v>19</v>
      </c>
      <c r="L524" s="4" t="s">
        <v>1932</v>
      </c>
    </row>
    <row r="525">
      <c r="A525" s="1" t="s">
        <v>12</v>
      </c>
      <c r="B525" s="1" t="s">
        <v>1933</v>
      </c>
      <c r="C525" s="1" t="s">
        <v>1934</v>
      </c>
      <c r="D525" s="1" t="s">
        <v>1935</v>
      </c>
      <c r="E525" s="2">
        <v>37962.0</v>
      </c>
      <c r="F525" s="1" t="s">
        <v>101</v>
      </c>
      <c r="G525" s="1" t="s">
        <v>31</v>
      </c>
      <c r="H525" s="1" t="s">
        <v>32</v>
      </c>
      <c r="I525" s="3">
        <f>+2250788272528</f>
        <v>2250788272528</v>
      </c>
      <c r="J525" s="3">
        <f>+2250757112054</f>
        <v>2250757112054</v>
      </c>
      <c r="K525" s="1" t="s">
        <v>19</v>
      </c>
      <c r="L525" s="4" t="s">
        <v>1936</v>
      </c>
    </row>
    <row r="526">
      <c r="A526" s="1" t="s">
        <v>12</v>
      </c>
      <c r="B526" s="1" t="s">
        <v>1937</v>
      </c>
      <c r="C526" s="1" t="s">
        <v>1938</v>
      </c>
      <c r="D526" s="1" t="s">
        <v>1939</v>
      </c>
      <c r="E526" s="5">
        <v>37618.0</v>
      </c>
      <c r="F526" s="1" t="s">
        <v>16</v>
      </c>
      <c r="G526" s="1" t="s">
        <v>25</v>
      </c>
      <c r="H526" s="1" t="s">
        <v>18</v>
      </c>
      <c r="I526" s="3">
        <f>+2250140643060</f>
        <v>2250140643060</v>
      </c>
      <c r="J526" s="3">
        <f>+2250504403832</f>
        <v>2250504403832</v>
      </c>
      <c r="K526" s="1" t="s">
        <v>19</v>
      </c>
      <c r="L526" s="4" t="s">
        <v>1940</v>
      </c>
    </row>
    <row r="527">
      <c r="A527" s="1" t="s">
        <v>12</v>
      </c>
      <c r="B527" s="1" t="s">
        <v>1941</v>
      </c>
      <c r="C527" s="1" t="s">
        <v>1942</v>
      </c>
      <c r="D527" s="1" t="s">
        <v>1943</v>
      </c>
      <c r="E527" s="2">
        <v>36690.0</v>
      </c>
      <c r="F527" s="1" t="s">
        <v>37</v>
      </c>
      <c r="G527" s="1" t="s">
        <v>82</v>
      </c>
      <c r="H527" s="1" t="s">
        <v>18</v>
      </c>
      <c r="I527" s="3">
        <f>+2250797135697</f>
        <v>2250797135697</v>
      </c>
      <c r="J527" s="3">
        <f>+2250708644101</f>
        <v>2250708644101</v>
      </c>
      <c r="K527" s="1" t="s">
        <v>19</v>
      </c>
      <c r="L527" s="4" t="s">
        <v>1944</v>
      </c>
    </row>
    <row r="528">
      <c r="A528" s="1" t="s">
        <v>12</v>
      </c>
      <c r="B528" s="1" t="s">
        <v>1945</v>
      </c>
      <c r="C528" s="1" t="s">
        <v>1946</v>
      </c>
      <c r="D528" s="1" t="s">
        <v>1947</v>
      </c>
      <c r="E528" s="5">
        <v>37576.0</v>
      </c>
      <c r="F528" s="1" t="s">
        <v>16</v>
      </c>
      <c r="G528" s="1" t="s">
        <v>17</v>
      </c>
      <c r="H528" s="1" t="s">
        <v>18</v>
      </c>
      <c r="I528" s="3">
        <f>+2250160352037</f>
        <v>2250160352037</v>
      </c>
      <c r="J528" s="3">
        <f>+2250505361853</f>
        <v>2250505361853</v>
      </c>
      <c r="K528" s="1" t="s">
        <v>19</v>
      </c>
      <c r="L528" s="4" t="s">
        <v>1948</v>
      </c>
    </row>
    <row r="529">
      <c r="A529" s="1" t="s">
        <v>12</v>
      </c>
      <c r="B529" s="1" t="s">
        <v>1949</v>
      </c>
      <c r="C529" s="1" t="s">
        <v>1950</v>
      </c>
      <c r="D529" s="1" t="s">
        <v>1853</v>
      </c>
      <c r="E529" s="5">
        <v>37973.0</v>
      </c>
      <c r="F529" s="1" t="s">
        <v>92</v>
      </c>
      <c r="G529" s="1" t="s">
        <v>31</v>
      </c>
      <c r="H529" s="1" t="s">
        <v>32</v>
      </c>
      <c r="I529" s="3">
        <f>+2250758912669</f>
        <v>2250758912669</v>
      </c>
      <c r="J529" s="3">
        <f>+2250708681689</f>
        <v>2250708681689</v>
      </c>
      <c r="K529" s="1" t="s">
        <v>19</v>
      </c>
      <c r="L529" s="4" t="s">
        <v>1951</v>
      </c>
    </row>
    <row r="530">
      <c r="A530" s="1" t="s">
        <v>12</v>
      </c>
      <c r="B530" s="1" t="s">
        <v>1952</v>
      </c>
      <c r="C530" s="1" t="s">
        <v>1953</v>
      </c>
      <c r="D530" s="1" t="s">
        <v>1954</v>
      </c>
      <c r="E530" s="5">
        <v>37953.0</v>
      </c>
      <c r="F530" s="1" t="s">
        <v>48</v>
      </c>
      <c r="G530" s="1" t="s">
        <v>31</v>
      </c>
      <c r="H530" s="1" t="s">
        <v>32</v>
      </c>
      <c r="I530" s="3">
        <f>+2250565884922</f>
        <v>2250565884922</v>
      </c>
      <c r="J530" s="3">
        <f>+2250707676846</f>
        <v>2250707676846</v>
      </c>
      <c r="K530" s="1" t="s">
        <v>19</v>
      </c>
      <c r="L530" s="4" t="s">
        <v>1955</v>
      </c>
    </row>
    <row r="531">
      <c r="A531" s="1" t="s">
        <v>12</v>
      </c>
      <c r="B531" s="1" t="s">
        <v>1956</v>
      </c>
      <c r="C531" s="1" t="s">
        <v>1953</v>
      </c>
      <c r="D531" s="1" t="s">
        <v>1957</v>
      </c>
      <c r="E531" s="2">
        <v>37365.0</v>
      </c>
      <c r="F531" s="1" t="s">
        <v>351</v>
      </c>
      <c r="G531" s="1" t="s">
        <v>82</v>
      </c>
      <c r="H531" s="1" t="s">
        <v>18</v>
      </c>
      <c r="I531" s="3">
        <f>+2250789272243</f>
        <v>2250789272243</v>
      </c>
      <c r="J531" s="3">
        <f>+2250747620593</f>
        <v>2250747620593</v>
      </c>
      <c r="K531" s="1" t="s">
        <v>19</v>
      </c>
      <c r="L531" s="4" t="s">
        <v>1958</v>
      </c>
    </row>
    <row r="532">
      <c r="A532" s="1" t="s">
        <v>12</v>
      </c>
      <c r="B532" s="1" t="s">
        <v>1959</v>
      </c>
      <c r="C532" s="1" t="s">
        <v>1960</v>
      </c>
      <c r="D532" s="1" t="s">
        <v>1961</v>
      </c>
      <c r="E532" s="2">
        <v>36915.0</v>
      </c>
      <c r="F532" s="1" t="s">
        <v>138</v>
      </c>
      <c r="G532" s="1" t="s">
        <v>76</v>
      </c>
      <c r="H532" s="1" t="s">
        <v>32</v>
      </c>
      <c r="I532" s="3">
        <f>+2250504457470</f>
        <v>2250504457470</v>
      </c>
      <c r="J532" s="3">
        <f>+2250505027445</f>
        <v>2250505027445</v>
      </c>
      <c r="K532" s="1" t="s">
        <v>19</v>
      </c>
      <c r="L532" s="4" t="s">
        <v>1962</v>
      </c>
    </row>
    <row r="533">
      <c r="A533" s="1" t="s">
        <v>12</v>
      </c>
      <c r="B533" s="1" t="s">
        <v>1963</v>
      </c>
      <c r="C533" s="1" t="s">
        <v>1960</v>
      </c>
      <c r="D533" s="1" t="s">
        <v>1964</v>
      </c>
      <c r="E533" s="5">
        <v>38696.0</v>
      </c>
      <c r="F533" s="1" t="s">
        <v>62</v>
      </c>
      <c r="G533" s="1" t="s">
        <v>25</v>
      </c>
      <c r="H533" s="1" t="s">
        <v>18</v>
      </c>
      <c r="I533" s="3">
        <f>+2250574825126</f>
        <v>2250574825126</v>
      </c>
      <c r="J533" s="3">
        <f>+2250546314269</f>
        <v>2250546314269</v>
      </c>
      <c r="K533" s="1" t="s">
        <v>19</v>
      </c>
      <c r="L533" s="4" t="s">
        <v>1965</v>
      </c>
    </row>
    <row r="534">
      <c r="A534" s="1" t="s">
        <v>12</v>
      </c>
      <c r="B534" s="1" t="s">
        <v>1966</v>
      </c>
      <c r="C534" s="1" t="s">
        <v>1960</v>
      </c>
      <c r="D534" s="1" t="s">
        <v>1967</v>
      </c>
      <c r="E534" s="2">
        <v>37511.0</v>
      </c>
      <c r="F534" s="1" t="s">
        <v>62</v>
      </c>
      <c r="G534" s="1" t="s">
        <v>25</v>
      </c>
      <c r="H534" s="1" t="s">
        <v>18</v>
      </c>
      <c r="I534" s="3">
        <f>+2250170615847</f>
        <v>2250170615847</v>
      </c>
      <c r="J534" s="3">
        <f>+2250707736527</f>
        <v>2250707736527</v>
      </c>
      <c r="K534" s="1" t="s">
        <v>19</v>
      </c>
      <c r="L534" s="4" t="s">
        <v>1968</v>
      </c>
    </row>
    <row r="535">
      <c r="A535" s="1" t="s">
        <v>12</v>
      </c>
      <c r="B535" s="1" t="s">
        <v>1969</v>
      </c>
      <c r="C535" s="1" t="s">
        <v>1960</v>
      </c>
      <c r="D535" s="1" t="s">
        <v>1970</v>
      </c>
      <c r="E535" s="2">
        <v>36837.0</v>
      </c>
      <c r="F535" s="1" t="s">
        <v>62</v>
      </c>
      <c r="G535" s="1" t="s">
        <v>17</v>
      </c>
      <c r="H535" s="1" t="s">
        <v>18</v>
      </c>
      <c r="I535" s="3">
        <f>+2250142632509</f>
        <v>2250142632509</v>
      </c>
      <c r="J535" s="3">
        <f>+2250708375034</f>
        <v>2250708375034</v>
      </c>
      <c r="K535" s="1" t="s">
        <v>19</v>
      </c>
      <c r="L535" s="4" t="s">
        <v>1971</v>
      </c>
    </row>
    <row r="536">
      <c r="A536" s="1" t="s">
        <v>12</v>
      </c>
      <c r="B536" s="1" t="s">
        <v>1972</v>
      </c>
      <c r="C536" s="1" t="s">
        <v>1960</v>
      </c>
      <c r="D536" s="1" t="s">
        <v>1973</v>
      </c>
      <c r="E536" s="5">
        <v>36493.0</v>
      </c>
      <c r="F536" s="1" t="s">
        <v>342</v>
      </c>
      <c r="G536" s="1" t="s">
        <v>82</v>
      </c>
      <c r="H536" s="1" t="s">
        <v>18</v>
      </c>
      <c r="I536" s="3">
        <f>+2250151082206</f>
        <v>2250151082206</v>
      </c>
      <c r="J536" s="3">
        <f>+2250586402132</f>
        <v>2250586402132</v>
      </c>
      <c r="K536" s="1" t="s">
        <v>19</v>
      </c>
      <c r="L536" s="4" t="s">
        <v>1974</v>
      </c>
    </row>
    <row r="537">
      <c r="A537" s="1" t="s">
        <v>12</v>
      </c>
      <c r="B537" s="1" t="s">
        <v>1975</v>
      </c>
      <c r="C537" s="1" t="s">
        <v>1960</v>
      </c>
      <c r="D537" s="1" t="s">
        <v>1976</v>
      </c>
      <c r="E537" s="2">
        <v>35525.0</v>
      </c>
      <c r="F537" s="1" t="s">
        <v>101</v>
      </c>
      <c r="G537" s="1" t="s">
        <v>31</v>
      </c>
      <c r="H537" s="1" t="s">
        <v>32</v>
      </c>
      <c r="I537" s="3">
        <f>+2250768407925</f>
        <v>2250768407925</v>
      </c>
      <c r="J537" s="3">
        <f>+2250142696524</f>
        <v>2250142696524</v>
      </c>
      <c r="K537" s="1" t="s">
        <v>19</v>
      </c>
      <c r="L537" s="4" t="s">
        <v>1977</v>
      </c>
    </row>
    <row r="538">
      <c r="A538" s="1" t="s">
        <v>12</v>
      </c>
      <c r="B538" s="1" t="s">
        <v>1978</v>
      </c>
      <c r="C538" s="1" t="s">
        <v>1960</v>
      </c>
      <c r="D538" s="1" t="s">
        <v>1979</v>
      </c>
      <c r="E538" s="2">
        <v>37696.0</v>
      </c>
      <c r="F538" s="1" t="s">
        <v>101</v>
      </c>
      <c r="G538" s="1" t="s">
        <v>31</v>
      </c>
      <c r="H538" s="1" t="s">
        <v>32</v>
      </c>
      <c r="I538" s="3">
        <f>+2250504357498</f>
        <v>2250504357498</v>
      </c>
      <c r="J538" s="3">
        <f>+2250758903398</f>
        <v>2250758903398</v>
      </c>
      <c r="K538" s="1" t="s">
        <v>19</v>
      </c>
      <c r="L538" s="4" t="s">
        <v>1980</v>
      </c>
    </row>
    <row r="539">
      <c r="A539" s="1" t="s">
        <v>12</v>
      </c>
      <c r="B539" s="1" t="s">
        <v>1981</v>
      </c>
      <c r="C539" s="1" t="s">
        <v>1982</v>
      </c>
      <c r="D539" s="1" t="s">
        <v>1983</v>
      </c>
      <c r="E539" s="5">
        <v>37581.0</v>
      </c>
      <c r="F539" s="1" t="s">
        <v>16</v>
      </c>
      <c r="G539" s="1" t="s">
        <v>82</v>
      </c>
      <c r="H539" s="1" t="s">
        <v>18</v>
      </c>
      <c r="I539" s="3">
        <f>+2250710028553</f>
        <v>2250710028553</v>
      </c>
      <c r="J539" s="3">
        <f>+2250779215997</f>
        <v>2250779215997</v>
      </c>
      <c r="K539" s="1" t="s">
        <v>19</v>
      </c>
      <c r="L539" s="4" t="s">
        <v>1984</v>
      </c>
    </row>
    <row r="540">
      <c r="A540" s="1" t="s">
        <v>12</v>
      </c>
      <c r="B540" s="1" t="s">
        <v>1985</v>
      </c>
      <c r="C540" s="1" t="s">
        <v>1982</v>
      </c>
      <c r="D540" s="1" t="s">
        <v>1986</v>
      </c>
      <c r="E540" s="2">
        <v>38324.0</v>
      </c>
      <c r="F540" s="1" t="s">
        <v>16</v>
      </c>
      <c r="G540" s="1" t="s">
        <v>17</v>
      </c>
      <c r="H540" s="1" t="s">
        <v>18</v>
      </c>
      <c r="I540" s="3">
        <f>+2250707261388</f>
        <v>2250707261388</v>
      </c>
      <c r="J540" s="3">
        <f>+2250505551993</f>
        <v>2250505551993</v>
      </c>
      <c r="K540" s="1" t="s">
        <v>19</v>
      </c>
      <c r="L540" s="4" t="s">
        <v>1987</v>
      </c>
    </row>
    <row r="541">
      <c r="A541" s="1" t="s">
        <v>12</v>
      </c>
      <c r="B541" s="1" t="s">
        <v>1988</v>
      </c>
      <c r="C541" s="1" t="s">
        <v>1989</v>
      </c>
      <c r="D541" s="1" t="s">
        <v>1990</v>
      </c>
      <c r="E541" s="2">
        <v>37015.0</v>
      </c>
      <c r="F541" s="1" t="s">
        <v>155</v>
      </c>
      <c r="G541" s="1" t="s">
        <v>82</v>
      </c>
      <c r="H541" s="1" t="s">
        <v>18</v>
      </c>
      <c r="I541" s="3">
        <f>+2250500505202</f>
        <v>2250500505202</v>
      </c>
      <c r="J541" s="3">
        <f>+2250556410993</f>
        <v>2250556410993</v>
      </c>
      <c r="K541" s="1" t="s">
        <v>19</v>
      </c>
      <c r="L541" s="4" t="s">
        <v>1991</v>
      </c>
    </row>
    <row r="542">
      <c r="A542" s="1" t="s">
        <v>12</v>
      </c>
      <c r="B542" s="1" t="s">
        <v>1992</v>
      </c>
      <c r="C542" s="1" t="s">
        <v>1993</v>
      </c>
      <c r="D542" s="1" t="s">
        <v>1994</v>
      </c>
      <c r="E542" s="2">
        <v>37121.0</v>
      </c>
      <c r="F542" s="1" t="s">
        <v>155</v>
      </c>
      <c r="G542" s="1" t="s">
        <v>31</v>
      </c>
      <c r="H542" s="1" t="s">
        <v>32</v>
      </c>
      <c r="I542" s="3">
        <f>+2250799217367</f>
        <v>2250799217367</v>
      </c>
      <c r="J542" s="3">
        <f>+2250708821141</f>
        <v>2250708821141</v>
      </c>
      <c r="K542" s="1" t="s">
        <v>19</v>
      </c>
      <c r="L542" s="4" t="s">
        <v>1995</v>
      </c>
    </row>
    <row r="543">
      <c r="A543" s="1" t="s">
        <v>12</v>
      </c>
      <c r="B543" s="1" t="s">
        <v>1996</v>
      </c>
      <c r="C543" s="1" t="s">
        <v>1997</v>
      </c>
      <c r="D543" s="1" t="s">
        <v>1998</v>
      </c>
      <c r="E543" s="2">
        <v>38453.0</v>
      </c>
      <c r="F543" s="1" t="s">
        <v>167</v>
      </c>
      <c r="G543" s="1" t="s">
        <v>17</v>
      </c>
      <c r="H543" s="1" t="s">
        <v>18</v>
      </c>
      <c r="I543" s="3">
        <f>+2250705115210</f>
        <v>2250705115210</v>
      </c>
      <c r="J543" s="3">
        <f>+2250143710558</f>
        <v>2250143710558</v>
      </c>
      <c r="K543" s="1" t="s">
        <v>19</v>
      </c>
      <c r="L543" s="4" t="s">
        <v>1999</v>
      </c>
    </row>
    <row r="544">
      <c r="A544" s="1" t="s">
        <v>12</v>
      </c>
      <c r="B544" s="1" t="s">
        <v>2000</v>
      </c>
      <c r="C544" s="1" t="s">
        <v>1997</v>
      </c>
      <c r="D544" s="1" t="s">
        <v>2001</v>
      </c>
      <c r="E544" s="2">
        <v>37740.0</v>
      </c>
      <c r="F544" s="1" t="s">
        <v>62</v>
      </c>
      <c r="G544" s="1" t="s">
        <v>17</v>
      </c>
      <c r="H544" s="1" t="s">
        <v>18</v>
      </c>
      <c r="I544" s="3">
        <f>+2250708021775</f>
        <v>2250708021775</v>
      </c>
      <c r="J544" s="3">
        <f>+2250708262540</f>
        <v>2250708262540</v>
      </c>
      <c r="K544" s="1" t="s">
        <v>19</v>
      </c>
      <c r="L544" s="4" t="s">
        <v>2002</v>
      </c>
    </row>
    <row r="545">
      <c r="A545" s="1" t="s">
        <v>12</v>
      </c>
      <c r="B545" s="1" t="s">
        <v>2003</v>
      </c>
      <c r="C545" s="1" t="s">
        <v>1997</v>
      </c>
      <c r="D545" s="1" t="s">
        <v>2004</v>
      </c>
      <c r="E545" s="2">
        <v>37660.0</v>
      </c>
      <c r="F545" s="1" t="s">
        <v>16</v>
      </c>
      <c r="G545" s="1" t="s">
        <v>17</v>
      </c>
      <c r="H545" s="1" t="s">
        <v>18</v>
      </c>
      <c r="I545" s="3">
        <f>+2250789825053</f>
        <v>2250789825053</v>
      </c>
      <c r="J545" s="3">
        <f>+2250140536324</f>
        <v>2250140536324</v>
      </c>
      <c r="K545" s="1" t="s">
        <v>19</v>
      </c>
      <c r="L545" s="4" t="s">
        <v>2005</v>
      </c>
    </row>
    <row r="546">
      <c r="A546" s="1" t="s">
        <v>12</v>
      </c>
      <c r="B546" s="1" t="s">
        <v>2006</v>
      </c>
      <c r="C546" s="1" t="s">
        <v>2007</v>
      </c>
      <c r="D546" s="1" t="s">
        <v>2008</v>
      </c>
      <c r="E546" s="2">
        <v>36929.0</v>
      </c>
      <c r="F546" s="1" t="s">
        <v>288</v>
      </c>
      <c r="G546" s="1" t="s">
        <v>31</v>
      </c>
      <c r="H546" s="1" t="s">
        <v>32</v>
      </c>
      <c r="I546" s="3">
        <f>+2250768548402</f>
        <v>2250768548402</v>
      </c>
      <c r="J546" s="3">
        <f>+2250707987371</f>
        <v>2250707987371</v>
      </c>
      <c r="K546" s="1" t="s">
        <v>19</v>
      </c>
      <c r="L546" s="4" t="s">
        <v>2009</v>
      </c>
    </row>
    <row r="547">
      <c r="A547" s="1" t="s">
        <v>12</v>
      </c>
      <c r="B547" s="1" t="s">
        <v>2010</v>
      </c>
      <c r="C547" s="1" t="s">
        <v>2011</v>
      </c>
      <c r="D547" s="1" t="s">
        <v>2012</v>
      </c>
      <c r="E547" s="2">
        <v>37715.0</v>
      </c>
      <c r="F547" s="1" t="s">
        <v>30</v>
      </c>
      <c r="G547" s="1" t="s">
        <v>76</v>
      </c>
      <c r="H547" s="1" t="s">
        <v>32</v>
      </c>
      <c r="I547" s="3">
        <f>+2250564622902</f>
        <v>2250564622902</v>
      </c>
      <c r="J547" s="3">
        <f>+2250584831514</f>
        <v>2250584831514</v>
      </c>
      <c r="K547" s="1" t="s">
        <v>19</v>
      </c>
      <c r="L547" s="4" t="s">
        <v>2013</v>
      </c>
    </row>
    <row r="548">
      <c r="A548" s="1" t="s">
        <v>12</v>
      </c>
      <c r="B548" s="1" t="s">
        <v>2014</v>
      </c>
      <c r="C548" s="1" t="s">
        <v>2011</v>
      </c>
      <c r="D548" s="1" t="s">
        <v>2015</v>
      </c>
      <c r="E548" s="5">
        <v>38310.0</v>
      </c>
      <c r="F548" s="1" t="s">
        <v>75</v>
      </c>
      <c r="G548" s="1" t="s">
        <v>76</v>
      </c>
      <c r="H548" s="1" t="s">
        <v>32</v>
      </c>
      <c r="I548" s="3">
        <f>+2250704729932</f>
        <v>2250704729932</v>
      </c>
      <c r="J548" s="3">
        <f>+2250758396444</f>
        <v>2250758396444</v>
      </c>
      <c r="K548" s="1" t="s">
        <v>19</v>
      </c>
      <c r="L548" s="4" t="s">
        <v>2016</v>
      </c>
    </row>
    <row r="549">
      <c r="A549" s="1" t="s">
        <v>12</v>
      </c>
      <c r="B549" s="1" t="s">
        <v>2017</v>
      </c>
      <c r="C549" s="1" t="s">
        <v>2018</v>
      </c>
      <c r="D549" s="1" t="s">
        <v>2019</v>
      </c>
      <c r="E549" s="2">
        <v>38097.0</v>
      </c>
      <c r="F549" s="1" t="s">
        <v>75</v>
      </c>
      <c r="G549" s="1" t="s">
        <v>76</v>
      </c>
      <c r="H549" s="1" t="s">
        <v>32</v>
      </c>
      <c r="I549" s="3">
        <f>+2250151824701</f>
        <v>2250151824701</v>
      </c>
      <c r="J549" s="3">
        <f>+2250708303111</f>
        <v>2250708303111</v>
      </c>
      <c r="K549" s="1" t="s">
        <v>19</v>
      </c>
      <c r="L549" s="4" t="s">
        <v>2020</v>
      </c>
    </row>
    <row r="550">
      <c r="A550" s="1" t="s">
        <v>12</v>
      </c>
      <c r="B550" s="1" t="s">
        <v>2021</v>
      </c>
      <c r="C550" s="1" t="s">
        <v>2022</v>
      </c>
      <c r="D550" s="1" t="s">
        <v>2023</v>
      </c>
      <c r="E550" s="2">
        <v>38624.0</v>
      </c>
      <c r="F550" s="1" t="s">
        <v>101</v>
      </c>
      <c r="G550" s="1" t="s">
        <v>76</v>
      </c>
      <c r="H550" s="1" t="s">
        <v>32</v>
      </c>
      <c r="I550" s="3">
        <f>+2250564257993</f>
        <v>2250564257993</v>
      </c>
      <c r="J550" s="3">
        <f>+2250143262168</f>
        <v>2250143262168</v>
      </c>
      <c r="K550" s="1" t="s">
        <v>19</v>
      </c>
      <c r="L550" s="4" t="s">
        <v>2024</v>
      </c>
    </row>
    <row r="551">
      <c r="A551" s="1" t="s">
        <v>12</v>
      </c>
      <c r="B551" s="1" t="s">
        <v>2025</v>
      </c>
      <c r="C551" s="1" t="s">
        <v>2026</v>
      </c>
      <c r="D551" s="1" t="s">
        <v>2027</v>
      </c>
      <c r="E551" s="2">
        <v>38541.0</v>
      </c>
      <c r="F551" s="1" t="s">
        <v>53</v>
      </c>
      <c r="G551" s="1" t="s">
        <v>25</v>
      </c>
      <c r="H551" s="1" t="s">
        <v>18</v>
      </c>
      <c r="I551" s="3">
        <f>+2250767526012</f>
        <v>2250767526012</v>
      </c>
      <c r="J551" s="3">
        <f>+2250777072191</f>
        <v>2250777072191</v>
      </c>
      <c r="K551" s="1" t="s">
        <v>19</v>
      </c>
      <c r="L551" s="4" t="s">
        <v>2028</v>
      </c>
    </row>
    <row r="552">
      <c r="A552" s="1" t="s">
        <v>12</v>
      </c>
      <c r="B552" s="1" t="s">
        <v>2029</v>
      </c>
      <c r="C552" s="1" t="s">
        <v>2030</v>
      </c>
      <c r="D552" s="1" t="s">
        <v>2031</v>
      </c>
      <c r="E552" s="2">
        <v>37883.0</v>
      </c>
      <c r="F552" s="1" t="s">
        <v>182</v>
      </c>
      <c r="G552" s="1" t="s">
        <v>82</v>
      </c>
      <c r="H552" s="1" t="s">
        <v>18</v>
      </c>
      <c r="I552" s="3">
        <f>+2250757093175</f>
        <v>2250757093175</v>
      </c>
      <c r="J552" s="3">
        <f>+2250707061982</f>
        <v>2250707061982</v>
      </c>
      <c r="K552" s="1" t="s">
        <v>19</v>
      </c>
      <c r="L552" s="4" t="s">
        <v>2032</v>
      </c>
    </row>
    <row r="553">
      <c r="A553" s="1" t="s">
        <v>12</v>
      </c>
      <c r="B553" s="1" t="s">
        <v>2033</v>
      </c>
      <c r="C553" s="1" t="s">
        <v>2034</v>
      </c>
      <c r="D553" s="1" t="s">
        <v>2035</v>
      </c>
      <c r="E553" s="2">
        <v>37809.0</v>
      </c>
      <c r="F553" s="1" t="s">
        <v>75</v>
      </c>
      <c r="G553" s="1" t="s">
        <v>76</v>
      </c>
      <c r="H553" s="1" t="s">
        <v>32</v>
      </c>
      <c r="I553" s="3">
        <f>+2250711277319</f>
        <v>2250711277319</v>
      </c>
      <c r="J553" s="3">
        <f>+2250769184077</f>
        <v>2250769184077</v>
      </c>
      <c r="K553" s="1" t="s">
        <v>19</v>
      </c>
      <c r="L553" s="4" t="s">
        <v>2036</v>
      </c>
    </row>
    <row r="554">
      <c r="A554" s="1" t="s">
        <v>12</v>
      </c>
      <c r="B554" s="1" t="s">
        <v>2037</v>
      </c>
      <c r="C554" s="1" t="s">
        <v>2038</v>
      </c>
      <c r="D554" s="1" t="s">
        <v>2039</v>
      </c>
      <c r="E554" s="2">
        <v>36648.0</v>
      </c>
      <c r="F554" s="1" t="s">
        <v>167</v>
      </c>
      <c r="G554" s="1" t="s">
        <v>17</v>
      </c>
      <c r="H554" s="1" t="s">
        <v>18</v>
      </c>
      <c r="I554" s="3">
        <f>+2250575618480</f>
        <v>2250575618480</v>
      </c>
      <c r="J554" s="3">
        <f>+2250544924552</f>
        <v>2250544924552</v>
      </c>
      <c r="K554" s="1" t="s">
        <v>19</v>
      </c>
      <c r="L554" s="4" t="s">
        <v>2040</v>
      </c>
    </row>
    <row r="555">
      <c r="A555" s="1" t="s">
        <v>12</v>
      </c>
      <c r="B555" s="1" t="s">
        <v>2041</v>
      </c>
      <c r="C555" s="1" t="s">
        <v>2042</v>
      </c>
      <c r="D555" s="1" t="s">
        <v>2043</v>
      </c>
      <c r="E555" s="2">
        <v>38140.0</v>
      </c>
      <c r="F555" s="1" t="s">
        <v>16</v>
      </c>
      <c r="G555" s="1" t="s">
        <v>25</v>
      </c>
      <c r="H555" s="1" t="s">
        <v>18</v>
      </c>
      <c r="I555" s="3">
        <f t="shared" ref="I555:J555" si="17">+2250708406647</f>
        <v>2250708406647</v>
      </c>
      <c r="J555" s="3">
        <f t="shared" si="17"/>
        <v>2250708406647</v>
      </c>
      <c r="K555" s="1" t="s">
        <v>19</v>
      </c>
      <c r="L555" s="4" t="s">
        <v>2044</v>
      </c>
    </row>
    <row r="556">
      <c r="A556" s="1" t="s">
        <v>12</v>
      </c>
      <c r="B556" s="1" t="s">
        <v>2045</v>
      </c>
      <c r="C556" s="1" t="s">
        <v>2046</v>
      </c>
      <c r="D556" s="1" t="s">
        <v>2047</v>
      </c>
      <c r="E556" s="5">
        <v>37235.0</v>
      </c>
      <c r="F556" s="1" t="s">
        <v>75</v>
      </c>
      <c r="G556" s="1" t="s">
        <v>31</v>
      </c>
      <c r="H556" s="1" t="s">
        <v>32</v>
      </c>
      <c r="I556" s="3">
        <f>+2250799448054</f>
        <v>2250799448054</v>
      </c>
      <c r="J556" s="3">
        <f>+2250707416314</f>
        <v>2250707416314</v>
      </c>
      <c r="K556" s="1" t="s">
        <v>19</v>
      </c>
      <c r="L556" s="4" t="s">
        <v>2048</v>
      </c>
    </row>
    <row r="557">
      <c r="A557" s="1" t="s">
        <v>12</v>
      </c>
      <c r="B557" s="1" t="s">
        <v>2049</v>
      </c>
      <c r="C557" s="1" t="s">
        <v>2050</v>
      </c>
      <c r="D557" s="1" t="s">
        <v>2051</v>
      </c>
      <c r="E557" s="2">
        <v>35797.0</v>
      </c>
      <c r="F557" s="1" t="s">
        <v>48</v>
      </c>
      <c r="G557" s="1" t="s">
        <v>31</v>
      </c>
      <c r="H557" s="1" t="s">
        <v>32</v>
      </c>
      <c r="I557" s="3">
        <f>+2250556451246</f>
        <v>2250556451246</v>
      </c>
      <c r="J557" s="3">
        <f>+2250505511866</f>
        <v>2250505511866</v>
      </c>
      <c r="K557" s="1" t="s">
        <v>19</v>
      </c>
      <c r="L557" s="4" t="s">
        <v>2052</v>
      </c>
    </row>
    <row r="558">
      <c r="A558" s="1" t="s">
        <v>12</v>
      </c>
      <c r="B558" s="1" t="s">
        <v>2053</v>
      </c>
      <c r="C558" s="1" t="s">
        <v>2050</v>
      </c>
      <c r="D558" s="1" t="s">
        <v>2054</v>
      </c>
      <c r="E558" s="2">
        <v>38249.0</v>
      </c>
      <c r="F558" s="1" t="s">
        <v>48</v>
      </c>
      <c r="G558" s="1" t="s">
        <v>31</v>
      </c>
      <c r="H558" s="1" t="s">
        <v>32</v>
      </c>
      <c r="I558" s="3">
        <f>+2250500352948</f>
        <v>2250500352948</v>
      </c>
      <c r="J558" s="3">
        <f>+2250708756595</f>
        <v>2250708756595</v>
      </c>
      <c r="K558" s="1" t="s">
        <v>19</v>
      </c>
      <c r="L558" s="4" t="s">
        <v>2055</v>
      </c>
    </row>
    <row r="559">
      <c r="A559" s="1" t="s">
        <v>12</v>
      </c>
      <c r="B559" s="1" t="s">
        <v>2056</v>
      </c>
      <c r="C559" s="1" t="s">
        <v>2057</v>
      </c>
      <c r="D559" s="1" t="s">
        <v>2058</v>
      </c>
      <c r="E559" s="5">
        <v>38337.0</v>
      </c>
      <c r="F559" s="1" t="s">
        <v>53</v>
      </c>
      <c r="G559" s="1" t="s">
        <v>25</v>
      </c>
      <c r="H559" s="1" t="s">
        <v>18</v>
      </c>
      <c r="I559" s="3">
        <f>+2250564578933</f>
        <v>2250564578933</v>
      </c>
      <c r="J559" s="3">
        <f>+2250707696965</f>
        <v>2250707696965</v>
      </c>
      <c r="K559" s="1" t="s">
        <v>19</v>
      </c>
      <c r="L559" s="4" t="s">
        <v>2059</v>
      </c>
    </row>
    <row r="560">
      <c r="A560" s="1" t="s">
        <v>12</v>
      </c>
      <c r="B560" s="1" t="s">
        <v>2060</v>
      </c>
      <c r="C560" s="1" t="s">
        <v>2061</v>
      </c>
      <c r="D560" s="1" t="s">
        <v>2062</v>
      </c>
      <c r="E560" s="2">
        <v>38163.0</v>
      </c>
      <c r="F560" s="1" t="s">
        <v>62</v>
      </c>
      <c r="G560" s="1" t="s">
        <v>17</v>
      </c>
      <c r="H560" s="1" t="s">
        <v>18</v>
      </c>
      <c r="I560" s="3">
        <f>+2250701230590</f>
        <v>2250701230590</v>
      </c>
      <c r="J560" s="3">
        <f>+2250749628311</f>
        <v>2250749628311</v>
      </c>
      <c r="K560" s="1" t="s">
        <v>19</v>
      </c>
      <c r="L560" s="4" t="s">
        <v>2063</v>
      </c>
    </row>
    <row r="561">
      <c r="A561" s="1" t="s">
        <v>12</v>
      </c>
      <c r="B561" s="1" t="s">
        <v>2064</v>
      </c>
      <c r="C561" s="1" t="s">
        <v>2065</v>
      </c>
      <c r="D561" s="1" t="s">
        <v>2066</v>
      </c>
      <c r="E561" s="2">
        <v>38502.0</v>
      </c>
      <c r="F561" s="1" t="s">
        <v>75</v>
      </c>
      <c r="G561" s="1" t="s">
        <v>76</v>
      </c>
      <c r="H561" s="1" t="s">
        <v>32</v>
      </c>
      <c r="I561" s="3">
        <f>+2250799542474</f>
        <v>2250799542474</v>
      </c>
      <c r="J561" s="3">
        <f>+2250747202153</f>
        <v>2250747202153</v>
      </c>
      <c r="K561" s="1" t="s">
        <v>19</v>
      </c>
      <c r="L561" s="4" t="s">
        <v>2067</v>
      </c>
    </row>
    <row r="562">
      <c r="A562" s="1" t="s">
        <v>12</v>
      </c>
      <c r="B562" s="1" t="s">
        <v>2068</v>
      </c>
      <c r="C562" s="1" t="s">
        <v>2069</v>
      </c>
      <c r="D562" s="1" t="s">
        <v>2070</v>
      </c>
      <c r="E562" s="2">
        <v>38403.0</v>
      </c>
      <c r="F562" s="1" t="s">
        <v>16</v>
      </c>
      <c r="G562" s="1" t="s">
        <v>17</v>
      </c>
      <c r="H562" s="1" t="s">
        <v>18</v>
      </c>
      <c r="I562" s="3">
        <f>+2250101142266</f>
        <v>2250101142266</v>
      </c>
      <c r="J562" s="3">
        <f>+2250747236765</f>
        <v>2250747236765</v>
      </c>
      <c r="K562" s="1" t="s">
        <v>19</v>
      </c>
      <c r="L562" s="4" t="s">
        <v>2071</v>
      </c>
    </row>
    <row r="563">
      <c r="A563" s="1" t="s">
        <v>12</v>
      </c>
      <c r="B563" s="1" t="s">
        <v>2072</v>
      </c>
      <c r="C563" s="1" t="s">
        <v>2073</v>
      </c>
      <c r="D563" s="1" t="s">
        <v>2074</v>
      </c>
      <c r="E563" s="2">
        <v>37353.0</v>
      </c>
      <c r="F563" s="1" t="s">
        <v>48</v>
      </c>
      <c r="G563" s="1" t="s">
        <v>31</v>
      </c>
      <c r="H563" s="1" t="s">
        <v>32</v>
      </c>
      <c r="I563" s="3">
        <f>+2250708903577</f>
        <v>2250708903577</v>
      </c>
      <c r="J563" s="3">
        <f>+2250777868286</f>
        <v>2250777868286</v>
      </c>
      <c r="K563" s="1" t="s">
        <v>19</v>
      </c>
      <c r="L563" s="4" t="s">
        <v>2075</v>
      </c>
    </row>
    <row r="564">
      <c r="A564" s="1" t="s">
        <v>12</v>
      </c>
      <c r="B564" s="1" t="s">
        <v>2076</v>
      </c>
      <c r="C564" s="1" t="s">
        <v>2077</v>
      </c>
      <c r="D564" s="1" t="s">
        <v>2078</v>
      </c>
      <c r="E564" s="2">
        <v>37054.0</v>
      </c>
      <c r="F564" s="1" t="s">
        <v>138</v>
      </c>
      <c r="G564" s="1" t="s">
        <v>31</v>
      </c>
      <c r="H564" s="1" t="s">
        <v>32</v>
      </c>
      <c r="I564" s="3">
        <f>+2250789607563</f>
        <v>2250789607563</v>
      </c>
      <c r="J564" s="3">
        <f>+2250757578401</f>
        <v>2250757578401</v>
      </c>
      <c r="K564" s="1" t="s">
        <v>19</v>
      </c>
      <c r="L564" s="4" t="s">
        <v>2079</v>
      </c>
    </row>
    <row r="565">
      <c r="A565" s="1" t="s">
        <v>12</v>
      </c>
      <c r="B565" s="1" t="s">
        <v>2080</v>
      </c>
      <c r="C565" s="1" t="s">
        <v>2081</v>
      </c>
      <c r="D565" s="1" t="s">
        <v>2082</v>
      </c>
      <c r="E565" s="2">
        <v>38415.0</v>
      </c>
      <c r="F565" s="1" t="s">
        <v>24</v>
      </c>
      <c r="G565" s="1" t="s">
        <v>82</v>
      </c>
      <c r="H565" s="1" t="s">
        <v>18</v>
      </c>
      <c r="I565" s="3">
        <f>+2250767770386</f>
        <v>2250767770386</v>
      </c>
      <c r="J565" s="3">
        <f>+2250505873509</f>
        <v>2250505873509</v>
      </c>
      <c r="K565" s="1" t="s">
        <v>19</v>
      </c>
      <c r="L565" s="4" t="s">
        <v>2083</v>
      </c>
    </row>
    <row r="566">
      <c r="A566" s="1" t="s">
        <v>12</v>
      </c>
      <c r="B566" s="1" t="s">
        <v>2084</v>
      </c>
      <c r="C566" s="1" t="s">
        <v>2085</v>
      </c>
      <c r="D566" s="1" t="s">
        <v>2086</v>
      </c>
      <c r="E566" s="2">
        <v>37659.0</v>
      </c>
      <c r="F566" s="1" t="s">
        <v>155</v>
      </c>
      <c r="G566" s="1" t="s">
        <v>82</v>
      </c>
      <c r="H566" s="1" t="s">
        <v>18</v>
      </c>
      <c r="I566" s="3">
        <f>+2250789539168</f>
        <v>2250789539168</v>
      </c>
      <c r="J566" s="3">
        <f>+2250779000309</f>
        <v>2250779000309</v>
      </c>
      <c r="K566" s="1" t="s">
        <v>19</v>
      </c>
      <c r="L566" s="4" t="s">
        <v>2087</v>
      </c>
    </row>
    <row r="567">
      <c r="A567" s="1" t="s">
        <v>12</v>
      </c>
      <c r="B567" s="1" t="s">
        <v>2088</v>
      </c>
      <c r="C567" s="1" t="s">
        <v>2085</v>
      </c>
      <c r="D567" s="1" t="s">
        <v>2089</v>
      </c>
      <c r="E567" s="5">
        <v>37582.0</v>
      </c>
      <c r="F567" s="1" t="s">
        <v>62</v>
      </c>
      <c r="G567" s="1" t="s">
        <v>17</v>
      </c>
      <c r="H567" s="1" t="s">
        <v>18</v>
      </c>
      <c r="I567" s="3">
        <f>+2250787133272</f>
        <v>2250787133272</v>
      </c>
      <c r="J567" s="3">
        <f>+2250707082268</f>
        <v>2250707082268</v>
      </c>
      <c r="K567" s="1" t="s">
        <v>19</v>
      </c>
      <c r="L567" s="4" t="s">
        <v>2090</v>
      </c>
    </row>
    <row r="568">
      <c r="A568" s="1" t="s">
        <v>12</v>
      </c>
      <c r="B568" s="1" t="s">
        <v>2091</v>
      </c>
      <c r="C568" s="1" t="s">
        <v>2085</v>
      </c>
      <c r="D568" s="1" t="s">
        <v>2092</v>
      </c>
      <c r="E568" s="2">
        <v>38171.0</v>
      </c>
      <c r="F568" s="1" t="s">
        <v>92</v>
      </c>
      <c r="G568" s="1" t="s">
        <v>76</v>
      </c>
      <c r="H568" s="1" t="s">
        <v>32</v>
      </c>
      <c r="I568" s="3">
        <f>+2250789600106</f>
        <v>2250789600106</v>
      </c>
      <c r="J568" s="3">
        <f>+2250708663493</f>
        <v>2250708663493</v>
      </c>
      <c r="K568" s="1" t="s">
        <v>19</v>
      </c>
      <c r="L568" s="4" t="s">
        <v>2093</v>
      </c>
    </row>
    <row r="569">
      <c r="A569" s="1" t="s">
        <v>12</v>
      </c>
      <c r="B569" s="1" t="s">
        <v>2094</v>
      </c>
      <c r="C569" s="1" t="s">
        <v>2095</v>
      </c>
      <c r="D569" s="1" t="s">
        <v>2096</v>
      </c>
      <c r="E569" s="2">
        <v>38067.0</v>
      </c>
      <c r="F569" s="1" t="s">
        <v>62</v>
      </c>
      <c r="G569" s="1" t="s">
        <v>25</v>
      </c>
      <c r="H569" s="1" t="s">
        <v>18</v>
      </c>
      <c r="I569" s="3">
        <f>+2250596824118</f>
        <v>2250596824118</v>
      </c>
      <c r="J569" s="3">
        <f>+2250707934498</f>
        <v>2250707934498</v>
      </c>
      <c r="K569" s="1" t="s">
        <v>19</v>
      </c>
      <c r="L569" s="4" t="s">
        <v>2097</v>
      </c>
    </row>
    <row r="570">
      <c r="A570" s="1" t="s">
        <v>12</v>
      </c>
      <c r="B570" s="1" t="s">
        <v>2098</v>
      </c>
      <c r="C570" s="1" t="s">
        <v>2099</v>
      </c>
      <c r="D570" s="1" t="s">
        <v>2100</v>
      </c>
      <c r="E570" s="5">
        <v>38709.0</v>
      </c>
      <c r="F570" s="1" t="s">
        <v>16</v>
      </c>
      <c r="G570" s="1" t="s">
        <v>17</v>
      </c>
      <c r="H570" s="1" t="s">
        <v>18</v>
      </c>
      <c r="I570" s="3">
        <f>+2250778026815</f>
        <v>2250778026815</v>
      </c>
      <c r="J570" s="3">
        <f>+2250554383211</f>
        <v>2250554383211</v>
      </c>
      <c r="K570" s="1" t="s">
        <v>19</v>
      </c>
      <c r="L570" s="4" t="s">
        <v>2101</v>
      </c>
    </row>
    <row r="571">
      <c r="A571" s="1" t="s">
        <v>12</v>
      </c>
      <c r="B571" s="1" t="s">
        <v>2102</v>
      </c>
      <c r="C571" s="1" t="s">
        <v>2103</v>
      </c>
      <c r="D571" s="1" t="s">
        <v>2104</v>
      </c>
      <c r="E571" s="2">
        <v>38083.0</v>
      </c>
      <c r="F571" s="1" t="s">
        <v>110</v>
      </c>
      <c r="G571" s="1" t="s">
        <v>82</v>
      </c>
      <c r="H571" s="1" t="s">
        <v>18</v>
      </c>
      <c r="I571" s="3">
        <f>+2250595591009</f>
        <v>2250595591009</v>
      </c>
      <c r="J571" s="3">
        <f>+2250778461415</f>
        <v>2250778461415</v>
      </c>
      <c r="K571" s="1" t="s">
        <v>19</v>
      </c>
      <c r="L571" s="4" t="s">
        <v>2105</v>
      </c>
    </row>
    <row r="572">
      <c r="A572" s="1" t="s">
        <v>12</v>
      </c>
      <c r="B572" s="1" t="s">
        <v>2106</v>
      </c>
      <c r="C572" s="1" t="s">
        <v>2107</v>
      </c>
      <c r="D572" s="1" t="s">
        <v>2108</v>
      </c>
      <c r="E572" s="5">
        <v>37922.0</v>
      </c>
      <c r="F572" s="1" t="s">
        <v>53</v>
      </c>
      <c r="G572" s="1" t="s">
        <v>25</v>
      </c>
      <c r="H572" s="1" t="s">
        <v>18</v>
      </c>
      <c r="I572" s="3">
        <f>+2250502938043</f>
        <v>2250502938043</v>
      </c>
      <c r="J572" s="3">
        <f>+2250101396214</f>
        <v>2250101396214</v>
      </c>
      <c r="K572" s="1" t="s">
        <v>19</v>
      </c>
      <c r="L572" s="4" t="s">
        <v>2109</v>
      </c>
    </row>
    <row r="573">
      <c r="A573" s="1" t="s">
        <v>12</v>
      </c>
      <c r="B573" s="1" t="s">
        <v>2110</v>
      </c>
      <c r="C573" s="1" t="s">
        <v>2107</v>
      </c>
      <c r="D573" s="1" t="s">
        <v>2111</v>
      </c>
      <c r="E573" s="5">
        <v>37616.0</v>
      </c>
      <c r="F573" s="1" t="s">
        <v>570</v>
      </c>
      <c r="G573" s="1" t="s">
        <v>82</v>
      </c>
      <c r="H573" s="1" t="s">
        <v>18</v>
      </c>
      <c r="I573" s="3">
        <f>+2250503600160</f>
        <v>2250503600160</v>
      </c>
      <c r="J573" s="3">
        <f>+2250505696227</f>
        <v>2250505696227</v>
      </c>
      <c r="K573" s="1" t="s">
        <v>19</v>
      </c>
      <c r="L573" s="4" t="s">
        <v>2112</v>
      </c>
    </row>
    <row r="574">
      <c r="A574" s="1" t="s">
        <v>12</v>
      </c>
      <c r="B574" s="1" t="s">
        <v>2113</v>
      </c>
      <c r="C574" s="1" t="s">
        <v>2107</v>
      </c>
      <c r="D574" s="1" t="s">
        <v>2114</v>
      </c>
      <c r="E574" s="2">
        <v>36670.0</v>
      </c>
      <c r="F574" s="1" t="s">
        <v>24</v>
      </c>
      <c r="G574" s="1" t="s">
        <v>82</v>
      </c>
      <c r="H574" s="1" t="s">
        <v>18</v>
      </c>
      <c r="I574" s="3">
        <f>+2250172387464</f>
        <v>2250172387464</v>
      </c>
      <c r="J574" s="3">
        <f>+2250555603814</f>
        <v>2250555603814</v>
      </c>
      <c r="K574" s="1" t="s">
        <v>19</v>
      </c>
      <c r="L574" s="4" t="s">
        <v>2115</v>
      </c>
    </row>
    <row r="575">
      <c r="A575" s="1" t="s">
        <v>12</v>
      </c>
      <c r="B575" s="1" t="s">
        <v>2116</v>
      </c>
      <c r="C575" s="1" t="s">
        <v>2107</v>
      </c>
      <c r="D575" s="1" t="s">
        <v>2117</v>
      </c>
      <c r="E575" s="2">
        <v>37084.0</v>
      </c>
      <c r="F575" s="1" t="s">
        <v>16</v>
      </c>
      <c r="G575" s="1" t="s">
        <v>17</v>
      </c>
      <c r="H575" s="1" t="s">
        <v>18</v>
      </c>
      <c r="I575" s="3">
        <f>+2250703097765</f>
        <v>2250703097765</v>
      </c>
      <c r="J575" s="3">
        <f>+2250748113683</f>
        <v>2250748113683</v>
      </c>
      <c r="K575" s="1" t="s">
        <v>19</v>
      </c>
      <c r="L575" s="4" t="s">
        <v>2118</v>
      </c>
    </row>
    <row r="576">
      <c r="A576" s="1" t="s">
        <v>12</v>
      </c>
      <c r="B576" s="1" t="s">
        <v>2119</v>
      </c>
      <c r="C576" s="1" t="s">
        <v>2120</v>
      </c>
      <c r="D576" s="1" t="s">
        <v>2121</v>
      </c>
      <c r="E576" s="2">
        <v>37794.0</v>
      </c>
      <c r="F576" s="1" t="s">
        <v>155</v>
      </c>
      <c r="G576" s="1" t="s">
        <v>82</v>
      </c>
      <c r="H576" s="1" t="s">
        <v>18</v>
      </c>
      <c r="I576" s="3">
        <f>+2250554497100</f>
        <v>2250554497100</v>
      </c>
      <c r="J576" s="3">
        <f>+2250505937918</f>
        <v>2250505937918</v>
      </c>
      <c r="K576" s="1" t="s">
        <v>19</v>
      </c>
      <c r="L576" s="4" t="s">
        <v>2122</v>
      </c>
    </row>
    <row r="577">
      <c r="A577" s="1" t="s">
        <v>12</v>
      </c>
      <c r="B577" s="1" t="s">
        <v>2123</v>
      </c>
      <c r="C577" s="1" t="s">
        <v>2120</v>
      </c>
      <c r="D577" s="1" t="s">
        <v>2124</v>
      </c>
      <c r="E577" s="5">
        <v>38305.0</v>
      </c>
      <c r="F577" s="1" t="s">
        <v>62</v>
      </c>
      <c r="G577" s="1" t="s">
        <v>17</v>
      </c>
      <c r="H577" s="1" t="s">
        <v>18</v>
      </c>
      <c r="I577" s="3">
        <f>+2250142271717</f>
        <v>2250142271717</v>
      </c>
      <c r="J577" s="3">
        <f>+2250748154861</f>
        <v>2250748154861</v>
      </c>
      <c r="K577" s="1" t="s">
        <v>19</v>
      </c>
      <c r="L577" s="4" t="s">
        <v>2125</v>
      </c>
    </row>
    <row r="578">
      <c r="A578" s="1" t="s">
        <v>12</v>
      </c>
      <c r="B578" s="1" t="s">
        <v>2126</v>
      </c>
      <c r="C578" s="1" t="s">
        <v>2127</v>
      </c>
      <c r="D578" s="1" t="s">
        <v>2128</v>
      </c>
      <c r="E578" s="5">
        <v>37544.0</v>
      </c>
      <c r="F578" s="1" t="s">
        <v>62</v>
      </c>
      <c r="G578" s="1" t="s">
        <v>17</v>
      </c>
      <c r="H578" s="1" t="s">
        <v>18</v>
      </c>
      <c r="I578" s="3">
        <f>+2250789179817</f>
        <v>2250789179817</v>
      </c>
      <c r="J578" s="3">
        <f>+2250777588452</f>
        <v>2250777588452</v>
      </c>
      <c r="K578" s="1" t="s">
        <v>19</v>
      </c>
      <c r="L578" s="4" t="s">
        <v>2129</v>
      </c>
    </row>
    <row r="579">
      <c r="A579" s="1" t="s">
        <v>12</v>
      </c>
      <c r="B579" s="1" t="s">
        <v>2130</v>
      </c>
      <c r="C579" s="1" t="s">
        <v>2127</v>
      </c>
      <c r="D579" s="1" t="s">
        <v>2131</v>
      </c>
      <c r="E579" s="2">
        <v>37534.0</v>
      </c>
      <c r="F579" s="1" t="s">
        <v>48</v>
      </c>
      <c r="G579" s="1" t="s">
        <v>82</v>
      </c>
      <c r="H579" s="1" t="s">
        <v>18</v>
      </c>
      <c r="I579" s="3">
        <f>+2250788610917</f>
        <v>2250788610917</v>
      </c>
      <c r="J579" s="3">
        <f>+2250707684877</f>
        <v>2250707684877</v>
      </c>
      <c r="K579" s="1" t="s">
        <v>19</v>
      </c>
      <c r="L579" s="4" t="s">
        <v>2132</v>
      </c>
    </row>
    <row r="580">
      <c r="A580" s="1" t="s">
        <v>12</v>
      </c>
      <c r="B580" s="1" t="s">
        <v>2133</v>
      </c>
      <c r="C580" s="1" t="s">
        <v>2127</v>
      </c>
      <c r="D580" s="1" t="s">
        <v>2134</v>
      </c>
      <c r="E580" s="2">
        <v>37642.0</v>
      </c>
      <c r="F580" s="1" t="s">
        <v>138</v>
      </c>
      <c r="G580" s="1" t="s">
        <v>31</v>
      </c>
      <c r="H580" s="1" t="s">
        <v>32</v>
      </c>
      <c r="I580" s="3">
        <f>+2250171180672</f>
        <v>2250171180672</v>
      </c>
      <c r="J580" s="3">
        <f>+2250707102581</f>
        <v>2250707102581</v>
      </c>
      <c r="K580" s="1" t="s">
        <v>19</v>
      </c>
      <c r="L580" s="4" t="s">
        <v>2135</v>
      </c>
    </row>
    <row r="581">
      <c r="A581" s="1" t="s">
        <v>12</v>
      </c>
      <c r="B581" s="1" t="s">
        <v>2136</v>
      </c>
      <c r="C581" s="1" t="s">
        <v>2137</v>
      </c>
      <c r="D581" s="1" t="s">
        <v>2138</v>
      </c>
      <c r="E581" s="2">
        <v>37355.0</v>
      </c>
      <c r="F581" s="1" t="s">
        <v>24</v>
      </c>
      <c r="G581" s="1" t="s">
        <v>82</v>
      </c>
      <c r="H581" s="1" t="s">
        <v>18</v>
      </c>
      <c r="I581" s="3">
        <f>+2250797527973</f>
        <v>2250797527973</v>
      </c>
      <c r="J581" s="3">
        <f>+2250141392210</f>
        <v>2250141392210</v>
      </c>
      <c r="K581" s="1" t="s">
        <v>19</v>
      </c>
      <c r="L581" s="4" t="s">
        <v>2139</v>
      </c>
    </row>
    <row r="582">
      <c r="A582" s="1" t="s">
        <v>12</v>
      </c>
      <c r="B582" s="1" t="s">
        <v>2140</v>
      </c>
      <c r="C582" s="1" t="s">
        <v>2141</v>
      </c>
      <c r="D582" s="1" t="s">
        <v>2142</v>
      </c>
      <c r="E582" s="2">
        <v>38294.0</v>
      </c>
      <c r="F582" s="1" t="s">
        <v>62</v>
      </c>
      <c r="G582" s="1" t="s">
        <v>17</v>
      </c>
      <c r="H582" s="1" t="s">
        <v>18</v>
      </c>
      <c r="I582" s="3">
        <f>+2250153596240</f>
        <v>2250153596240</v>
      </c>
      <c r="J582" s="3">
        <f>+2250707786445</f>
        <v>2250707786445</v>
      </c>
      <c r="K582" s="1" t="s">
        <v>19</v>
      </c>
      <c r="L582" s="4" t="s">
        <v>2143</v>
      </c>
    </row>
    <row r="583">
      <c r="A583" s="1" t="s">
        <v>12</v>
      </c>
      <c r="B583" s="1" t="s">
        <v>2144</v>
      </c>
      <c r="C583" s="1" t="s">
        <v>2141</v>
      </c>
      <c r="D583" s="1" t="s">
        <v>2145</v>
      </c>
      <c r="E583" s="2">
        <v>37535.0</v>
      </c>
      <c r="F583" s="1" t="s">
        <v>110</v>
      </c>
      <c r="G583" s="1" t="s">
        <v>82</v>
      </c>
      <c r="H583" s="1" t="s">
        <v>18</v>
      </c>
      <c r="I583" s="3">
        <f>+2250141626924</f>
        <v>2250141626924</v>
      </c>
      <c r="J583" s="3">
        <f>+2250707334519</f>
        <v>2250707334519</v>
      </c>
      <c r="K583" s="1" t="s">
        <v>19</v>
      </c>
      <c r="L583" s="4" t="s">
        <v>2146</v>
      </c>
    </row>
    <row r="584">
      <c r="A584" s="1" t="s">
        <v>12</v>
      </c>
      <c r="B584" s="1" t="s">
        <v>2147</v>
      </c>
      <c r="C584" s="1" t="s">
        <v>2141</v>
      </c>
      <c r="D584" s="1" t="s">
        <v>2148</v>
      </c>
      <c r="E584" s="5">
        <v>37587.0</v>
      </c>
      <c r="F584" s="1" t="s">
        <v>92</v>
      </c>
      <c r="G584" s="1" t="s">
        <v>31</v>
      </c>
      <c r="H584" s="1" t="s">
        <v>32</v>
      </c>
      <c r="I584" s="3">
        <f>+2250705046614</f>
        <v>2250705046614</v>
      </c>
      <c r="J584" s="3">
        <f>+2250709010522</f>
        <v>2250709010522</v>
      </c>
      <c r="K584" s="1" t="s">
        <v>19</v>
      </c>
      <c r="L584" s="4" t="s">
        <v>2149</v>
      </c>
    </row>
    <row r="585">
      <c r="A585" s="1" t="s">
        <v>12</v>
      </c>
      <c r="B585" s="1" t="s">
        <v>2150</v>
      </c>
      <c r="C585" s="1" t="s">
        <v>2141</v>
      </c>
      <c r="D585" s="1" t="s">
        <v>2151</v>
      </c>
      <c r="E585" s="5">
        <v>36141.0</v>
      </c>
      <c r="F585" s="1" t="s">
        <v>167</v>
      </c>
      <c r="G585" s="1" t="s">
        <v>17</v>
      </c>
      <c r="H585" s="1" t="s">
        <v>18</v>
      </c>
      <c r="I585" s="3">
        <f>+2250554449235</f>
        <v>2250554449235</v>
      </c>
      <c r="J585" s="3">
        <f>+2250576317207</f>
        <v>2250576317207</v>
      </c>
      <c r="K585" s="1" t="s">
        <v>19</v>
      </c>
      <c r="L585" s="4" t="s">
        <v>2152</v>
      </c>
    </row>
    <row r="586">
      <c r="A586" s="1" t="s">
        <v>12</v>
      </c>
      <c r="B586" s="1" t="s">
        <v>2153</v>
      </c>
      <c r="C586" s="1" t="s">
        <v>2141</v>
      </c>
      <c r="D586" s="1" t="s">
        <v>2154</v>
      </c>
      <c r="E586" s="2">
        <v>35620.0</v>
      </c>
      <c r="F586" s="1" t="s">
        <v>1723</v>
      </c>
      <c r="G586" s="1" t="s">
        <v>82</v>
      </c>
      <c r="H586" s="1" t="s">
        <v>18</v>
      </c>
      <c r="I586" s="3">
        <f>+2250788788154</f>
        <v>2250788788154</v>
      </c>
      <c r="J586" s="3">
        <f>+2250504988169</f>
        <v>2250504988169</v>
      </c>
      <c r="K586" s="1" t="s">
        <v>19</v>
      </c>
      <c r="L586" s="4" t="s">
        <v>2155</v>
      </c>
    </row>
    <row r="587">
      <c r="A587" s="1" t="s">
        <v>12</v>
      </c>
      <c r="B587" s="1" t="s">
        <v>2156</v>
      </c>
      <c r="C587" s="1" t="s">
        <v>2157</v>
      </c>
      <c r="D587" s="1" t="s">
        <v>2158</v>
      </c>
      <c r="E587" s="2">
        <v>38611.0</v>
      </c>
      <c r="F587" s="1" t="s">
        <v>155</v>
      </c>
      <c r="G587" s="1" t="s">
        <v>76</v>
      </c>
      <c r="H587" s="1" t="s">
        <v>32</v>
      </c>
      <c r="I587" s="3">
        <f>+2250759584543</f>
        <v>2250759584543</v>
      </c>
      <c r="J587" s="3">
        <f>+2250709449115</f>
        <v>2250709449115</v>
      </c>
      <c r="K587" s="1" t="s">
        <v>19</v>
      </c>
      <c r="L587" s="4" t="s">
        <v>2159</v>
      </c>
    </row>
    <row r="588">
      <c r="A588" s="1" t="s">
        <v>12</v>
      </c>
      <c r="B588" s="1" t="s">
        <v>2160</v>
      </c>
      <c r="C588" s="1" t="s">
        <v>2161</v>
      </c>
      <c r="D588" s="1" t="s">
        <v>2162</v>
      </c>
      <c r="E588" s="2">
        <v>36745.0</v>
      </c>
      <c r="F588" s="1" t="s">
        <v>62</v>
      </c>
      <c r="G588" s="1" t="s">
        <v>17</v>
      </c>
      <c r="H588" s="1" t="s">
        <v>18</v>
      </c>
      <c r="I588" s="3">
        <f>+2250700146352</f>
        <v>2250700146352</v>
      </c>
      <c r="J588" s="3">
        <f>+2250749928975</f>
        <v>2250749928975</v>
      </c>
      <c r="K588" s="1" t="s">
        <v>19</v>
      </c>
      <c r="L588" s="4" t="s">
        <v>2163</v>
      </c>
    </row>
    <row r="589">
      <c r="A589" s="1" t="s">
        <v>12</v>
      </c>
      <c r="B589" s="1" t="s">
        <v>2164</v>
      </c>
      <c r="C589" s="1" t="s">
        <v>2165</v>
      </c>
      <c r="D589" s="1" t="s">
        <v>2166</v>
      </c>
      <c r="E589" s="5">
        <v>37917.0</v>
      </c>
      <c r="F589" s="1" t="s">
        <v>30</v>
      </c>
      <c r="G589" s="1" t="s">
        <v>31</v>
      </c>
      <c r="H589" s="1" t="s">
        <v>32</v>
      </c>
      <c r="I589" s="3">
        <f>+2250798307176</f>
        <v>2250798307176</v>
      </c>
      <c r="J589" s="3">
        <f>+2250707449858</f>
        <v>2250707449858</v>
      </c>
      <c r="K589" s="1" t="s">
        <v>19</v>
      </c>
      <c r="L589" s="4" t="s">
        <v>2167</v>
      </c>
    </row>
    <row r="590">
      <c r="A590" s="1" t="s">
        <v>12</v>
      </c>
      <c r="B590" s="1" t="s">
        <v>2168</v>
      </c>
      <c r="C590" s="1" t="s">
        <v>2169</v>
      </c>
      <c r="D590" s="1" t="s">
        <v>2170</v>
      </c>
      <c r="E590" s="5">
        <v>37555.0</v>
      </c>
      <c r="F590" s="1" t="s">
        <v>75</v>
      </c>
      <c r="G590" s="1" t="s">
        <v>76</v>
      </c>
      <c r="H590" s="1" t="s">
        <v>32</v>
      </c>
      <c r="I590" s="3">
        <f>+2250748810395</f>
        <v>2250748810395</v>
      </c>
      <c r="J590" s="3">
        <f>+2250707657295</f>
        <v>2250707657295</v>
      </c>
      <c r="K590" s="1" t="s">
        <v>19</v>
      </c>
      <c r="L590" s="4" t="s">
        <v>2171</v>
      </c>
    </row>
    <row r="591">
      <c r="A591" s="1" t="s">
        <v>12</v>
      </c>
      <c r="B591" s="1" t="s">
        <v>2172</v>
      </c>
      <c r="C591" s="1" t="s">
        <v>2173</v>
      </c>
      <c r="D591" s="1" t="s">
        <v>2174</v>
      </c>
      <c r="E591" s="2">
        <v>37370.0</v>
      </c>
      <c r="F591" s="1" t="s">
        <v>16</v>
      </c>
      <c r="G591" s="1" t="s">
        <v>82</v>
      </c>
      <c r="H591" s="1" t="s">
        <v>18</v>
      </c>
      <c r="I591" s="3">
        <f>+2250161047183</f>
        <v>2250161047183</v>
      </c>
      <c r="J591" s="3">
        <f>+2250757920407</f>
        <v>2250757920407</v>
      </c>
      <c r="K591" s="1" t="s">
        <v>19</v>
      </c>
      <c r="L591" s="4" t="s">
        <v>2175</v>
      </c>
    </row>
    <row r="592">
      <c r="A592" s="1" t="s">
        <v>12</v>
      </c>
      <c r="B592" s="1" t="s">
        <v>2176</v>
      </c>
      <c r="C592" s="1" t="s">
        <v>2177</v>
      </c>
      <c r="D592" s="1" t="s">
        <v>2178</v>
      </c>
      <c r="E592" s="2">
        <v>37681.0</v>
      </c>
      <c r="F592" s="1" t="s">
        <v>101</v>
      </c>
      <c r="G592" s="1" t="s">
        <v>76</v>
      </c>
      <c r="H592" s="1" t="s">
        <v>32</v>
      </c>
      <c r="I592" s="3">
        <f>+2250170655605</f>
        <v>2250170655605</v>
      </c>
      <c r="J592" s="3">
        <f>+22509523108</f>
        <v>22509523108</v>
      </c>
      <c r="K592" s="1" t="s">
        <v>19</v>
      </c>
      <c r="L592" s="4" t="s">
        <v>2179</v>
      </c>
    </row>
    <row r="593">
      <c r="A593" s="1" t="s">
        <v>12</v>
      </c>
      <c r="B593" s="1" t="s">
        <v>2180</v>
      </c>
      <c r="C593" s="1" t="s">
        <v>2177</v>
      </c>
      <c r="D593" s="1" t="s">
        <v>2181</v>
      </c>
      <c r="E593" s="2">
        <v>38612.0</v>
      </c>
      <c r="F593" s="1" t="s">
        <v>167</v>
      </c>
      <c r="G593" s="1" t="s">
        <v>25</v>
      </c>
      <c r="H593" s="1" t="s">
        <v>18</v>
      </c>
      <c r="I593" s="3">
        <f>+2250700152877</f>
        <v>2250700152877</v>
      </c>
      <c r="J593" s="3">
        <f>+2250103325948</f>
        <v>2250103325948</v>
      </c>
      <c r="K593" s="1" t="s">
        <v>19</v>
      </c>
      <c r="L593" s="4" t="s">
        <v>2182</v>
      </c>
    </row>
    <row r="594">
      <c r="A594" s="1" t="s">
        <v>12</v>
      </c>
      <c r="B594" s="1" t="s">
        <v>2183</v>
      </c>
      <c r="C594" s="1" t="s">
        <v>2177</v>
      </c>
      <c r="D594" s="1" t="s">
        <v>2184</v>
      </c>
      <c r="E594" s="2">
        <v>38775.0</v>
      </c>
      <c r="F594" s="1" t="s">
        <v>62</v>
      </c>
      <c r="G594" s="1" t="s">
        <v>25</v>
      </c>
      <c r="H594" s="1" t="s">
        <v>18</v>
      </c>
      <c r="I594" s="3">
        <f>+2250769819490</f>
        <v>2250769819490</v>
      </c>
      <c r="J594" s="3">
        <f>+2250768778845</f>
        <v>2250768778845</v>
      </c>
      <c r="K594" s="1" t="s">
        <v>19</v>
      </c>
      <c r="L594" s="4" t="s">
        <v>2185</v>
      </c>
    </row>
    <row r="595">
      <c r="A595" s="1" t="s">
        <v>12</v>
      </c>
      <c r="B595" s="1" t="s">
        <v>2186</v>
      </c>
      <c r="C595" s="1" t="s">
        <v>2187</v>
      </c>
      <c r="D595" s="1" t="s">
        <v>2188</v>
      </c>
      <c r="E595" s="2">
        <v>36302.0</v>
      </c>
      <c r="F595" s="1" t="s">
        <v>62</v>
      </c>
      <c r="G595" s="1" t="s">
        <v>17</v>
      </c>
      <c r="H595" s="1" t="s">
        <v>18</v>
      </c>
      <c r="I595" s="3">
        <f>+2250769272974</f>
        <v>2250769272974</v>
      </c>
      <c r="J595" s="3">
        <f>+2250103175203</f>
        <v>2250103175203</v>
      </c>
      <c r="K595" s="1" t="s">
        <v>19</v>
      </c>
      <c r="L595" s="4" t="s">
        <v>2189</v>
      </c>
    </row>
    <row r="596">
      <c r="A596" s="1" t="s">
        <v>12</v>
      </c>
      <c r="B596" s="1" t="s">
        <v>2190</v>
      </c>
      <c r="C596" s="1" t="s">
        <v>2187</v>
      </c>
      <c r="D596" s="1" t="s">
        <v>2191</v>
      </c>
      <c r="E596" s="2">
        <v>38443.0</v>
      </c>
      <c r="F596" s="1" t="s">
        <v>62</v>
      </c>
      <c r="G596" s="1" t="s">
        <v>25</v>
      </c>
      <c r="H596" s="1" t="s">
        <v>18</v>
      </c>
      <c r="I596" s="3">
        <f>+2250759619991</f>
        <v>2250759619991</v>
      </c>
      <c r="J596" s="3">
        <f>+2250505425722</f>
        <v>2250505425722</v>
      </c>
      <c r="K596" s="1" t="s">
        <v>19</v>
      </c>
      <c r="L596" s="4" t="s">
        <v>2192</v>
      </c>
    </row>
    <row r="597">
      <c r="A597" s="1" t="s">
        <v>12</v>
      </c>
      <c r="B597" s="1" t="s">
        <v>2193</v>
      </c>
      <c r="C597" s="1" t="s">
        <v>2194</v>
      </c>
      <c r="D597" s="1" t="s">
        <v>2195</v>
      </c>
      <c r="E597" s="5">
        <v>37935.0</v>
      </c>
      <c r="F597" s="1" t="s">
        <v>101</v>
      </c>
      <c r="G597" s="1" t="s">
        <v>76</v>
      </c>
      <c r="H597" s="1" t="s">
        <v>32</v>
      </c>
      <c r="I597" s="3">
        <f>+2250787862609</f>
        <v>2250787862609</v>
      </c>
      <c r="J597" s="3">
        <f>+2250757665120</f>
        <v>2250757665120</v>
      </c>
      <c r="K597" s="1" t="s">
        <v>19</v>
      </c>
      <c r="L597" s="4" t="s">
        <v>2196</v>
      </c>
    </row>
    <row r="598">
      <c r="A598" s="1" t="s">
        <v>12</v>
      </c>
      <c r="B598" s="1" t="s">
        <v>2197</v>
      </c>
      <c r="C598" s="1" t="s">
        <v>2198</v>
      </c>
      <c r="D598" s="1" t="s">
        <v>2199</v>
      </c>
      <c r="E598" s="2">
        <v>37863.0</v>
      </c>
      <c r="F598" s="1" t="s">
        <v>53</v>
      </c>
      <c r="G598" s="1" t="s">
        <v>25</v>
      </c>
      <c r="H598" s="1" t="s">
        <v>18</v>
      </c>
      <c r="I598" s="3">
        <f>+2250565124360</f>
        <v>2250565124360</v>
      </c>
      <c r="J598" s="3">
        <f>+2250545214120</f>
        <v>2250545214120</v>
      </c>
      <c r="K598" s="1" t="s">
        <v>19</v>
      </c>
      <c r="L598" s="4" t="s">
        <v>2200</v>
      </c>
    </row>
    <row r="599">
      <c r="A599" s="1" t="s">
        <v>12</v>
      </c>
      <c r="B599" s="1" t="s">
        <v>2201</v>
      </c>
      <c r="C599" s="1" t="s">
        <v>2202</v>
      </c>
      <c r="D599" s="1" t="s">
        <v>2203</v>
      </c>
      <c r="E599" s="2">
        <v>37864.0</v>
      </c>
      <c r="F599" s="1" t="s">
        <v>53</v>
      </c>
      <c r="G599" s="1" t="s">
        <v>17</v>
      </c>
      <c r="H599" s="1" t="s">
        <v>18</v>
      </c>
      <c r="I599" s="3">
        <f>+2250584423485</f>
        <v>2250584423485</v>
      </c>
      <c r="J599" s="3">
        <f>+2250506061727</f>
        <v>2250506061727</v>
      </c>
      <c r="K599" s="1" t="s">
        <v>19</v>
      </c>
      <c r="L599" s="4" t="s">
        <v>2204</v>
      </c>
    </row>
    <row r="600">
      <c r="A600" s="1" t="s">
        <v>12</v>
      </c>
      <c r="B600" s="1" t="s">
        <v>2205</v>
      </c>
      <c r="C600" s="1" t="s">
        <v>2206</v>
      </c>
      <c r="D600" s="1" t="s">
        <v>2207</v>
      </c>
      <c r="E600" s="2">
        <v>38104.0</v>
      </c>
      <c r="F600" s="1" t="s">
        <v>16</v>
      </c>
      <c r="G600" s="1" t="s">
        <v>17</v>
      </c>
      <c r="H600" s="1" t="s">
        <v>18</v>
      </c>
      <c r="I600" s="3">
        <f>+2250797545180</f>
        <v>2250797545180</v>
      </c>
      <c r="J600" s="3">
        <f>+2250747205936</f>
        <v>2250747205936</v>
      </c>
      <c r="K600" s="1" t="s">
        <v>19</v>
      </c>
      <c r="L600" s="4" t="s">
        <v>2208</v>
      </c>
    </row>
    <row r="601">
      <c r="A601" s="1" t="s">
        <v>12</v>
      </c>
      <c r="B601" s="1" t="s">
        <v>2209</v>
      </c>
      <c r="C601" s="1" t="s">
        <v>2210</v>
      </c>
      <c r="D601" s="1" t="s">
        <v>2211</v>
      </c>
      <c r="E601" s="2">
        <v>38245.0</v>
      </c>
      <c r="F601" s="1" t="s">
        <v>70</v>
      </c>
      <c r="G601" s="1" t="s">
        <v>31</v>
      </c>
      <c r="H601" s="1" t="s">
        <v>32</v>
      </c>
      <c r="I601" s="3">
        <f>+2250557924691</f>
        <v>2250557924691</v>
      </c>
      <c r="J601" s="3">
        <f>+2250709133371</f>
        <v>2250709133371</v>
      </c>
      <c r="K601" s="1" t="s">
        <v>19</v>
      </c>
      <c r="L601" s="4" t="s">
        <v>2212</v>
      </c>
    </row>
    <row r="602">
      <c r="A602" s="1" t="s">
        <v>12</v>
      </c>
      <c r="B602" s="1" t="s">
        <v>2213</v>
      </c>
      <c r="C602" s="1" t="s">
        <v>2214</v>
      </c>
      <c r="D602" s="1" t="s">
        <v>2215</v>
      </c>
      <c r="E602" s="2">
        <v>38247.0</v>
      </c>
      <c r="F602" s="1" t="s">
        <v>16</v>
      </c>
      <c r="G602" s="1" t="s">
        <v>17</v>
      </c>
      <c r="H602" s="1" t="s">
        <v>18</v>
      </c>
      <c r="I602" s="3">
        <f>+2250103683699</f>
        <v>2250103683699</v>
      </c>
      <c r="J602" s="3">
        <f>+2250709480915</f>
        <v>2250709480915</v>
      </c>
      <c r="K602" s="1" t="s">
        <v>19</v>
      </c>
      <c r="L602" s="4" t="s">
        <v>2216</v>
      </c>
    </row>
    <row r="603">
      <c r="A603" s="1" t="s">
        <v>12</v>
      </c>
      <c r="B603" s="1" t="s">
        <v>2217</v>
      </c>
      <c r="C603" s="1" t="s">
        <v>2218</v>
      </c>
      <c r="D603" s="1" t="s">
        <v>2219</v>
      </c>
      <c r="E603" s="2">
        <v>38043.0</v>
      </c>
      <c r="F603" s="1" t="s">
        <v>16</v>
      </c>
      <c r="G603" s="1" t="s">
        <v>82</v>
      </c>
      <c r="H603" s="1" t="s">
        <v>18</v>
      </c>
      <c r="I603" s="3">
        <f>+2250769550773</f>
        <v>2250769550773</v>
      </c>
      <c r="J603" s="3">
        <f>+2250506339026</f>
        <v>2250506339026</v>
      </c>
      <c r="K603" s="1" t="s">
        <v>19</v>
      </c>
      <c r="L603" s="4" t="s">
        <v>2220</v>
      </c>
    </row>
    <row r="604">
      <c r="A604" s="1" t="s">
        <v>12</v>
      </c>
      <c r="B604" s="1" t="s">
        <v>2221</v>
      </c>
      <c r="C604" s="1" t="s">
        <v>2222</v>
      </c>
      <c r="D604" s="1" t="s">
        <v>2223</v>
      </c>
      <c r="E604" s="2">
        <v>37433.0</v>
      </c>
      <c r="F604" s="1" t="s">
        <v>62</v>
      </c>
      <c r="G604" s="1" t="s">
        <v>17</v>
      </c>
      <c r="H604" s="1" t="s">
        <v>18</v>
      </c>
      <c r="I604" s="3">
        <f>+2250503025689</f>
        <v>2250503025689</v>
      </c>
      <c r="J604" s="3">
        <f>+2250101443220</f>
        <v>2250101443220</v>
      </c>
      <c r="K604" s="1" t="s">
        <v>19</v>
      </c>
      <c r="L604" s="4" t="s">
        <v>2224</v>
      </c>
    </row>
    <row r="605">
      <c r="A605" s="1" t="s">
        <v>12</v>
      </c>
      <c r="B605" s="1" t="s">
        <v>2225</v>
      </c>
      <c r="C605" s="1" t="s">
        <v>2222</v>
      </c>
      <c r="D605" s="1" t="s">
        <v>2226</v>
      </c>
      <c r="E605" s="5">
        <v>37975.0</v>
      </c>
      <c r="F605" s="1" t="s">
        <v>48</v>
      </c>
      <c r="G605" s="1" t="s">
        <v>31</v>
      </c>
      <c r="H605" s="1" t="s">
        <v>32</v>
      </c>
      <c r="I605" s="3">
        <f>+2250504719147</f>
        <v>2250504719147</v>
      </c>
      <c r="J605" s="3">
        <f>+2250787523767</f>
        <v>2250787523767</v>
      </c>
      <c r="K605" s="1" t="s">
        <v>19</v>
      </c>
      <c r="L605" s="4" t="s">
        <v>2227</v>
      </c>
    </row>
    <row r="606">
      <c r="A606" s="1" t="s">
        <v>12</v>
      </c>
      <c r="B606" s="1" t="s">
        <v>2228</v>
      </c>
      <c r="C606" s="1" t="s">
        <v>2222</v>
      </c>
      <c r="D606" s="1" t="s">
        <v>2229</v>
      </c>
      <c r="E606" s="2">
        <v>38002.0</v>
      </c>
      <c r="F606" s="1" t="s">
        <v>16</v>
      </c>
      <c r="G606" s="1" t="s">
        <v>25</v>
      </c>
      <c r="H606" s="1" t="s">
        <v>18</v>
      </c>
      <c r="I606" s="3">
        <f>+2250708206610</f>
        <v>2250708206610</v>
      </c>
      <c r="J606" s="3">
        <f>+2250702955424</f>
        <v>2250702955424</v>
      </c>
      <c r="K606" s="1" t="s">
        <v>19</v>
      </c>
      <c r="L606" s="4" t="s">
        <v>2230</v>
      </c>
    </row>
    <row r="607">
      <c r="A607" s="1" t="s">
        <v>12</v>
      </c>
      <c r="B607" s="1" t="s">
        <v>2231</v>
      </c>
      <c r="C607" s="1" t="s">
        <v>2232</v>
      </c>
      <c r="D607" s="1" t="s">
        <v>2233</v>
      </c>
      <c r="E607" s="2">
        <v>36963.0</v>
      </c>
      <c r="F607" s="1" t="s">
        <v>16</v>
      </c>
      <c r="G607" s="1" t="s">
        <v>17</v>
      </c>
      <c r="H607" s="1" t="s">
        <v>18</v>
      </c>
      <c r="I607" s="3">
        <f>+2250748988477</f>
        <v>2250748988477</v>
      </c>
      <c r="J607" s="3">
        <f>+2250787946146</f>
        <v>2250787946146</v>
      </c>
      <c r="K607" s="1" t="s">
        <v>19</v>
      </c>
      <c r="L607" s="4" t="s">
        <v>2234</v>
      </c>
    </row>
    <row r="608">
      <c r="A608" s="1" t="s">
        <v>12</v>
      </c>
      <c r="B608" s="1" t="s">
        <v>2235</v>
      </c>
      <c r="C608" s="1" t="s">
        <v>2236</v>
      </c>
      <c r="D608" s="1" t="s">
        <v>2237</v>
      </c>
      <c r="E608" s="5">
        <v>36519.0</v>
      </c>
      <c r="F608" s="1" t="s">
        <v>182</v>
      </c>
      <c r="G608" s="1" t="s">
        <v>82</v>
      </c>
      <c r="H608" s="1" t="s">
        <v>18</v>
      </c>
      <c r="I608" s="3">
        <f>+2250711356521</f>
        <v>2250711356521</v>
      </c>
      <c r="J608" s="3">
        <f>+2250141490456</f>
        <v>2250141490456</v>
      </c>
      <c r="K608" s="1" t="s">
        <v>19</v>
      </c>
      <c r="L608" s="4" t="s">
        <v>2238</v>
      </c>
    </row>
    <row r="609">
      <c r="A609" s="1" t="s">
        <v>12</v>
      </c>
      <c r="B609" s="1" t="s">
        <v>2239</v>
      </c>
      <c r="C609" s="1" t="s">
        <v>2240</v>
      </c>
      <c r="D609" s="1" t="s">
        <v>2241</v>
      </c>
      <c r="E609" s="2">
        <v>36411.0</v>
      </c>
      <c r="F609" s="1" t="s">
        <v>62</v>
      </c>
      <c r="G609" s="1" t="s">
        <v>17</v>
      </c>
      <c r="H609" s="1" t="s">
        <v>18</v>
      </c>
      <c r="I609" s="3">
        <f>+2250173769204</f>
        <v>2250173769204</v>
      </c>
      <c r="J609" s="3">
        <f>+2250173769200</f>
        <v>2250173769200</v>
      </c>
      <c r="K609" s="1" t="s">
        <v>19</v>
      </c>
      <c r="L609" s="4" t="s">
        <v>2242</v>
      </c>
    </row>
    <row r="610">
      <c r="A610" s="1" t="s">
        <v>12</v>
      </c>
      <c r="B610" s="1" t="s">
        <v>2243</v>
      </c>
      <c r="C610" s="1" t="s">
        <v>2244</v>
      </c>
      <c r="D610" s="1" t="s">
        <v>2245</v>
      </c>
      <c r="E610" s="2">
        <v>38455.0</v>
      </c>
      <c r="F610" s="1" t="s">
        <v>167</v>
      </c>
      <c r="G610" s="1" t="s">
        <v>17</v>
      </c>
      <c r="H610" s="1" t="s">
        <v>18</v>
      </c>
      <c r="I610" s="3">
        <f>+2250101595240</f>
        <v>2250101595240</v>
      </c>
      <c r="J610" s="3">
        <f>+2250585901481</f>
        <v>2250585901481</v>
      </c>
      <c r="K610" s="1" t="s">
        <v>19</v>
      </c>
      <c r="L610" s="4" t="s">
        <v>2246</v>
      </c>
    </row>
    <row r="611">
      <c r="A611" s="1" t="s">
        <v>12</v>
      </c>
      <c r="B611" s="1" t="s">
        <v>2247</v>
      </c>
      <c r="C611" s="1" t="s">
        <v>2248</v>
      </c>
      <c r="D611" s="1" t="s">
        <v>2249</v>
      </c>
      <c r="E611" s="5">
        <v>37942.0</v>
      </c>
      <c r="F611" s="1" t="s">
        <v>53</v>
      </c>
      <c r="G611" s="1" t="s">
        <v>25</v>
      </c>
      <c r="H611" s="1" t="s">
        <v>18</v>
      </c>
      <c r="I611" s="3">
        <f>+2250747789364</f>
        <v>2250747789364</v>
      </c>
      <c r="J611" s="3">
        <f>+2250707549090</f>
        <v>2250707549090</v>
      </c>
      <c r="K611" s="1" t="s">
        <v>19</v>
      </c>
      <c r="L611" s="4" t="s">
        <v>2250</v>
      </c>
    </row>
    <row r="612">
      <c r="A612" s="1" t="s">
        <v>12</v>
      </c>
      <c r="B612" s="1" t="s">
        <v>2251</v>
      </c>
      <c r="C612" s="1" t="s">
        <v>2252</v>
      </c>
      <c r="D612" s="1" t="s">
        <v>2253</v>
      </c>
      <c r="E612" s="2">
        <v>38742.0</v>
      </c>
      <c r="F612" s="1" t="s">
        <v>75</v>
      </c>
      <c r="G612" s="1" t="s">
        <v>76</v>
      </c>
      <c r="H612" s="1" t="s">
        <v>32</v>
      </c>
      <c r="I612" s="3">
        <f>+2250594987315</f>
        <v>2250594987315</v>
      </c>
      <c r="J612" s="3">
        <f>+2250759194780</f>
        <v>2250759194780</v>
      </c>
      <c r="K612" s="1" t="s">
        <v>19</v>
      </c>
      <c r="L612" s="4" t="s">
        <v>2254</v>
      </c>
    </row>
    <row r="613">
      <c r="A613" s="1" t="s">
        <v>12</v>
      </c>
      <c r="B613" s="1" t="s">
        <v>2255</v>
      </c>
      <c r="C613" s="1" t="s">
        <v>2256</v>
      </c>
      <c r="D613" s="1" t="s">
        <v>2257</v>
      </c>
      <c r="E613" s="2">
        <v>38588.0</v>
      </c>
      <c r="F613" s="1" t="s">
        <v>155</v>
      </c>
      <c r="G613" s="1" t="s">
        <v>76</v>
      </c>
      <c r="H613" s="1" t="s">
        <v>32</v>
      </c>
      <c r="I613" s="3">
        <f>+2250502079998</f>
        <v>2250502079998</v>
      </c>
      <c r="J613" s="3">
        <f>+2250707007113</f>
        <v>2250707007113</v>
      </c>
      <c r="K613" s="1" t="s">
        <v>19</v>
      </c>
      <c r="L613" s="4" t="s">
        <v>2258</v>
      </c>
    </row>
    <row r="614">
      <c r="A614" s="1" t="s">
        <v>12</v>
      </c>
      <c r="B614" s="1" t="s">
        <v>2259</v>
      </c>
      <c r="C614" s="1" t="s">
        <v>2256</v>
      </c>
      <c r="D614" s="1" t="s">
        <v>2260</v>
      </c>
      <c r="E614" s="2">
        <v>37775.0</v>
      </c>
      <c r="F614" s="1" t="s">
        <v>110</v>
      </c>
      <c r="G614" s="1" t="s">
        <v>82</v>
      </c>
      <c r="H614" s="1" t="s">
        <v>18</v>
      </c>
      <c r="I614" s="3">
        <f>+2250103231169</f>
        <v>2250103231169</v>
      </c>
      <c r="J614" s="3">
        <f>+2250759651501</f>
        <v>2250759651501</v>
      </c>
      <c r="K614" s="1" t="s">
        <v>19</v>
      </c>
      <c r="L614" s="4" t="s">
        <v>2261</v>
      </c>
    </row>
    <row r="615">
      <c r="A615" s="1" t="s">
        <v>12</v>
      </c>
      <c r="B615" s="1" t="s">
        <v>2262</v>
      </c>
      <c r="C615" s="1" t="s">
        <v>2263</v>
      </c>
      <c r="D615" s="1" t="s">
        <v>2264</v>
      </c>
      <c r="E615" s="2">
        <v>38222.0</v>
      </c>
      <c r="F615" s="1" t="s">
        <v>62</v>
      </c>
      <c r="G615" s="1" t="s">
        <v>17</v>
      </c>
      <c r="H615" s="1" t="s">
        <v>18</v>
      </c>
      <c r="I615" s="3">
        <f t="shared" ref="I615:J615" si="18">+2250173902471</f>
        <v>2250173902471</v>
      </c>
      <c r="J615" s="3">
        <f t="shared" si="18"/>
        <v>2250173902471</v>
      </c>
      <c r="K615" s="1" t="s">
        <v>19</v>
      </c>
      <c r="L615" s="4" t="s">
        <v>2265</v>
      </c>
    </row>
    <row r="616">
      <c r="A616" s="1" t="s">
        <v>12</v>
      </c>
      <c r="B616" s="1" t="s">
        <v>2266</v>
      </c>
      <c r="C616" s="1" t="s">
        <v>2267</v>
      </c>
      <c r="D616" s="1" t="s">
        <v>2268</v>
      </c>
      <c r="E616" s="2">
        <v>37450.0</v>
      </c>
      <c r="F616" s="1" t="s">
        <v>62</v>
      </c>
      <c r="G616" s="1" t="s">
        <v>17</v>
      </c>
      <c r="H616" s="1" t="s">
        <v>18</v>
      </c>
      <c r="I616" s="3">
        <f>+2250767619124</f>
        <v>2250767619124</v>
      </c>
      <c r="J616" s="3">
        <f>+2250777303026</f>
        <v>2250777303026</v>
      </c>
      <c r="K616" s="1" t="s">
        <v>19</v>
      </c>
      <c r="L616" s="4" t="s">
        <v>2269</v>
      </c>
    </row>
    <row r="617">
      <c r="A617" s="1" t="s">
        <v>12</v>
      </c>
      <c r="B617" s="1" t="s">
        <v>2270</v>
      </c>
      <c r="C617" s="1" t="s">
        <v>2271</v>
      </c>
      <c r="D617" s="1" t="s">
        <v>2272</v>
      </c>
      <c r="E617" s="2">
        <v>35041.0</v>
      </c>
      <c r="F617" s="1" t="s">
        <v>62</v>
      </c>
      <c r="G617" s="1" t="s">
        <v>17</v>
      </c>
      <c r="H617" s="1" t="s">
        <v>18</v>
      </c>
      <c r="I617" s="3">
        <f>+2250749494412</f>
        <v>2250749494412</v>
      </c>
      <c r="J617" s="3">
        <f>+2250141362034</f>
        <v>2250141362034</v>
      </c>
      <c r="K617" s="1" t="s">
        <v>19</v>
      </c>
      <c r="L617" s="4" t="s">
        <v>2273</v>
      </c>
    </row>
    <row r="618">
      <c r="A618" s="1" t="s">
        <v>12</v>
      </c>
      <c r="B618" s="1" t="s">
        <v>2274</v>
      </c>
      <c r="C618" s="1" t="s">
        <v>2275</v>
      </c>
      <c r="D618" s="1" t="s">
        <v>2276</v>
      </c>
      <c r="E618" s="2">
        <v>37377.0</v>
      </c>
      <c r="F618" s="1" t="s">
        <v>167</v>
      </c>
      <c r="G618" s="1" t="s">
        <v>17</v>
      </c>
      <c r="H618" s="1" t="s">
        <v>18</v>
      </c>
      <c r="I618" s="3">
        <f>+2250700918731</f>
        <v>2250700918731</v>
      </c>
      <c r="J618" s="3">
        <f>+2250748820927</f>
        <v>2250748820927</v>
      </c>
      <c r="K618" s="1" t="s">
        <v>19</v>
      </c>
      <c r="L618" s="4" t="s">
        <v>2277</v>
      </c>
    </row>
    <row r="619">
      <c r="A619" s="1" t="s">
        <v>12</v>
      </c>
      <c r="B619" s="1" t="s">
        <v>2278</v>
      </c>
      <c r="C619" s="1" t="s">
        <v>2275</v>
      </c>
      <c r="D619" s="1" t="s">
        <v>2279</v>
      </c>
      <c r="E619" s="2">
        <v>36680.0</v>
      </c>
      <c r="F619" s="1" t="s">
        <v>288</v>
      </c>
      <c r="G619" s="1" t="s">
        <v>31</v>
      </c>
      <c r="H619" s="1" t="s">
        <v>32</v>
      </c>
      <c r="I619" s="3">
        <f>+2250749148894</f>
        <v>2250749148894</v>
      </c>
      <c r="J619" s="3">
        <f>+2250505753080</f>
        <v>2250505753080</v>
      </c>
      <c r="K619" s="1" t="s">
        <v>19</v>
      </c>
      <c r="L619" s="4" t="s">
        <v>2280</v>
      </c>
    </row>
    <row r="620">
      <c r="A620" s="1" t="s">
        <v>12</v>
      </c>
      <c r="B620" s="1" t="s">
        <v>2281</v>
      </c>
      <c r="C620" s="1" t="s">
        <v>2282</v>
      </c>
      <c r="D620" s="1" t="s">
        <v>2283</v>
      </c>
      <c r="E620" s="2">
        <v>36940.0</v>
      </c>
      <c r="F620" s="1" t="s">
        <v>53</v>
      </c>
      <c r="G620" s="1" t="s">
        <v>17</v>
      </c>
      <c r="H620" s="1" t="s">
        <v>18</v>
      </c>
      <c r="I620" s="3">
        <f>+2250151771767</f>
        <v>2250151771767</v>
      </c>
      <c r="J620" s="3">
        <f>+2250708232016</f>
        <v>2250708232016</v>
      </c>
      <c r="K620" s="1" t="s">
        <v>19</v>
      </c>
      <c r="L620" s="4" t="s">
        <v>2284</v>
      </c>
    </row>
    <row r="621">
      <c r="A621" s="1" t="s">
        <v>12</v>
      </c>
      <c r="B621" s="1" t="s">
        <v>2285</v>
      </c>
      <c r="C621" s="1" t="s">
        <v>2286</v>
      </c>
      <c r="D621" s="1" t="s">
        <v>2287</v>
      </c>
      <c r="E621" s="2">
        <v>38010.0</v>
      </c>
      <c r="F621" s="1" t="s">
        <v>16</v>
      </c>
      <c r="G621" s="1" t="s">
        <v>25</v>
      </c>
      <c r="H621" s="1" t="s">
        <v>18</v>
      </c>
      <c r="I621" s="3">
        <f>+2250747098194</f>
        <v>2250747098194</v>
      </c>
      <c r="J621" s="3">
        <f>+2250707928211</f>
        <v>2250707928211</v>
      </c>
      <c r="K621" s="1" t="s">
        <v>19</v>
      </c>
      <c r="L621" s="4" t="s">
        <v>2288</v>
      </c>
    </row>
    <row r="622">
      <c r="A622" s="1" t="s">
        <v>12</v>
      </c>
      <c r="B622" s="1" t="s">
        <v>2289</v>
      </c>
      <c r="C622" s="1" t="s">
        <v>2290</v>
      </c>
      <c r="D622" s="1" t="s">
        <v>2291</v>
      </c>
      <c r="E622" s="2">
        <v>37749.0</v>
      </c>
      <c r="F622" s="1" t="s">
        <v>155</v>
      </c>
      <c r="G622" s="1" t="s">
        <v>31</v>
      </c>
      <c r="H622" s="1" t="s">
        <v>32</v>
      </c>
      <c r="I622" s="3">
        <f>+2250102231951</f>
        <v>2250102231951</v>
      </c>
      <c r="J622" s="3">
        <f>+2250707656315</f>
        <v>2250707656315</v>
      </c>
      <c r="K622" s="1" t="s">
        <v>19</v>
      </c>
      <c r="L622" s="4" t="s">
        <v>2292</v>
      </c>
    </row>
    <row r="623">
      <c r="A623" s="1" t="s">
        <v>12</v>
      </c>
      <c r="B623" s="1" t="s">
        <v>2293</v>
      </c>
      <c r="C623" s="1" t="s">
        <v>2294</v>
      </c>
      <c r="D623" s="1" t="s">
        <v>2295</v>
      </c>
      <c r="E623" s="5">
        <v>37611.0</v>
      </c>
      <c r="F623" s="1" t="s">
        <v>92</v>
      </c>
      <c r="G623" s="1" t="s">
        <v>31</v>
      </c>
      <c r="H623" s="1" t="s">
        <v>32</v>
      </c>
      <c r="I623" s="3">
        <f>+2250173460269</f>
        <v>2250173460269</v>
      </c>
      <c r="J623" s="3">
        <f>+2250546006752</f>
        <v>2250546006752</v>
      </c>
      <c r="K623" s="1" t="s">
        <v>19</v>
      </c>
      <c r="L623" s="4" t="s">
        <v>2296</v>
      </c>
    </row>
    <row r="624">
      <c r="A624" s="1" t="s">
        <v>12</v>
      </c>
      <c r="B624" s="1" t="s">
        <v>2297</v>
      </c>
      <c r="C624" s="1" t="s">
        <v>2294</v>
      </c>
      <c r="D624" s="1" t="s">
        <v>2298</v>
      </c>
      <c r="E624" s="5">
        <v>37611.0</v>
      </c>
      <c r="F624" s="1" t="s">
        <v>138</v>
      </c>
      <c r="G624" s="1" t="s">
        <v>31</v>
      </c>
      <c r="H624" s="1" t="s">
        <v>32</v>
      </c>
      <c r="I624" s="3">
        <f>+2250565281118</f>
        <v>2250565281118</v>
      </c>
      <c r="J624" s="3">
        <f>+2250546006452</f>
        <v>2250546006452</v>
      </c>
      <c r="K624" s="1" t="s">
        <v>19</v>
      </c>
      <c r="L624" s="4" t="s">
        <v>2299</v>
      </c>
    </row>
    <row r="625">
      <c r="A625" s="1" t="s">
        <v>12</v>
      </c>
      <c r="B625" s="1" t="s">
        <v>2300</v>
      </c>
      <c r="C625" s="1" t="s">
        <v>2301</v>
      </c>
      <c r="D625" s="1" t="s">
        <v>2302</v>
      </c>
      <c r="E625" s="2">
        <v>37862.0</v>
      </c>
      <c r="F625" s="1" t="s">
        <v>16</v>
      </c>
      <c r="G625" s="1" t="s">
        <v>17</v>
      </c>
      <c r="H625" s="1" t="s">
        <v>18</v>
      </c>
      <c r="I625" s="3">
        <f>+2250703347784</f>
        <v>2250703347784</v>
      </c>
      <c r="J625" s="3">
        <f>+2250757290203</f>
        <v>2250757290203</v>
      </c>
      <c r="K625" s="1" t="s">
        <v>19</v>
      </c>
      <c r="L625" s="4" t="s">
        <v>2303</v>
      </c>
    </row>
    <row r="626">
      <c r="A626" s="1" t="s">
        <v>12</v>
      </c>
      <c r="B626" s="1" t="s">
        <v>2304</v>
      </c>
      <c r="C626" s="1" t="s">
        <v>2305</v>
      </c>
      <c r="D626" s="1" t="s">
        <v>2306</v>
      </c>
      <c r="E626" s="2">
        <v>38718.0</v>
      </c>
      <c r="F626" s="1" t="s">
        <v>30</v>
      </c>
      <c r="G626" s="1" t="s">
        <v>76</v>
      </c>
      <c r="H626" s="1" t="s">
        <v>32</v>
      </c>
      <c r="I626" s="3">
        <f>+2250173417668</f>
        <v>2250173417668</v>
      </c>
      <c r="J626" s="3">
        <f>+2250101628919</f>
        <v>2250101628919</v>
      </c>
      <c r="K626" s="1" t="s">
        <v>19</v>
      </c>
      <c r="L626" s="4" t="s">
        <v>2307</v>
      </c>
    </row>
    <row r="627">
      <c r="A627" s="1" t="s">
        <v>12</v>
      </c>
      <c r="B627" s="1" t="s">
        <v>2308</v>
      </c>
      <c r="C627" s="1" t="s">
        <v>2309</v>
      </c>
      <c r="D627" s="1" t="s">
        <v>2310</v>
      </c>
      <c r="E627" s="2">
        <v>36968.0</v>
      </c>
      <c r="F627" s="1" t="s">
        <v>48</v>
      </c>
      <c r="G627" s="1" t="s">
        <v>82</v>
      </c>
      <c r="H627" s="1" t="s">
        <v>18</v>
      </c>
      <c r="I627" s="3">
        <f>+2250171642235</f>
        <v>2250171642235</v>
      </c>
      <c r="J627" s="3">
        <f>+2250707028702</f>
        <v>2250707028702</v>
      </c>
      <c r="K627" s="1" t="s">
        <v>19</v>
      </c>
      <c r="L627" s="4" t="s">
        <v>2311</v>
      </c>
    </row>
    <row r="628">
      <c r="A628" s="1" t="s">
        <v>12</v>
      </c>
      <c r="B628" s="1" t="s">
        <v>2312</v>
      </c>
      <c r="C628" s="1" t="s">
        <v>2313</v>
      </c>
      <c r="D628" s="1" t="s">
        <v>2314</v>
      </c>
      <c r="E628" s="2">
        <v>38509.0</v>
      </c>
      <c r="F628" s="1" t="s">
        <v>16</v>
      </c>
      <c r="G628" s="1" t="s">
        <v>25</v>
      </c>
      <c r="H628" s="1" t="s">
        <v>18</v>
      </c>
      <c r="I628" s="3">
        <f>+2250584595502</f>
        <v>2250584595502</v>
      </c>
      <c r="J628" s="3">
        <f>+2250749386991</f>
        <v>2250749386991</v>
      </c>
      <c r="K628" s="1" t="s">
        <v>19</v>
      </c>
      <c r="L628" s="4" t="s">
        <v>2315</v>
      </c>
    </row>
    <row r="629">
      <c r="A629" s="1" t="s">
        <v>12</v>
      </c>
      <c r="B629" s="1" t="s">
        <v>2316</v>
      </c>
      <c r="C629" s="1" t="s">
        <v>2317</v>
      </c>
      <c r="D629" s="1" t="s">
        <v>2318</v>
      </c>
      <c r="E629" s="2">
        <v>36531.0</v>
      </c>
      <c r="F629" s="1" t="s">
        <v>81</v>
      </c>
      <c r="G629" s="1" t="s">
        <v>82</v>
      </c>
      <c r="H629" s="1" t="s">
        <v>18</v>
      </c>
      <c r="I629" s="3">
        <f>+2250758941421</f>
        <v>2250758941421</v>
      </c>
      <c r="J629" s="3">
        <f>+2250505885144</f>
        <v>2250505885144</v>
      </c>
      <c r="K629" s="1" t="s">
        <v>19</v>
      </c>
      <c r="L629" s="4" t="s">
        <v>2319</v>
      </c>
    </row>
    <row r="630">
      <c r="A630" s="1" t="s">
        <v>12</v>
      </c>
      <c r="B630" s="1" t="s">
        <v>2320</v>
      </c>
      <c r="C630" s="1" t="s">
        <v>2321</v>
      </c>
      <c r="D630" s="1" t="s">
        <v>2322</v>
      </c>
      <c r="E630" s="2">
        <v>38957.0</v>
      </c>
      <c r="F630" s="1" t="s">
        <v>70</v>
      </c>
      <c r="G630" s="1" t="s">
        <v>76</v>
      </c>
      <c r="H630" s="1" t="s">
        <v>32</v>
      </c>
      <c r="I630" s="3">
        <f>+2250103067757</f>
        <v>2250103067757</v>
      </c>
      <c r="J630" s="3">
        <f>+2250709269580</f>
        <v>2250709269580</v>
      </c>
      <c r="K630" s="1" t="s">
        <v>19</v>
      </c>
      <c r="L630" s="4" t="s">
        <v>2323</v>
      </c>
    </row>
    <row r="631">
      <c r="A631" s="1" t="s">
        <v>12</v>
      </c>
      <c r="B631" s="1" t="s">
        <v>2324</v>
      </c>
      <c r="C631" s="1" t="s">
        <v>2325</v>
      </c>
      <c r="D631" s="1" t="s">
        <v>2326</v>
      </c>
      <c r="E631" s="2">
        <v>38218.0</v>
      </c>
      <c r="F631" s="1" t="s">
        <v>53</v>
      </c>
      <c r="G631" s="1" t="s">
        <v>17</v>
      </c>
      <c r="H631" s="1" t="s">
        <v>18</v>
      </c>
      <c r="I631" s="3">
        <f>+2250595823156</f>
        <v>2250595823156</v>
      </c>
      <c r="J631" s="3">
        <f>+2250505727215</f>
        <v>2250505727215</v>
      </c>
      <c r="K631" s="1" t="s">
        <v>19</v>
      </c>
      <c r="L631" s="4" t="s">
        <v>2327</v>
      </c>
    </row>
    <row r="632">
      <c r="A632" s="1" t="s">
        <v>12</v>
      </c>
      <c r="B632" s="1" t="s">
        <v>2328</v>
      </c>
      <c r="C632" s="1" t="s">
        <v>2329</v>
      </c>
      <c r="D632" s="1" t="s">
        <v>2330</v>
      </c>
      <c r="E632" s="2">
        <v>38042.0</v>
      </c>
      <c r="F632" s="1" t="s">
        <v>24</v>
      </c>
      <c r="G632" s="1" t="s">
        <v>25</v>
      </c>
      <c r="H632" s="1" t="s">
        <v>18</v>
      </c>
      <c r="I632" s="3">
        <f>+2250778953748</f>
        <v>2250778953748</v>
      </c>
      <c r="J632" s="3">
        <f>+2250749025833</f>
        <v>2250749025833</v>
      </c>
      <c r="K632" s="1" t="s">
        <v>19</v>
      </c>
      <c r="L632" s="4" t="s">
        <v>2331</v>
      </c>
    </row>
    <row r="633">
      <c r="A633" s="1" t="s">
        <v>12</v>
      </c>
      <c r="B633" s="1" t="s">
        <v>2332</v>
      </c>
      <c r="C633" s="1" t="s">
        <v>2333</v>
      </c>
      <c r="D633" s="1" t="s">
        <v>2334</v>
      </c>
      <c r="E633" s="2">
        <v>36903.0</v>
      </c>
      <c r="F633" s="1" t="s">
        <v>16</v>
      </c>
      <c r="G633" s="1" t="s">
        <v>17</v>
      </c>
      <c r="H633" s="1" t="s">
        <v>18</v>
      </c>
      <c r="I633" s="3">
        <f>+2250798705038</f>
        <v>2250798705038</v>
      </c>
      <c r="J633" s="3">
        <f>+2250505656328</f>
        <v>2250505656328</v>
      </c>
      <c r="K633" s="1" t="s">
        <v>19</v>
      </c>
      <c r="L633" s="4" t="s">
        <v>2335</v>
      </c>
    </row>
    <row r="634">
      <c r="A634" s="1" t="s">
        <v>12</v>
      </c>
      <c r="B634" s="1" t="s">
        <v>2336</v>
      </c>
      <c r="C634" s="1" t="s">
        <v>2333</v>
      </c>
      <c r="D634" s="1" t="s">
        <v>2337</v>
      </c>
      <c r="E634" s="2">
        <v>37476.0</v>
      </c>
      <c r="F634" s="1" t="s">
        <v>101</v>
      </c>
      <c r="G634" s="1" t="s">
        <v>76</v>
      </c>
      <c r="H634" s="1" t="s">
        <v>32</v>
      </c>
      <c r="I634" s="3">
        <f>+2250102017101</f>
        <v>2250102017101</v>
      </c>
      <c r="J634" s="3">
        <f>+2250709637471</f>
        <v>2250709637471</v>
      </c>
      <c r="K634" s="1" t="s">
        <v>19</v>
      </c>
      <c r="L634" s="4" t="s">
        <v>2338</v>
      </c>
    </row>
    <row r="635">
      <c r="A635" s="1" t="s">
        <v>12</v>
      </c>
      <c r="B635" s="1" t="s">
        <v>2339</v>
      </c>
      <c r="C635" s="1" t="s">
        <v>2340</v>
      </c>
      <c r="D635" s="1" t="s">
        <v>2341</v>
      </c>
      <c r="E635" s="5">
        <v>36876.0</v>
      </c>
      <c r="F635" s="1" t="s">
        <v>53</v>
      </c>
      <c r="G635" s="1" t="s">
        <v>17</v>
      </c>
      <c r="H635" s="1" t="s">
        <v>18</v>
      </c>
      <c r="I635" s="3">
        <f>+2250172081548</f>
        <v>2250172081548</v>
      </c>
      <c r="J635" s="3">
        <f>+2250504248839</f>
        <v>2250504248839</v>
      </c>
      <c r="K635" s="1" t="s">
        <v>19</v>
      </c>
      <c r="L635" s="4" t="s">
        <v>2342</v>
      </c>
    </row>
    <row r="636">
      <c r="A636" s="1" t="s">
        <v>12</v>
      </c>
      <c r="B636" s="1" t="s">
        <v>2343</v>
      </c>
      <c r="C636" s="1" t="s">
        <v>2344</v>
      </c>
      <c r="D636" s="1" t="s">
        <v>2345</v>
      </c>
      <c r="E636" s="2">
        <v>37449.0</v>
      </c>
      <c r="F636" s="1" t="s">
        <v>155</v>
      </c>
      <c r="G636" s="1" t="s">
        <v>76</v>
      </c>
      <c r="H636" s="1" t="s">
        <v>32</v>
      </c>
      <c r="I636" s="3">
        <f>+2250500757022</f>
        <v>2250500757022</v>
      </c>
      <c r="J636" s="3">
        <f>+2250707272306</f>
        <v>2250707272306</v>
      </c>
      <c r="K636" s="1" t="s">
        <v>19</v>
      </c>
      <c r="L636" s="4" t="s">
        <v>2346</v>
      </c>
    </row>
    <row r="637">
      <c r="A637" s="1" t="s">
        <v>12</v>
      </c>
      <c r="B637" s="1" t="s">
        <v>2347</v>
      </c>
      <c r="C637" s="1" t="s">
        <v>2344</v>
      </c>
      <c r="D637" s="1" t="s">
        <v>2348</v>
      </c>
      <c r="E637" s="5">
        <v>37972.0</v>
      </c>
      <c r="F637" s="1" t="s">
        <v>53</v>
      </c>
      <c r="G637" s="1" t="s">
        <v>17</v>
      </c>
      <c r="H637" s="1" t="s">
        <v>18</v>
      </c>
      <c r="I637" s="3">
        <f t="shared" ref="I637:J637" si="19">+2250566918757</f>
        <v>2250566918757</v>
      </c>
      <c r="J637" s="3">
        <f t="shared" si="19"/>
        <v>2250566918757</v>
      </c>
      <c r="K637" s="1" t="s">
        <v>19</v>
      </c>
      <c r="L637" s="4" t="s">
        <v>2349</v>
      </c>
    </row>
    <row r="638">
      <c r="A638" s="1" t="s">
        <v>12</v>
      </c>
      <c r="B638" s="1" t="s">
        <v>2350</v>
      </c>
      <c r="C638" s="1" t="s">
        <v>2351</v>
      </c>
      <c r="D638" s="1" t="s">
        <v>2352</v>
      </c>
      <c r="E638" s="2">
        <v>36609.0</v>
      </c>
      <c r="F638" s="1" t="s">
        <v>288</v>
      </c>
      <c r="G638" s="1" t="s">
        <v>76</v>
      </c>
      <c r="H638" s="1" t="s">
        <v>32</v>
      </c>
      <c r="I638" s="3">
        <f>+2250152941484</f>
        <v>2250152941484</v>
      </c>
      <c r="J638" s="3">
        <f>+2250708313579</f>
        <v>2250708313579</v>
      </c>
      <c r="K638" s="1" t="s">
        <v>19</v>
      </c>
      <c r="L638" s="4" t="s">
        <v>2353</v>
      </c>
    </row>
    <row r="639">
      <c r="A639" s="1" t="s">
        <v>12</v>
      </c>
      <c r="B639" s="1" t="s">
        <v>2354</v>
      </c>
      <c r="C639" s="1" t="s">
        <v>2355</v>
      </c>
      <c r="D639" s="1" t="s">
        <v>2356</v>
      </c>
      <c r="E639" s="5">
        <v>37937.0</v>
      </c>
      <c r="F639" s="1" t="s">
        <v>147</v>
      </c>
      <c r="G639" s="1" t="s">
        <v>82</v>
      </c>
      <c r="H639" s="1" t="s">
        <v>18</v>
      </c>
      <c r="I639" s="3">
        <f>+2250152509287</f>
        <v>2250152509287</v>
      </c>
      <c r="J639" s="3">
        <f>+2250102830883</f>
        <v>2250102830883</v>
      </c>
      <c r="K639" s="1" t="s">
        <v>19</v>
      </c>
      <c r="L639" s="4" t="s">
        <v>2357</v>
      </c>
    </row>
    <row r="640">
      <c r="A640" s="1" t="s">
        <v>12</v>
      </c>
      <c r="B640" s="1" t="s">
        <v>2358</v>
      </c>
      <c r="C640" s="1" t="s">
        <v>2359</v>
      </c>
      <c r="D640" s="1" t="s">
        <v>2360</v>
      </c>
      <c r="E640" s="2">
        <v>37749.0</v>
      </c>
      <c r="F640" s="1" t="s">
        <v>48</v>
      </c>
      <c r="G640" s="1" t="s">
        <v>76</v>
      </c>
      <c r="H640" s="1" t="s">
        <v>32</v>
      </c>
      <c r="I640" s="3">
        <f>+2250101569310</f>
        <v>2250101569310</v>
      </c>
      <c r="J640" s="3">
        <f>+2250103621436</f>
        <v>2250103621436</v>
      </c>
      <c r="K640" s="1" t="s">
        <v>19</v>
      </c>
      <c r="L640" s="4" t="s">
        <v>2361</v>
      </c>
    </row>
    <row r="641">
      <c r="A641" s="1" t="s">
        <v>12</v>
      </c>
      <c r="B641" s="1" t="s">
        <v>2362</v>
      </c>
      <c r="C641" s="1" t="s">
        <v>2363</v>
      </c>
      <c r="D641" s="1" t="s">
        <v>2364</v>
      </c>
      <c r="E641" s="2">
        <v>38453.0</v>
      </c>
      <c r="F641" s="1" t="s">
        <v>24</v>
      </c>
      <c r="G641" s="1" t="s">
        <v>25</v>
      </c>
      <c r="H641" s="1" t="s">
        <v>18</v>
      </c>
      <c r="I641" s="3">
        <f>+2250500149687</f>
        <v>2250500149687</v>
      </c>
      <c r="J641" s="3">
        <f>+2250504873749</f>
        <v>2250504873749</v>
      </c>
      <c r="K641" s="1" t="s">
        <v>19</v>
      </c>
      <c r="L641" s="4" t="s">
        <v>2365</v>
      </c>
    </row>
    <row r="642">
      <c r="A642" s="1" t="s">
        <v>12</v>
      </c>
      <c r="B642" s="1" t="s">
        <v>2366</v>
      </c>
      <c r="C642" s="1" t="s">
        <v>2367</v>
      </c>
      <c r="D642" s="1" t="s">
        <v>2368</v>
      </c>
      <c r="E642" s="2">
        <v>38049.0</v>
      </c>
      <c r="F642" s="1" t="s">
        <v>110</v>
      </c>
      <c r="G642" s="1" t="s">
        <v>82</v>
      </c>
      <c r="H642" s="1" t="s">
        <v>18</v>
      </c>
      <c r="I642" s="3">
        <f>+2250768296025</f>
        <v>2250768296025</v>
      </c>
      <c r="J642" s="3">
        <f>+2250101662201</f>
        <v>2250101662201</v>
      </c>
      <c r="K642" s="1" t="s">
        <v>19</v>
      </c>
      <c r="L642" s="4" t="s">
        <v>2369</v>
      </c>
    </row>
    <row r="643">
      <c r="A643" s="1" t="s">
        <v>12</v>
      </c>
      <c r="B643" s="1" t="s">
        <v>2370</v>
      </c>
      <c r="C643" s="1" t="s">
        <v>2367</v>
      </c>
      <c r="D643" s="1" t="s">
        <v>2371</v>
      </c>
      <c r="E643" s="2">
        <v>38995.0</v>
      </c>
      <c r="F643" s="1" t="s">
        <v>62</v>
      </c>
      <c r="G643" s="1" t="s">
        <v>25</v>
      </c>
      <c r="H643" s="1" t="s">
        <v>18</v>
      </c>
      <c r="I643" s="3">
        <f>+2250787020217</f>
        <v>2250787020217</v>
      </c>
      <c r="J643" s="3">
        <f>+2250544165166</f>
        <v>2250544165166</v>
      </c>
      <c r="K643" s="1" t="s">
        <v>19</v>
      </c>
      <c r="L643" s="4" t="s">
        <v>2372</v>
      </c>
    </row>
    <row r="644">
      <c r="A644" s="1" t="s">
        <v>12</v>
      </c>
      <c r="B644" s="1" t="s">
        <v>2373</v>
      </c>
      <c r="C644" s="1" t="s">
        <v>2367</v>
      </c>
      <c r="D644" s="1" t="s">
        <v>2374</v>
      </c>
      <c r="E644" s="5">
        <v>37925.0</v>
      </c>
      <c r="F644" s="1" t="s">
        <v>48</v>
      </c>
      <c r="G644" s="1" t="s">
        <v>31</v>
      </c>
      <c r="H644" s="1" t="s">
        <v>32</v>
      </c>
      <c r="I644" s="3">
        <f>+2250171409160</f>
        <v>2250171409160</v>
      </c>
      <c r="J644" s="3">
        <f>+2250141158640</f>
        <v>2250141158640</v>
      </c>
      <c r="K644" s="1" t="s">
        <v>19</v>
      </c>
      <c r="L644" s="4" t="s">
        <v>2375</v>
      </c>
    </row>
    <row r="645">
      <c r="A645" s="1" t="s">
        <v>12</v>
      </c>
      <c r="B645" s="1" t="s">
        <v>2376</v>
      </c>
      <c r="C645" s="1" t="s">
        <v>2377</v>
      </c>
      <c r="D645" s="1" t="s">
        <v>2378</v>
      </c>
      <c r="E645" s="2">
        <v>37714.0</v>
      </c>
      <c r="F645" s="1" t="s">
        <v>53</v>
      </c>
      <c r="G645" s="1" t="s">
        <v>25</v>
      </c>
      <c r="H645" s="1" t="s">
        <v>18</v>
      </c>
      <c r="I645" s="3">
        <f>+2250554709883</f>
        <v>2250554709883</v>
      </c>
      <c r="J645" s="3">
        <f>+2250707180631</f>
        <v>2250707180631</v>
      </c>
      <c r="K645" s="1" t="s">
        <v>19</v>
      </c>
      <c r="L645" s="4" t="s">
        <v>2379</v>
      </c>
    </row>
    <row r="646">
      <c r="A646" s="1" t="s">
        <v>12</v>
      </c>
      <c r="B646" s="1" t="s">
        <v>2380</v>
      </c>
      <c r="C646" s="1" t="s">
        <v>2381</v>
      </c>
      <c r="D646" s="1" t="s">
        <v>2382</v>
      </c>
      <c r="E646" s="2">
        <v>37732.0</v>
      </c>
      <c r="F646" s="1" t="s">
        <v>53</v>
      </c>
      <c r="G646" s="1" t="s">
        <v>17</v>
      </c>
      <c r="H646" s="1" t="s">
        <v>18</v>
      </c>
      <c r="I646" s="3">
        <f>+2250103708582</f>
        <v>2250103708582</v>
      </c>
      <c r="J646" s="3">
        <f>+2250150446202</f>
        <v>2250150446202</v>
      </c>
      <c r="K646" s="1" t="s">
        <v>19</v>
      </c>
      <c r="L646" s="4" t="s">
        <v>2383</v>
      </c>
    </row>
    <row r="647">
      <c r="A647" s="1" t="s">
        <v>12</v>
      </c>
      <c r="B647" s="1" t="s">
        <v>2384</v>
      </c>
      <c r="C647" s="1" t="s">
        <v>2381</v>
      </c>
      <c r="D647" s="1" t="s">
        <v>2385</v>
      </c>
      <c r="E647" s="5">
        <v>37252.0</v>
      </c>
      <c r="F647" s="1" t="s">
        <v>62</v>
      </c>
      <c r="G647" s="1" t="s">
        <v>17</v>
      </c>
      <c r="H647" s="1" t="s">
        <v>18</v>
      </c>
      <c r="I647" s="3">
        <f>+2250768719313</f>
        <v>2250768719313</v>
      </c>
      <c r="J647" s="3">
        <f>+2250749745278</f>
        <v>2250749745278</v>
      </c>
      <c r="K647" s="1" t="s">
        <v>19</v>
      </c>
      <c r="L647" s="4" t="s">
        <v>2386</v>
      </c>
    </row>
    <row r="648">
      <c r="A648" s="1" t="s">
        <v>12</v>
      </c>
      <c r="B648" s="1" t="s">
        <v>2387</v>
      </c>
      <c r="C648" s="1" t="s">
        <v>2381</v>
      </c>
      <c r="D648" s="1" t="s">
        <v>2388</v>
      </c>
      <c r="E648" s="2">
        <v>38058.0</v>
      </c>
      <c r="F648" s="1" t="s">
        <v>92</v>
      </c>
      <c r="G648" s="1" t="s">
        <v>76</v>
      </c>
      <c r="H648" s="1" t="s">
        <v>32</v>
      </c>
      <c r="I648" s="3">
        <f>+2250759110424</f>
        <v>2250759110424</v>
      </c>
      <c r="J648" s="3">
        <f>+2250709269126</f>
        <v>2250709269126</v>
      </c>
      <c r="K648" s="1" t="s">
        <v>19</v>
      </c>
      <c r="L648" s="4" t="s">
        <v>2389</v>
      </c>
    </row>
    <row r="649">
      <c r="A649" s="1" t="s">
        <v>12</v>
      </c>
      <c r="B649" s="1" t="s">
        <v>2390</v>
      </c>
      <c r="C649" s="1" t="s">
        <v>2391</v>
      </c>
      <c r="D649" s="1" t="s">
        <v>2392</v>
      </c>
      <c r="E649" s="2">
        <v>37795.0</v>
      </c>
      <c r="F649" s="1" t="s">
        <v>37</v>
      </c>
      <c r="G649" s="1" t="s">
        <v>82</v>
      </c>
      <c r="H649" s="1" t="s">
        <v>18</v>
      </c>
      <c r="I649" s="3">
        <f>+2250798646010</f>
        <v>2250798646010</v>
      </c>
      <c r="J649" s="3">
        <f>+2250707593287</f>
        <v>2250707593287</v>
      </c>
      <c r="K649" s="1" t="s">
        <v>19</v>
      </c>
      <c r="L649" s="4" t="s">
        <v>2393</v>
      </c>
    </row>
    <row r="650">
      <c r="A650" s="1" t="s">
        <v>12</v>
      </c>
      <c r="B650" s="1" t="s">
        <v>2394</v>
      </c>
      <c r="C650" s="1" t="s">
        <v>2395</v>
      </c>
      <c r="D650" s="1" t="s">
        <v>2396</v>
      </c>
      <c r="E650" s="2">
        <v>38495.0</v>
      </c>
      <c r="F650" s="1" t="s">
        <v>138</v>
      </c>
      <c r="G650" s="1" t="s">
        <v>25</v>
      </c>
      <c r="H650" s="1" t="s">
        <v>18</v>
      </c>
      <c r="I650" s="3">
        <f>+2250585526286</f>
        <v>2250585526286</v>
      </c>
      <c r="J650" s="3">
        <f>+2250707093391</f>
        <v>2250707093391</v>
      </c>
      <c r="K650" s="1" t="s">
        <v>19</v>
      </c>
      <c r="L650" s="4" t="s">
        <v>2397</v>
      </c>
    </row>
    <row r="651">
      <c r="A651" s="1" t="s">
        <v>12</v>
      </c>
      <c r="B651" s="1" t="s">
        <v>2398</v>
      </c>
      <c r="C651" s="1" t="s">
        <v>2399</v>
      </c>
      <c r="D651" s="1" t="s">
        <v>2400</v>
      </c>
      <c r="E651" s="2">
        <v>36980.0</v>
      </c>
      <c r="F651" s="1" t="s">
        <v>138</v>
      </c>
      <c r="G651" s="1" t="s">
        <v>31</v>
      </c>
      <c r="H651" s="1" t="s">
        <v>32</v>
      </c>
      <c r="I651" s="3">
        <f>+2250146031950</f>
        <v>2250146031950</v>
      </c>
      <c r="J651" s="3">
        <f>+2250708170937</f>
        <v>2250708170937</v>
      </c>
      <c r="K651" s="1" t="s">
        <v>19</v>
      </c>
      <c r="L651" s="4" t="s">
        <v>2401</v>
      </c>
    </row>
    <row r="652">
      <c r="A652" s="1" t="s">
        <v>12</v>
      </c>
      <c r="B652" s="1" t="s">
        <v>2402</v>
      </c>
      <c r="C652" s="1" t="s">
        <v>2403</v>
      </c>
      <c r="D652" s="1" t="s">
        <v>2404</v>
      </c>
      <c r="E652" s="5">
        <v>38312.0</v>
      </c>
      <c r="F652" s="1" t="s">
        <v>16</v>
      </c>
      <c r="G652" s="1" t="s">
        <v>25</v>
      </c>
      <c r="H652" s="1" t="s">
        <v>18</v>
      </c>
      <c r="I652" s="3">
        <f>+2250710643462</f>
        <v>2250710643462</v>
      </c>
      <c r="J652" s="3">
        <f>+2250767459884</f>
        <v>2250767459884</v>
      </c>
      <c r="K652" s="1" t="s">
        <v>19</v>
      </c>
      <c r="L652" s="4" t="s">
        <v>2405</v>
      </c>
    </row>
    <row r="653">
      <c r="A653" s="1" t="s">
        <v>12</v>
      </c>
      <c r="B653" s="1" t="s">
        <v>2406</v>
      </c>
      <c r="C653" s="1" t="s">
        <v>2407</v>
      </c>
      <c r="D653" s="1" t="s">
        <v>2408</v>
      </c>
      <c r="E653" s="2">
        <v>36717.0</v>
      </c>
      <c r="F653" s="1" t="s">
        <v>182</v>
      </c>
      <c r="G653" s="1" t="s">
        <v>82</v>
      </c>
      <c r="H653" s="1" t="s">
        <v>18</v>
      </c>
      <c r="I653" s="3">
        <f>+2250768590782</f>
        <v>2250768590782</v>
      </c>
      <c r="J653" s="3">
        <f>+2250504327845</f>
        <v>2250504327845</v>
      </c>
      <c r="K653" s="1" t="s">
        <v>19</v>
      </c>
      <c r="L653" s="4" t="s">
        <v>2409</v>
      </c>
    </row>
    <row r="654">
      <c r="A654" s="1" t="s">
        <v>12</v>
      </c>
      <c r="B654" s="1" t="s">
        <v>2410</v>
      </c>
      <c r="C654" s="1" t="s">
        <v>2411</v>
      </c>
      <c r="D654" s="1" t="s">
        <v>2412</v>
      </c>
      <c r="E654" s="2">
        <v>37599.0</v>
      </c>
      <c r="F654" s="1" t="s">
        <v>48</v>
      </c>
      <c r="G654" s="1" t="s">
        <v>76</v>
      </c>
      <c r="H654" s="1" t="s">
        <v>32</v>
      </c>
      <c r="I654" s="3">
        <f>+2250586479427</f>
        <v>2250586479427</v>
      </c>
      <c r="J654" s="3">
        <f>+2250747413232</f>
        <v>2250747413232</v>
      </c>
      <c r="K654" s="1" t="s">
        <v>19</v>
      </c>
      <c r="L654" s="4" t="s">
        <v>2413</v>
      </c>
    </row>
    <row r="655">
      <c r="A655" s="1" t="s">
        <v>12</v>
      </c>
      <c r="B655" s="1" t="s">
        <v>2414</v>
      </c>
      <c r="C655" s="1" t="s">
        <v>2415</v>
      </c>
      <c r="D655" s="1" t="s">
        <v>2416</v>
      </c>
      <c r="E655" s="2">
        <v>37437.0</v>
      </c>
      <c r="F655" s="1" t="s">
        <v>110</v>
      </c>
      <c r="G655" s="1" t="s">
        <v>82</v>
      </c>
      <c r="H655" s="1" t="s">
        <v>18</v>
      </c>
      <c r="I655" s="3">
        <f>+2250778887334</f>
        <v>2250778887334</v>
      </c>
      <c r="J655" s="3">
        <f>+2250769220353</f>
        <v>2250769220353</v>
      </c>
      <c r="K655" s="1" t="s">
        <v>19</v>
      </c>
      <c r="L655" s="4" t="s">
        <v>2417</v>
      </c>
    </row>
    <row r="656">
      <c r="A656" s="1" t="s">
        <v>12</v>
      </c>
      <c r="B656" s="1" t="s">
        <v>2418</v>
      </c>
      <c r="C656" s="1" t="s">
        <v>2419</v>
      </c>
      <c r="D656" s="1" t="s">
        <v>2420</v>
      </c>
      <c r="E656" s="5">
        <v>37177.0</v>
      </c>
      <c r="F656" s="1" t="s">
        <v>16</v>
      </c>
      <c r="G656" s="1" t="s">
        <v>82</v>
      </c>
      <c r="H656" s="1" t="s">
        <v>18</v>
      </c>
      <c r="I656" s="3">
        <f>+2250769580801</f>
        <v>2250769580801</v>
      </c>
      <c r="J656" s="3">
        <f>+2250102030907</f>
        <v>2250102030907</v>
      </c>
      <c r="K656" s="1" t="s">
        <v>19</v>
      </c>
      <c r="L656" s="4" t="s">
        <v>2421</v>
      </c>
    </row>
    <row r="657">
      <c r="A657" s="1" t="s">
        <v>12</v>
      </c>
      <c r="B657" s="1" t="s">
        <v>2422</v>
      </c>
      <c r="C657" s="1" t="s">
        <v>2423</v>
      </c>
      <c r="D657" s="1" t="s">
        <v>2424</v>
      </c>
      <c r="E657" s="2">
        <v>37442.0</v>
      </c>
      <c r="F657" s="1" t="s">
        <v>16</v>
      </c>
      <c r="G657" s="1" t="s">
        <v>17</v>
      </c>
      <c r="H657" s="1" t="s">
        <v>18</v>
      </c>
      <c r="I657" s="3">
        <f>+2250779196724</f>
        <v>2250779196724</v>
      </c>
      <c r="J657" s="3">
        <f>+2250757035825</f>
        <v>2250757035825</v>
      </c>
      <c r="K657" s="1" t="s">
        <v>19</v>
      </c>
      <c r="L657" s="4" t="s">
        <v>2425</v>
      </c>
    </row>
    <row r="658">
      <c r="A658" s="1" t="s">
        <v>12</v>
      </c>
      <c r="B658" s="1" t="s">
        <v>2426</v>
      </c>
      <c r="C658" s="1" t="s">
        <v>2427</v>
      </c>
      <c r="D658" s="1" t="s">
        <v>2428</v>
      </c>
      <c r="E658" s="5">
        <v>37224.0</v>
      </c>
      <c r="F658" s="1" t="s">
        <v>16</v>
      </c>
      <c r="G658" s="1" t="s">
        <v>17</v>
      </c>
      <c r="H658" s="1" t="s">
        <v>18</v>
      </c>
      <c r="I658" s="3">
        <f>+2250789902742</f>
        <v>2250789902742</v>
      </c>
      <c r="J658" s="3">
        <f>+2250102535320</f>
        <v>2250102535320</v>
      </c>
      <c r="K658" s="1" t="s">
        <v>19</v>
      </c>
      <c r="L658" s="4" t="s">
        <v>2429</v>
      </c>
    </row>
    <row r="659">
      <c r="A659" s="1" t="s">
        <v>12</v>
      </c>
      <c r="B659" s="1" t="s">
        <v>2430</v>
      </c>
      <c r="C659" s="1" t="s">
        <v>2431</v>
      </c>
      <c r="D659" s="1" t="s">
        <v>2432</v>
      </c>
      <c r="E659" s="5">
        <v>37969.0</v>
      </c>
      <c r="F659" s="1" t="s">
        <v>53</v>
      </c>
      <c r="G659" s="1" t="s">
        <v>25</v>
      </c>
      <c r="H659" s="1" t="s">
        <v>18</v>
      </c>
      <c r="I659" s="3">
        <f>+2250170020109</f>
        <v>2250170020109</v>
      </c>
      <c r="J659" s="3">
        <f>+2250505530488</f>
        <v>2250505530488</v>
      </c>
      <c r="K659" s="1" t="s">
        <v>19</v>
      </c>
      <c r="L659" s="4" t="s">
        <v>2433</v>
      </c>
    </row>
    <row r="660">
      <c r="A660" s="1" t="s">
        <v>12</v>
      </c>
      <c r="B660" s="1" t="s">
        <v>2434</v>
      </c>
      <c r="C660" s="1" t="s">
        <v>2431</v>
      </c>
      <c r="D660" s="1" t="s">
        <v>2435</v>
      </c>
      <c r="E660" s="2">
        <v>38250.0</v>
      </c>
      <c r="F660" s="1" t="s">
        <v>53</v>
      </c>
      <c r="G660" s="1" t="s">
        <v>25</v>
      </c>
      <c r="H660" s="1" t="s">
        <v>18</v>
      </c>
      <c r="I660" s="3">
        <f>+2250142660629</f>
        <v>2250142660629</v>
      </c>
      <c r="J660" s="3">
        <f>+2250777385827</f>
        <v>2250777385827</v>
      </c>
      <c r="K660" s="1" t="s">
        <v>19</v>
      </c>
      <c r="L660" s="4" t="s">
        <v>2436</v>
      </c>
    </row>
    <row r="661">
      <c r="A661" s="1" t="s">
        <v>12</v>
      </c>
      <c r="B661" s="1" t="s">
        <v>2437</v>
      </c>
      <c r="C661" s="1" t="s">
        <v>2438</v>
      </c>
      <c r="D661" s="1" t="s">
        <v>2439</v>
      </c>
      <c r="E661" s="2">
        <v>38023.0</v>
      </c>
      <c r="F661" s="1" t="s">
        <v>53</v>
      </c>
      <c r="G661" s="1" t="s">
        <v>17</v>
      </c>
      <c r="H661" s="1" t="s">
        <v>18</v>
      </c>
      <c r="I661" s="3">
        <f>+2250702427468</f>
        <v>2250702427468</v>
      </c>
      <c r="J661" s="3">
        <f>+2250102500199</f>
        <v>2250102500199</v>
      </c>
      <c r="K661" s="1" t="s">
        <v>19</v>
      </c>
      <c r="L661" s="4" t="s">
        <v>2440</v>
      </c>
    </row>
    <row r="662">
      <c r="A662" s="1" t="s">
        <v>12</v>
      </c>
      <c r="B662" s="1" t="s">
        <v>2441</v>
      </c>
      <c r="C662" s="1" t="s">
        <v>2442</v>
      </c>
      <c r="D662" s="1" t="s">
        <v>2443</v>
      </c>
      <c r="E662" s="2">
        <v>36900.0</v>
      </c>
      <c r="F662" s="1" t="s">
        <v>75</v>
      </c>
      <c r="G662" s="1" t="s">
        <v>76</v>
      </c>
      <c r="H662" s="1" t="s">
        <v>32</v>
      </c>
      <c r="I662" s="3">
        <f>+2250545272292</f>
        <v>2250545272292</v>
      </c>
      <c r="J662" s="3">
        <f>+2250505626024</f>
        <v>2250505626024</v>
      </c>
      <c r="K662" s="1" t="s">
        <v>19</v>
      </c>
      <c r="L662" s="4" t="s">
        <v>2444</v>
      </c>
    </row>
    <row r="663">
      <c r="A663" s="1" t="s">
        <v>12</v>
      </c>
      <c r="B663" s="1" t="s">
        <v>2445</v>
      </c>
      <c r="C663" s="1" t="s">
        <v>2446</v>
      </c>
      <c r="D663" s="1" t="s">
        <v>2447</v>
      </c>
      <c r="E663" s="2">
        <v>38160.0</v>
      </c>
      <c r="F663" s="1" t="s">
        <v>16</v>
      </c>
      <c r="G663" s="1" t="s">
        <v>17</v>
      </c>
      <c r="H663" s="1" t="s">
        <v>18</v>
      </c>
      <c r="I663" s="3">
        <f>+2250160809069</f>
        <v>2250160809069</v>
      </c>
      <c r="J663" s="3">
        <f>+2250748519030</f>
        <v>2250748519030</v>
      </c>
      <c r="K663" s="1" t="s">
        <v>19</v>
      </c>
      <c r="L663" s="4" t="s">
        <v>2448</v>
      </c>
    </row>
    <row r="664">
      <c r="A664" s="1" t="s">
        <v>12</v>
      </c>
      <c r="B664" s="1" t="s">
        <v>2449</v>
      </c>
      <c r="C664" s="1" t="s">
        <v>2450</v>
      </c>
      <c r="D664" s="1" t="s">
        <v>2451</v>
      </c>
      <c r="E664" s="2">
        <v>38657.0</v>
      </c>
      <c r="F664" s="1" t="s">
        <v>167</v>
      </c>
      <c r="G664" s="1" t="s">
        <v>17</v>
      </c>
      <c r="H664" s="1" t="s">
        <v>18</v>
      </c>
      <c r="I664" s="3">
        <f>+2250594501991</f>
        <v>2250594501991</v>
      </c>
      <c r="J664" s="3">
        <f>+2250546796471</f>
        <v>2250546796471</v>
      </c>
      <c r="K664" s="1" t="s">
        <v>19</v>
      </c>
      <c r="L664" s="4" t="s">
        <v>2452</v>
      </c>
    </row>
    <row r="665">
      <c r="A665" s="1" t="s">
        <v>12</v>
      </c>
      <c r="B665" s="1" t="s">
        <v>2453</v>
      </c>
      <c r="C665" s="1" t="s">
        <v>2450</v>
      </c>
      <c r="D665" s="1" t="s">
        <v>2454</v>
      </c>
      <c r="E665" s="5">
        <v>37250.0</v>
      </c>
      <c r="F665" s="1" t="s">
        <v>16</v>
      </c>
      <c r="G665" s="1" t="s">
        <v>25</v>
      </c>
      <c r="H665" s="1" t="s">
        <v>18</v>
      </c>
      <c r="I665" s="3">
        <f>+2250768317818</f>
        <v>2250768317818</v>
      </c>
      <c r="J665" s="3">
        <f>+2250708979021</f>
        <v>2250708979021</v>
      </c>
      <c r="K665" s="1" t="s">
        <v>19</v>
      </c>
      <c r="L665" s="4" t="s">
        <v>2455</v>
      </c>
    </row>
    <row r="666">
      <c r="A666" s="1" t="s">
        <v>12</v>
      </c>
      <c r="B666" s="1" t="s">
        <v>2456</v>
      </c>
      <c r="C666" s="1" t="s">
        <v>2450</v>
      </c>
      <c r="D666" s="1" t="s">
        <v>2457</v>
      </c>
      <c r="E666" s="2">
        <v>38046.0</v>
      </c>
      <c r="F666" s="1" t="s">
        <v>92</v>
      </c>
      <c r="G666" s="1" t="s">
        <v>31</v>
      </c>
      <c r="H666" s="1" t="s">
        <v>32</v>
      </c>
      <c r="I666" s="3">
        <f>+2250767726299</f>
        <v>2250767726299</v>
      </c>
      <c r="J666" s="3">
        <f>+2250101079482</f>
        <v>2250101079482</v>
      </c>
      <c r="K666" s="1" t="s">
        <v>19</v>
      </c>
      <c r="L666" s="4" t="s">
        <v>2458</v>
      </c>
    </row>
    <row r="667">
      <c r="A667" s="1" t="s">
        <v>12</v>
      </c>
      <c r="B667" s="1" t="s">
        <v>2459</v>
      </c>
      <c r="C667" s="1" t="s">
        <v>2460</v>
      </c>
      <c r="D667" s="1" t="s">
        <v>2461</v>
      </c>
      <c r="E667" s="2">
        <v>35879.0</v>
      </c>
      <c r="F667" s="1" t="s">
        <v>30</v>
      </c>
      <c r="G667" s="1" t="s">
        <v>31</v>
      </c>
      <c r="H667" s="1" t="s">
        <v>32</v>
      </c>
      <c r="I667" s="3">
        <f>+2250789395819</f>
        <v>2250789395819</v>
      </c>
      <c r="J667" s="3">
        <f>+2250506000353</f>
        <v>2250506000353</v>
      </c>
      <c r="K667" s="1" t="s">
        <v>19</v>
      </c>
      <c r="L667" s="4" t="s">
        <v>2462</v>
      </c>
    </row>
    <row r="668">
      <c r="A668" s="1" t="s">
        <v>12</v>
      </c>
      <c r="B668" s="1" t="s">
        <v>2463</v>
      </c>
      <c r="C668" s="1" t="s">
        <v>2460</v>
      </c>
      <c r="D668" s="1" t="s">
        <v>2464</v>
      </c>
      <c r="E668" s="2">
        <v>36610.0</v>
      </c>
      <c r="F668" s="1" t="s">
        <v>167</v>
      </c>
      <c r="G668" s="1" t="s">
        <v>25</v>
      </c>
      <c r="H668" s="1" t="s">
        <v>18</v>
      </c>
      <c r="I668" s="3">
        <f>+2250101668720</f>
        <v>2250101668720</v>
      </c>
      <c r="J668" s="3">
        <f>+2250707548421</f>
        <v>2250707548421</v>
      </c>
      <c r="K668" s="1" t="s">
        <v>19</v>
      </c>
      <c r="L668" s="4" t="s">
        <v>2465</v>
      </c>
    </row>
    <row r="669">
      <c r="A669" s="1" t="s">
        <v>12</v>
      </c>
      <c r="B669" s="1" t="s">
        <v>2466</v>
      </c>
      <c r="C669" s="1" t="s">
        <v>2460</v>
      </c>
      <c r="D669" s="1" t="s">
        <v>2467</v>
      </c>
      <c r="E669" s="5">
        <v>37572.0</v>
      </c>
      <c r="F669" s="1" t="s">
        <v>16</v>
      </c>
      <c r="G669" s="1" t="s">
        <v>25</v>
      </c>
      <c r="H669" s="1" t="s">
        <v>18</v>
      </c>
      <c r="I669" s="3">
        <f>+2250584192555</f>
        <v>2250584192555</v>
      </c>
      <c r="J669" s="3">
        <f>+2250788067720</f>
        <v>2250788067720</v>
      </c>
      <c r="K669" s="1" t="s">
        <v>19</v>
      </c>
      <c r="L669" s="4" t="s">
        <v>2468</v>
      </c>
    </row>
    <row r="670">
      <c r="A670" s="1" t="s">
        <v>12</v>
      </c>
      <c r="B670" s="1" t="s">
        <v>2469</v>
      </c>
      <c r="C670" s="1" t="s">
        <v>2470</v>
      </c>
      <c r="D670" s="1" t="s">
        <v>2471</v>
      </c>
      <c r="E670" s="5">
        <v>37557.0</v>
      </c>
      <c r="F670" s="1" t="s">
        <v>75</v>
      </c>
      <c r="G670" s="1" t="s">
        <v>76</v>
      </c>
      <c r="H670" s="1" t="s">
        <v>32</v>
      </c>
      <c r="I670" s="3">
        <f>+2250766339700</f>
        <v>2250766339700</v>
      </c>
      <c r="J670" s="3">
        <f>+2250768667184</f>
        <v>2250768667184</v>
      </c>
      <c r="K670" s="1" t="s">
        <v>19</v>
      </c>
      <c r="L670" s="4" t="s">
        <v>2472</v>
      </c>
    </row>
    <row r="671">
      <c r="A671" s="1" t="s">
        <v>12</v>
      </c>
      <c r="B671" s="1" t="s">
        <v>2473</v>
      </c>
      <c r="C671" s="1" t="s">
        <v>2474</v>
      </c>
      <c r="D671" s="1" t="s">
        <v>2475</v>
      </c>
      <c r="E671" s="5">
        <v>37916.0</v>
      </c>
      <c r="F671" s="1" t="s">
        <v>48</v>
      </c>
      <c r="G671" s="1" t="s">
        <v>76</v>
      </c>
      <c r="H671" s="1" t="s">
        <v>32</v>
      </c>
      <c r="I671" s="3">
        <f>+2250702156209</f>
        <v>2250702156209</v>
      </c>
      <c r="J671" s="3">
        <f>+2250747537816</f>
        <v>2250747537816</v>
      </c>
      <c r="K671" s="1" t="s">
        <v>19</v>
      </c>
      <c r="L671" s="4" t="s">
        <v>2476</v>
      </c>
    </row>
    <row r="672">
      <c r="A672" s="1" t="s">
        <v>12</v>
      </c>
      <c r="B672" s="1" t="s">
        <v>2477</v>
      </c>
      <c r="C672" s="1" t="s">
        <v>2478</v>
      </c>
      <c r="D672" s="1" t="s">
        <v>2479</v>
      </c>
      <c r="E672" s="2">
        <v>36962.0</v>
      </c>
      <c r="F672" s="1" t="s">
        <v>110</v>
      </c>
      <c r="G672" s="1" t="s">
        <v>82</v>
      </c>
      <c r="H672" s="1" t="s">
        <v>18</v>
      </c>
      <c r="I672" s="3">
        <f>+2250705260280</f>
        <v>2250705260280</v>
      </c>
      <c r="J672" s="3">
        <f>+2250142269535</f>
        <v>2250142269535</v>
      </c>
      <c r="K672" s="1" t="s">
        <v>19</v>
      </c>
      <c r="L672" s="4" t="s">
        <v>2480</v>
      </c>
    </row>
    <row r="673">
      <c r="A673" s="1" t="s">
        <v>12</v>
      </c>
      <c r="B673" s="1" t="s">
        <v>2481</v>
      </c>
      <c r="C673" s="1" t="s">
        <v>2482</v>
      </c>
      <c r="D673" s="1" t="s">
        <v>2483</v>
      </c>
      <c r="E673" s="2">
        <v>36587.0</v>
      </c>
      <c r="F673" s="1" t="s">
        <v>416</v>
      </c>
      <c r="G673" s="1" t="s">
        <v>76</v>
      </c>
      <c r="H673" s="1" t="s">
        <v>32</v>
      </c>
      <c r="I673" s="3">
        <f>+2250767665019</f>
        <v>2250767665019</v>
      </c>
      <c r="J673" s="3">
        <f>+2250747088564</f>
        <v>2250747088564</v>
      </c>
      <c r="K673" s="1" t="s">
        <v>19</v>
      </c>
      <c r="L673" s="4" t="s">
        <v>2484</v>
      </c>
    </row>
    <row r="674">
      <c r="A674" s="1" t="s">
        <v>12</v>
      </c>
      <c r="B674" s="1" t="s">
        <v>2485</v>
      </c>
      <c r="C674" s="1" t="s">
        <v>2482</v>
      </c>
      <c r="D674" s="1" t="s">
        <v>2486</v>
      </c>
      <c r="E674" s="2">
        <v>37903.0</v>
      </c>
      <c r="F674" s="1" t="s">
        <v>586</v>
      </c>
      <c r="G674" s="1" t="s">
        <v>82</v>
      </c>
      <c r="H674" s="1" t="s">
        <v>18</v>
      </c>
      <c r="I674" s="3">
        <f>+2250142981777</f>
        <v>2250142981777</v>
      </c>
      <c r="J674" s="3">
        <f>+2250143732108</f>
        <v>2250143732108</v>
      </c>
      <c r="K674" s="1" t="s">
        <v>19</v>
      </c>
      <c r="L674" s="4" t="s">
        <v>2487</v>
      </c>
    </row>
    <row r="675">
      <c r="A675" s="1" t="s">
        <v>12</v>
      </c>
      <c r="B675" s="1" t="s">
        <v>2488</v>
      </c>
      <c r="C675" s="1" t="s">
        <v>2489</v>
      </c>
      <c r="D675" s="1" t="s">
        <v>2490</v>
      </c>
      <c r="E675" s="2">
        <v>38213.0</v>
      </c>
      <c r="F675" s="1" t="s">
        <v>62</v>
      </c>
      <c r="G675" s="1" t="s">
        <v>17</v>
      </c>
      <c r="H675" s="1" t="s">
        <v>18</v>
      </c>
      <c r="I675" s="3">
        <f>+2250777080845</f>
        <v>2250777080845</v>
      </c>
      <c r="J675" s="3">
        <f>+2250749737015</f>
        <v>2250749737015</v>
      </c>
      <c r="K675" s="1" t="s">
        <v>19</v>
      </c>
      <c r="L675" s="4" t="s">
        <v>2491</v>
      </c>
    </row>
    <row r="676">
      <c r="A676" s="1" t="s">
        <v>12</v>
      </c>
      <c r="B676" s="1" t="s">
        <v>2492</v>
      </c>
      <c r="C676" s="1" t="s">
        <v>2493</v>
      </c>
      <c r="D676" s="1" t="s">
        <v>2494</v>
      </c>
      <c r="E676" s="5">
        <v>38271.0</v>
      </c>
      <c r="F676" s="1" t="s">
        <v>16</v>
      </c>
      <c r="G676" s="1" t="s">
        <v>17</v>
      </c>
      <c r="H676" s="1" t="s">
        <v>18</v>
      </c>
      <c r="I676" s="3">
        <f>+2250153803682</f>
        <v>2250153803682</v>
      </c>
      <c r="J676" s="3">
        <f>+2250103322772</f>
        <v>2250103322772</v>
      </c>
      <c r="K676" s="1" t="s">
        <v>19</v>
      </c>
      <c r="L676" s="4" t="s">
        <v>2495</v>
      </c>
    </row>
    <row r="677">
      <c r="A677" s="1" t="s">
        <v>12</v>
      </c>
      <c r="B677" s="1" t="s">
        <v>2496</v>
      </c>
      <c r="C677" s="1" t="s">
        <v>2497</v>
      </c>
      <c r="D677" s="1" t="s">
        <v>2498</v>
      </c>
      <c r="E677" s="5">
        <v>36814.0</v>
      </c>
      <c r="F677" s="1" t="s">
        <v>110</v>
      </c>
      <c r="G677" s="1" t="s">
        <v>82</v>
      </c>
      <c r="H677" s="1" t="s">
        <v>18</v>
      </c>
      <c r="I677" s="3">
        <f>+2250102489504</f>
        <v>2250102489504</v>
      </c>
      <c r="J677" s="3">
        <f>+2250757543971</f>
        <v>2250757543971</v>
      </c>
      <c r="K677" s="1" t="s">
        <v>19</v>
      </c>
      <c r="L677" s="4" t="s">
        <v>2499</v>
      </c>
    </row>
    <row r="678">
      <c r="A678" s="1" t="s">
        <v>12</v>
      </c>
      <c r="B678" s="1" t="s">
        <v>2500</v>
      </c>
      <c r="C678" s="1" t="s">
        <v>2501</v>
      </c>
      <c r="D678" s="1" t="s">
        <v>2502</v>
      </c>
      <c r="E678" s="2">
        <v>36639.0</v>
      </c>
      <c r="F678" s="1" t="s">
        <v>351</v>
      </c>
      <c r="G678" s="1" t="s">
        <v>82</v>
      </c>
      <c r="H678" s="1" t="s">
        <v>18</v>
      </c>
      <c r="I678" s="3">
        <f>+2250758867884</f>
        <v>2250758867884</v>
      </c>
      <c r="J678" s="3">
        <f>+2250504386229</f>
        <v>2250504386229</v>
      </c>
      <c r="K678" s="1" t="s">
        <v>19</v>
      </c>
      <c r="L678" s="4" t="s">
        <v>2503</v>
      </c>
    </row>
    <row r="679">
      <c r="A679" s="1" t="s">
        <v>12</v>
      </c>
      <c r="B679" s="1" t="s">
        <v>2504</v>
      </c>
      <c r="C679" s="1" t="s">
        <v>2505</v>
      </c>
      <c r="D679" s="1" t="s">
        <v>2506</v>
      </c>
      <c r="E679" s="2">
        <v>38020.0</v>
      </c>
      <c r="F679" s="1" t="s">
        <v>138</v>
      </c>
      <c r="G679" s="1" t="s">
        <v>31</v>
      </c>
      <c r="H679" s="1" t="s">
        <v>32</v>
      </c>
      <c r="I679" s="3">
        <f>+2250172761449</f>
        <v>2250172761449</v>
      </c>
      <c r="J679" s="3">
        <f>+2250777453662</f>
        <v>2250777453662</v>
      </c>
      <c r="K679" s="1" t="s">
        <v>19</v>
      </c>
      <c r="L679" s="4" t="s">
        <v>2507</v>
      </c>
    </row>
    <row r="680">
      <c r="A680" s="1" t="s">
        <v>12</v>
      </c>
      <c r="B680" s="1" t="s">
        <v>2508</v>
      </c>
      <c r="C680" s="1" t="s">
        <v>2509</v>
      </c>
      <c r="D680" s="1" t="s">
        <v>2510</v>
      </c>
      <c r="E680" s="2">
        <v>38375.0</v>
      </c>
      <c r="F680" s="1" t="s">
        <v>138</v>
      </c>
      <c r="G680" s="1" t="s">
        <v>76</v>
      </c>
      <c r="H680" s="1" t="s">
        <v>32</v>
      </c>
      <c r="I680" s="3">
        <f>+2250758717032</f>
        <v>2250758717032</v>
      </c>
      <c r="J680" s="3">
        <f>+2250708569633</f>
        <v>2250708569633</v>
      </c>
      <c r="K680" s="1" t="s">
        <v>19</v>
      </c>
      <c r="L680" s="4" t="s">
        <v>2511</v>
      </c>
    </row>
    <row r="681">
      <c r="A681" s="1" t="s">
        <v>12</v>
      </c>
      <c r="B681" s="1" t="s">
        <v>2512</v>
      </c>
      <c r="C681" s="1" t="s">
        <v>2513</v>
      </c>
      <c r="D681" s="1" t="s">
        <v>2514</v>
      </c>
      <c r="E681" s="2">
        <v>38499.0</v>
      </c>
      <c r="F681" s="1" t="s">
        <v>138</v>
      </c>
      <c r="G681" s="1" t="s">
        <v>76</v>
      </c>
      <c r="H681" s="1" t="s">
        <v>32</v>
      </c>
      <c r="I681" s="3">
        <f>+2250711353501</f>
        <v>2250711353501</v>
      </c>
      <c r="J681" s="3">
        <f>+2250707440113</f>
        <v>2250707440113</v>
      </c>
      <c r="K681" s="1" t="s">
        <v>19</v>
      </c>
      <c r="L681" s="4" t="s">
        <v>2515</v>
      </c>
    </row>
    <row r="682">
      <c r="A682" s="1" t="s">
        <v>12</v>
      </c>
      <c r="B682" s="1" t="s">
        <v>2516</v>
      </c>
      <c r="C682" s="1" t="s">
        <v>2517</v>
      </c>
      <c r="D682" s="1" t="s">
        <v>2518</v>
      </c>
      <c r="E682" s="5">
        <v>36156.0</v>
      </c>
      <c r="F682" s="1" t="s">
        <v>75</v>
      </c>
      <c r="G682" s="1" t="s">
        <v>76</v>
      </c>
      <c r="H682" s="1" t="s">
        <v>32</v>
      </c>
      <c r="I682" s="3">
        <f>+2250702782074</f>
        <v>2250702782074</v>
      </c>
      <c r="J682" s="3">
        <f>+2250505443141</f>
        <v>2250505443141</v>
      </c>
      <c r="K682" s="1" t="s">
        <v>19</v>
      </c>
      <c r="L682" s="4" t="s">
        <v>2519</v>
      </c>
    </row>
    <row r="683">
      <c r="A683" s="1" t="s">
        <v>12</v>
      </c>
      <c r="B683" s="1" t="s">
        <v>2520</v>
      </c>
      <c r="C683" s="1" t="s">
        <v>2521</v>
      </c>
      <c r="D683" s="1" t="s">
        <v>2522</v>
      </c>
      <c r="E683" s="5">
        <v>38342.0</v>
      </c>
      <c r="F683" s="1" t="s">
        <v>16</v>
      </c>
      <c r="G683" s="1" t="s">
        <v>17</v>
      </c>
      <c r="H683" s="1" t="s">
        <v>18</v>
      </c>
      <c r="I683" s="3">
        <f>+2250565849110</f>
        <v>2250565849110</v>
      </c>
      <c r="J683" s="3">
        <f>+2250707272900</f>
        <v>2250707272900</v>
      </c>
      <c r="K683" s="1" t="s">
        <v>19</v>
      </c>
      <c r="L683" s="4" t="s">
        <v>2523</v>
      </c>
    </row>
    <row r="684">
      <c r="A684" s="1" t="s">
        <v>12</v>
      </c>
      <c r="B684" s="1" t="s">
        <v>2524</v>
      </c>
      <c r="C684" s="1" t="s">
        <v>2525</v>
      </c>
      <c r="D684" s="1" t="s">
        <v>2526</v>
      </c>
      <c r="E684" s="2">
        <v>37838.0</v>
      </c>
      <c r="F684" s="1" t="s">
        <v>167</v>
      </c>
      <c r="G684" s="1" t="s">
        <v>17</v>
      </c>
      <c r="H684" s="1" t="s">
        <v>18</v>
      </c>
      <c r="I684" s="3">
        <f>+2250171108350</f>
        <v>2250171108350</v>
      </c>
      <c r="J684" s="3">
        <f>+2250172519567</f>
        <v>2250172519567</v>
      </c>
      <c r="K684" s="1" t="s">
        <v>19</v>
      </c>
      <c r="L684" s="4" t="s">
        <v>2527</v>
      </c>
    </row>
    <row r="685">
      <c r="A685" s="1" t="s">
        <v>12</v>
      </c>
      <c r="B685" s="1" t="s">
        <v>2528</v>
      </c>
      <c r="C685" s="1" t="s">
        <v>2529</v>
      </c>
      <c r="D685" s="1" t="s">
        <v>2530</v>
      </c>
      <c r="E685" s="5">
        <v>37243.0</v>
      </c>
      <c r="F685" s="1" t="s">
        <v>62</v>
      </c>
      <c r="G685" s="1" t="s">
        <v>17</v>
      </c>
      <c r="H685" s="1" t="s">
        <v>18</v>
      </c>
      <c r="I685" s="3">
        <f>+2250556637958</f>
        <v>2250556637958</v>
      </c>
      <c r="J685" s="3">
        <f>+2250171324431</f>
        <v>2250171324431</v>
      </c>
      <c r="K685" s="1" t="s">
        <v>19</v>
      </c>
      <c r="L685" s="4" t="s">
        <v>2531</v>
      </c>
    </row>
    <row r="686">
      <c r="A686" s="1" t="s">
        <v>12</v>
      </c>
      <c r="B686" s="1" t="s">
        <v>2532</v>
      </c>
      <c r="C686" s="1" t="s">
        <v>2529</v>
      </c>
      <c r="D686" s="1" t="s">
        <v>2533</v>
      </c>
      <c r="E686" s="2">
        <v>38484.0</v>
      </c>
      <c r="F686" s="1" t="s">
        <v>70</v>
      </c>
      <c r="G686" s="1" t="s">
        <v>76</v>
      </c>
      <c r="H686" s="1" t="s">
        <v>32</v>
      </c>
      <c r="I686" s="3">
        <f>+2250576705403</f>
        <v>2250576705403</v>
      </c>
      <c r="J686" s="3">
        <f>+2250707908448</f>
        <v>2250707908448</v>
      </c>
      <c r="K686" s="1" t="s">
        <v>19</v>
      </c>
      <c r="L686" s="4" t="s">
        <v>2534</v>
      </c>
    </row>
    <row r="687">
      <c r="A687" s="1" t="s">
        <v>12</v>
      </c>
      <c r="B687" s="1" t="s">
        <v>2535</v>
      </c>
      <c r="C687" s="1" t="s">
        <v>2529</v>
      </c>
      <c r="D687" s="1" t="s">
        <v>2536</v>
      </c>
      <c r="E687" s="2">
        <v>37690.0</v>
      </c>
      <c r="F687" s="1" t="s">
        <v>2537</v>
      </c>
      <c r="G687" s="1" t="s">
        <v>76</v>
      </c>
      <c r="H687" s="1" t="s">
        <v>32</v>
      </c>
      <c r="I687" s="3">
        <f>+2250709274402</f>
        <v>2250709274402</v>
      </c>
      <c r="J687" s="3">
        <f>+2250759381146</f>
        <v>2250759381146</v>
      </c>
      <c r="K687" s="1" t="s">
        <v>19</v>
      </c>
      <c r="L687" s="4" t="s">
        <v>2538</v>
      </c>
    </row>
    <row r="688">
      <c r="A688" s="1" t="s">
        <v>12</v>
      </c>
      <c r="B688" s="1" t="s">
        <v>2539</v>
      </c>
      <c r="C688" s="1" t="s">
        <v>2529</v>
      </c>
      <c r="D688" s="1" t="s">
        <v>2540</v>
      </c>
      <c r="E688" s="2">
        <v>37067.0</v>
      </c>
      <c r="F688" s="1" t="s">
        <v>1723</v>
      </c>
      <c r="G688" s="1" t="s">
        <v>82</v>
      </c>
      <c r="H688" s="1" t="s">
        <v>18</v>
      </c>
      <c r="I688" s="3">
        <f>+2250779257565</f>
        <v>2250779257565</v>
      </c>
      <c r="J688" s="3">
        <f>+2250505631852</f>
        <v>2250505631852</v>
      </c>
      <c r="K688" s="1" t="s">
        <v>19</v>
      </c>
      <c r="L688" s="4" t="s">
        <v>2541</v>
      </c>
    </row>
    <row r="689">
      <c r="A689" s="1" t="s">
        <v>12</v>
      </c>
      <c r="B689" s="1" t="s">
        <v>2542</v>
      </c>
      <c r="C689" s="1" t="s">
        <v>2529</v>
      </c>
      <c r="D689" s="1" t="s">
        <v>2543</v>
      </c>
      <c r="E689" s="2">
        <v>38192.0</v>
      </c>
      <c r="F689" s="1" t="s">
        <v>48</v>
      </c>
      <c r="G689" s="1" t="s">
        <v>31</v>
      </c>
      <c r="H689" s="1" t="s">
        <v>32</v>
      </c>
      <c r="I689" s="3">
        <f>+2250546418547</f>
        <v>2250546418547</v>
      </c>
      <c r="J689" s="3">
        <f>+2250777965514</f>
        <v>2250777965514</v>
      </c>
      <c r="K689" s="1" t="s">
        <v>19</v>
      </c>
      <c r="L689" s="4" t="s">
        <v>2544</v>
      </c>
    </row>
    <row r="690">
      <c r="A690" s="1" t="s">
        <v>12</v>
      </c>
      <c r="B690" s="1" t="s">
        <v>2545</v>
      </c>
      <c r="C690" s="1" t="s">
        <v>2529</v>
      </c>
      <c r="D690" s="1" t="s">
        <v>2546</v>
      </c>
      <c r="E690" s="2">
        <v>37455.0</v>
      </c>
      <c r="F690" s="1" t="s">
        <v>586</v>
      </c>
      <c r="G690" s="1" t="s">
        <v>82</v>
      </c>
      <c r="H690" s="1" t="s">
        <v>18</v>
      </c>
      <c r="I690" s="3">
        <f>+2250779813136</f>
        <v>2250779813136</v>
      </c>
      <c r="J690" s="3">
        <f>+2250779516635</f>
        <v>2250779516635</v>
      </c>
      <c r="K690" s="1" t="s">
        <v>19</v>
      </c>
      <c r="L690" s="4" t="s">
        <v>2547</v>
      </c>
    </row>
    <row r="691">
      <c r="A691" s="1" t="s">
        <v>12</v>
      </c>
      <c r="B691" s="1" t="s">
        <v>2548</v>
      </c>
      <c r="C691" s="1" t="s">
        <v>2529</v>
      </c>
      <c r="D691" s="1" t="s">
        <v>2549</v>
      </c>
      <c r="E691" s="2">
        <v>37829.0</v>
      </c>
      <c r="F691" s="1" t="s">
        <v>62</v>
      </c>
      <c r="G691" s="1" t="s">
        <v>17</v>
      </c>
      <c r="H691" s="1" t="s">
        <v>18</v>
      </c>
      <c r="I691" s="3">
        <f>+2250768028360</f>
        <v>2250768028360</v>
      </c>
      <c r="J691" s="3">
        <f>+2250778905390</f>
        <v>2250778905390</v>
      </c>
      <c r="K691" s="1" t="s">
        <v>19</v>
      </c>
      <c r="L691" s="4" t="s">
        <v>2550</v>
      </c>
    </row>
    <row r="692">
      <c r="A692" s="1" t="s">
        <v>12</v>
      </c>
      <c r="B692" s="1" t="s">
        <v>2551</v>
      </c>
      <c r="C692" s="1" t="s">
        <v>2529</v>
      </c>
      <c r="D692" s="1" t="s">
        <v>2552</v>
      </c>
      <c r="E692" s="5">
        <v>38302.0</v>
      </c>
      <c r="F692" s="1" t="s">
        <v>75</v>
      </c>
      <c r="G692" s="1" t="s">
        <v>76</v>
      </c>
      <c r="H692" s="1" t="s">
        <v>32</v>
      </c>
      <c r="I692" s="3">
        <f>+2250747185572</f>
        <v>2250747185572</v>
      </c>
      <c r="J692" s="3">
        <f>+2250505765812</f>
        <v>2250505765812</v>
      </c>
      <c r="K692" s="1" t="s">
        <v>19</v>
      </c>
      <c r="L692" s="4" t="s">
        <v>2553</v>
      </c>
    </row>
    <row r="693">
      <c r="A693" s="1" t="s">
        <v>12</v>
      </c>
      <c r="B693" s="1" t="s">
        <v>2554</v>
      </c>
      <c r="C693" s="1" t="s">
        <v>2529</v>
      </c>
      <c r="D693" s="1" t="s">
        <v>2555</v>
      </c>
      <c r="E693" s="5">
        <v>37237.0</v>
      </c>
      <c r="F693" s="1" t="s">
        <v>53</v>
      </c>
      <c r="G693" s="1" t="s">
        <v>25</v>
      </c>
      <c r="H693" s="1" t="s">
        <v>18</v>
      </c>
      <c r="I693" s="3">
        <f>+2250594243292</f>
        <v>2250594243292</v>
      </c>
      <c r="J693" s="3">
        <f>+2250500479314</f>
        <v>2250500479314</v>
      </c>
      <c r="K693" s="1" t="s">
        <v>19</v>
      </c>
      <c r="L693" s="4" t="s">
        <v>2556</v>
      </c>
    </row>
    <row r="694">
      <c r="A694" s="1" t="s">
        <v>12</v>
      </c>
      <c r="B694" s="1" t="s">
        <v>2557</v>
      </c>
      <c r="C694" s="1" t="s">
        <v>2529</v>
      </c>
      <c r="D694" s="1" t="s">
        <v>2558</v>
      </c>
      <c r="E694" s="2">
        <v>38794.0</v>
      </c>
      <c r="F694" s="1" t="s">
        <v>53</v>
      </c>
      <c r="G694" s="1" t="s">
        <v>25</v>
      </c>
      <c r="H694" s="1" t="s">
        <v>18</v>
      </c>
      <c r="I694" s="3">
        <f>+2250749806661</f>
        <v>2250749806661</v>
      </c>
      <c r="J694" s="3">
        <f>+2250102911104</f>
        <v>2250102911104</v>
      </c>
      <c r="K694" s="1" t="s">
        <v>19</v>
      </c>
      <c r="L694" s="4" t="s">
        <v>2559</v>
      </c>
    </row>
    <row r="695">
      <c r="A695" s="1" t="s">
        <v>12</v>
      </c>
      <c r="B695" s="1" t="s">
        <v>2560</v>
      </c>
      <c r="C695" s="1" t="s">
        <v>2529</v>
      </c>
      <c r="D695" s="1" t="s">
        <v>2561</v>
      </c>
      <c r="E695" s="2">
        <v>37961.0</v>
      </c>
      <c r="F695" s="1" t="s">
        <v>16</v>
      </c>
      <c r="G695" s="1" t="s">
        <v>17</v>
      </c>
      <c r="H695" s="1" t="s">
        <v>18</v>
      </c>
      <c r="I695" s="3">
        <f>+2250586261044</f>
        <v>2250586261044</v>
      </c>
      <c r="J695" s="3">
        <f>+2250747932091</f>
        <v>2250747932091</v>
      </c>
      <c r="K695" s="1" t="s">
        <v>19</v>
      </c>
      <c r="L695" s="4" t="s">
        <v>2562</v>
      </c>
    </row>
    <row r="696">
      <c r="A696" s="1" t="s">
        <v>12</v>
      </c>
      <c r="B696" s="1" t="s">
        <v>2563</v>
      </c>
      <c r="C696" s="1" t="s">
        <v>2529</v>
      </c>
      <c r="D696" s="1" t="s">
        <v>2564</v>
      </c>
      <c r="E696" s="5">
        <v>38677.0</v>
      </c>
      <c r="F696" s="1" t="s">
        <v>53</v>
      </c>
      <c r="G696" s="1" t="s">
        <v>17</v>
      </c>
      <c r="H696" s="1" t="s">
        <v>18</v>
      </c>
      <c r="I696" s="3">
        <f>+2250150229681</f>
        <v>2250150229681</v>
      </c>
      <c r="J696" s="3">
        <f>+2250505984958</f>
        <v>2250505984958</v>
      </c>
      <c r="K696" s="1" t="s">
        <v>19</v>
      </c>
      <c r="L696" s="4" t="s">
        <v>2565</v>
      </c>
    </row>
    <row r="697">
      <c r="A697" s="1" t="s">
        <v>12</v>
      </c>
      <c r="B697" s="1" t="s">
        <v>2566</v>
      </c>
      <c r="C697" s="1" t="s">
        <v>2529</v>
      </c>
      <c r="D697" s="1" t="s">
        <v>2567</v>
      </c>
      <c r="E697" s="2">
        <v>36836.0</v>
      </c>
      <c r="F697" s="1" t="s">
        <v>48</v>
      </c>
      <c r="G697" s="1" t="s">
        <v>31</v>
      </c>
      <c r="H697" s="1" t="s">
        <v>32</v>
      </c>
      <c r="I697" s="3">
        <f>+2250778090008</f>
        <v>2250778090008</v>
      </c>
      <c r="J697" s="3">
        <f>+2250544566498</f>
        <v>2250544566498</v>
      </c>
      <c r="K697" s="1" t="s">
        <v>19</v>
      </c>
      <c r="L697" s="4" t="s">
        <v>2568</v>
      </c>
    </row>
    <row r="698">
      <c r="A698" s="1" t="s">
        <v>12</v>
      </c>
      <c r="B698" s="1" t="s">
        <v>2569</v>
      </c>
      <c r="C698" s="1" t="s">
        <v>2529</v>
      </c>
      <c r="D698" s="1" t="s">
        <v>2570</v>
      </c>
      <c r="E698" s="5">
        <v>38341.0</v>
      </c>
      <c r="F698" s="1" t="s">
        <v>62</v>
      </c>
      <c r="G698" s="1" t="s">
        <v>17</v>
      </c>
      <c r="H698" s="1" t="s">
        <v>18</v>
      </c>
      <c r="I698" s="3">
        <f>+2250566964792</f>
        <v>2250566964792</v>
      </c>
      <c r="J698" s="3">
        <f>+2250707828111</f>
        <v>2250707828111</v>
      </c>
      <c r="K698" s="1" t="s">
        <v>19</v>
      </c>
      <c r="L698" s="4" t="s">
        <v>2571</v>
      </c>
    </row>
    <row r="699">
      <c r="A699" s="1" t="s">
        <v>12</v>
      </c>
      <c r="B699" s="1" t="s">
        <v>2572</v>
      </c>
      <c r="C699" s="1" t="s">
        <v>2529</v>
      </c>
      <c r="D699" s="1" t="s">
        <v>2573</v>
      </c>
      <c r="E699" s="2">
        <v>38744.0</v>
      </c>
      <c r="F699" s="1" t="s">
        <v>1850</v>
      </c>
      <c r="G699" s="1" t="s">
        <v>76</v>
      </c>
      <c r="H699" s="1" t="s">
        <v>32</v>
      </c>
      <c r="I699" s="3">
        <f>+2250101172771</f>
        <v>2250101172771</v>
      </c>
      <c r="J699" s="3">
        <f>+2250141191159</f>
        <v>2250141191159</v>
      </c>
      <c r="K699" s="1" t="s">
        <v>19</v>
      </c>
      <c r="L699" s="4" t="s">
        <v>2574</v>
      </c>
    </row>
    <row r="700">
      <c r="A700" s="1" t="s">
        <v>12</v>
      </c>
      <c r="B700" s="1" t="s">
        <v>2575</v>
      </c>
      <c r="C700" s="1" t="s">
        <v>2529</v>
      </c>
      <c r="D700" s="1" t="s">
        <v>2576</v>
      </c>
      <c r="E700" s="5">
        <v>38309.0</v>
      </c>
      <c r="F700" s="1" t="s">
        <v>138</v>
      </c>
      <c r="G700" s="1" t="s">
        <v>31</v>
      </c>
      <c r="H700" s="1" t="s">
        <v>32</v>
      </c>
      <c r="I700" s="3">
        <f>+2250586150311</f>
        <v>2250586150311</v>
      </c>
      <c r="J700" s="3">
        <f>+2250708226685</f>
        <v>2250708226685</v>
      </c>
      <c r="K700" s="1" t="s">
        <v>19</v>
      </c>
      <c r="L700" s="4" t="s">
        <v>2577</v>
      </c>
    </row>
    <row r="701">
      <c r="A701" s="1" t="s">
        <v>12</v>
      </c>
      <c r="B701" s="1" t="s">
        <v>2578</v>
      </c>
      <c r="C701" s="1" t="s">
        <v>2579</v>
      </c>
      <c r="D701" s="1" t="s">
        <v>2580</v>
      </c>
      <c r="E701" s="2">
        <v>37468.0</v>
      </c>
      <c r="F701" s="1" t="s">
        <v>16</v>
      </c>
      <c r="G701" s="1" t="s">
        <v>17</v>
      </c>
      <c r="H701" s="1" t="s">
        <v>18</v>
      </c>
      <c r="I701" s="3">
        <f>+2250777762075</f>
        <v>2250777762075</v>
      </c>
      <c r="J701" s="3">
        <f>+2250707682460</f>
        <v>2250707682460</v>
      </c>
      <c r="K701" s="1" t="s">
        <v>19</v>
      </c>
      <c r="L701" s="4" t="s">
        <v>2581</v>
      </c>
    </row>
    <row r="702">
      <c r="A702" s="1" t="s">
        <v>12</v>
      </c>
      <c r="B702" s="1" t="s">
        <v>2582</v>
      </c>
      <c r="C702" s="1" t="s">
        <v>2583</v>
      </c>
      <c r="D702" s="1" t="s">
        <v>2584</v>
      </c>
      <c r="E702" s="2">
        <v>37679.0</v>
      </c>
      <c r="F702" s="1" t="s">
        <v>24</v>
      </c>
      <c r="G702" s="1" t="s">
        <v>17</v>
      </c>
      <c r="H702" s="1" t="s">
        <v>18</v>
      </c>
      <c r="I702" s="3">
        <f>+2250707422982</f>
        <v>2250707422982</v>
      </c>
      <c r="J702" s="3">
        <f>+2250708681689</f>
        <v>2250708681689</v>
      </c>
      <c r="K702" s="1" t="s">
        <v>19</v>
      </c>
      <c r="L702" s="4" t="s">
        <v>2585</v>
      </c>
    </row>
    <row r="703">
      <c r="A703" s="1" t="s">
        <v>12</v>
      </c>
      <c r="B703" s="1" t="s">
        <v>2586</v>
      </c>
      <c r="C703" s="1" t="s">
        <v>2587</v>
      </c>
      <c r="D703" s="1" t="s">
        <v>1053</v>
      </c>
      <c r="E703" s="2">
        <v>37987.0</v>
      </c>
      <c r="F703" s="1" t="s">
        <v>16</v>
      </c>
      <c r="G703" s="1" t="s">
        <v>25</v>
      </c>
      <c r="H703" s="1" t="s">
        <v>18</v>
      </c>
      <c r="I703" s="3">
        <f>+2250565397001</f>
        <v>2250565397001</v>
      </c>
      <c r="J703" s="3">
        <f>+2250504497631</f>
        <v>2250504497631</v>
      </c>
      <c r="K703" s="1" t="s">
        <v>19</v>
      </c>
      <c r="L703" s="4" t="s">
        <v>2588</v>
      </c>
    </row>
    <row r="704">
      <c r="A704" s="1" t="s">
        <v>12</v>
      </c>
      <c r="B704" s="1" t="s">
        <v>2589</v>
      </c>
      <c r="C704" s="1" t="s">
        <v>2587</v>
      </c>
      <c r="D704" s="1" t="s">
        <v>1656</v>
      </c>
      <c r="E704" s="2">
        <v>37895.0</v>
      </c>
      <c r="F704" s="1" t="s">
        <v>37</v>
      </c>
      <c r="G704" s="1" t="s">
        <v>82</v>
      </c>
      <c r="H704" s="1" t="s">
        <v>18</v>
      </c>
      <c r="I704" s="3">
        <f>+2250703033745</f>
        <v>2250703033745</v>
      </c>
      <c r="J704" s="3">
        <f>+2250708067271</f>
        <v>2250708067271</v>
      </c>
      <c r="K704" s="1" t="s">
        <v>19</v>
      </c>
      <c r="L704" s="4" t="s">
        <v>2590</v>
      </c>
    </row>
    <row r="705">
      <c r="A705" s="1" t="s">
        <v>12</v>
      </c>
      <c r="B705" s="1" t="s">
        <v>2591</v>
      </c>
      <c r="C705" s="1" t="s">
        <v>2587</v>
      </c>
      <c r="D705" s="1" t="s">
        <v>2592</v>
      </c>
      <c r="E705" s="2">
        <v>37568.0</v>
      </c>
      <c r="F705" s="1" t="s">
        <v>53</v>
      </c>
      <c r="G705" s="1" t="s">
        <v>17</v>
      </c>
      <c r="H705" s="1" t="s">
        <v>18</v>
      </c>
      <c r="I705" s="3">
        <f>+2250554701886</f>
        <v>2250554701886</v>
      </c>
      <c r="J705" s="3">
        <f>+2250152811051</f>
        <v>2250152811051</v>
      </c>
      <c r="K705" s="1" t="s">
        <v>19</v>
      </c>
      <c r="L705" s="4" t="s">
        <v>2593</v>
      </c>
    </row>
    <row r="706">
      <c r="A706" s="1" t="s">
        <v>12</v>
      </c>
      <c r="B706" s="1" t="s">
        <v>2594</v>
      </c>
      <c r="C706" s="1" t="s">
        <v>2587</v>
      </c>
      <c r="D706" s="1" t="s">
        <v>2595</v>
      </c>
      <c r="E706" s="2">
        <v>37668.0</v>
      </c>
      <c r="F706" s="1" t="s">
        <v>53</v>
      </c>
      <c r="G706" s="1" t="s">
        <v>17</v>
      </c>
      <c r="H706" s="1" t="s">
        <v>18</v>
      </c>
      <c r="I706" s="3">
        <f>+2250788918646</f>
        <v>2250788918646</v>
      </c>
      <c r="J706" s="3">
        <f>+2250506378854</f>
        <v>2250506378854</v>
      </c>
      <c r="K706" s="1" t="s">
        <v>19</v>
      </c>
      <c r="L706" s="4" t="s">
        <v>2596</v>
      </c>
    </row>
    <row r="707">
      <c r="A707" s="1" t="s">
        <v>12</v>
      </c>
      <c r="B707" s="1" t="s">
        <v>2597</v>
      </c>
      <c r="C707" s="1" t="s">
        <v>2587</v>
      </c>
      <c r="D707" s="1" t="s">
        <v>2598</v>
      </c>
      <c r="E707" s="2">
        <v>38384.0</v>
      </c>
      <c r="F707" s="1" t="s">
        <v>30</v>
      </c>
      <c r="G707" s="1" t="s">
        <v>76</v>
      </c>
      <c r="H707" s="1" t="s">
        <v>32</v>
      </c>
      <c r="I707" s="3">
        <f>+2250565267910</f>
        <v>2250565267910</v>
      </c>
      <c r="J707" s="3">
        <f>+2250707913305</f>
        <v>2250707913305</v>
      </c>
      <c r="K707" s="1" t="s">
        <v>19</v>
      </c>
      <c r="L707" s="4" t="s">
        <v>2599</v>
      </c>
    </row>
    <row r="708">
      <c r="A708" s="1" t="s">
        <v>12</v>
      </c>
      <c r="B708" s="1" t="s">
        <v>2600</v>
      </c>
      <c r="C708" s="1" t="s">
        <v>2587</v>
      </c>
      <c r="D708" s="1" t="s">
        <v>2601</v>
      </c>
      <c r="E708" s="5">
        <v>37619.0</v>
      </c>
      <c r="F708" s="1" t="s">
        <v>16</v>
      </c>
      <c r="G708" s="1" t="s">
        <v>17</v>
      </c>
      <c r="H708" s="1" t="s">
        <v>18</v>
      </c>
      <c r="I708" s="3">
        <f>+2250789587947</f>
        <v>2250789587947</v>
      </c>
      <c r="J708" s="3">
        <f>+2250707933971</f>
        <v>2250707933971</v>
      </c>
      <c r="K708" s="1" t="s">
        <v>19</v>
      </c>
      <c r="L708" s="4" t="s">
        <v>2602</v>
      </c>
    </row>
    <row r="709">
      <c r="A709" s="1" t="s">
        <v>12</v>
      </c>
      <c r="B709" s="1" t="s">
        <v>2603</v>
      </c>
      <c r="C709" s="1" t="s">
        <v>2587</v>
      </c>
      <c r="D709" s="1" t="s">
        <v>2604</v>
      </c>
      <c r="E709" s="2">
        <v>36959.0</v>
      </c>
      <c r="F709" s="1" t="s">
        <v>48</v>
      </c>
      <c r="G709" s="1" t="s">
        <v>31</v>
      </c>
      <c r="H709" s="1" t="s">
        <v>32</v>
      </c>
      <c r="I709" s="3">
        <f>+2250789118553</f>
        <v>2250789118553</v>
      </c>
      <c r="J709" s="3">
        <f>+2250707814872</f>
        <v>2250707814872</v>
      </c>
      <c r="K709" s="1" t="s">
        <v>19</v>
      </c>
      <c r="L709" s="4" t="s">
        <v>2605</v>
      </c>
    </row>
    <row r="710">
      <c r="A710" s="1" t="s">
        <v>12</v>
      </c>
      <c r="B710" s="1" t="s">
        <v>2606</v>
      </c>
      <c r="C710" s="1" t="s">
        <v>2587</v>
      </c>
      <c r="D710" s="1" t="s">
        <v>2607</v>
      </c>
      <c r="E710" s="2">
        <v>38419.0</v>
      </c>
      <c r="F710" s="1" t="s">
        <v>351</v>
      </c>
      <c r="G710" s="1" t="s">
        <v>76</v>
      </c>
      <c r="H710" s="1" t="s">
        <v>32</v>
      </c>
      <c r="I710" s="3">
        <f>+2250140784308</f>
        <v>2250140784308</v>
      </c>
      <c r="J710" s="3">
        <f>+2250757641068</f>
        <v>2250757641068</v>
      </c>
      <c r="K710" s="1" t="s">
        <v>19</v>
      </c>
      <c r="L710" s="4" t="s">
        <v>2608</v>
      </c>
    </row>
    <row r="711">
      <c r="A711" s="1" t="s">
        <v>12</v>
      </c>
      <c r="B711" s="1" t="s">
        <v>2609</v>
      </c>
      <c r="C711" s="1" t="s">
        <v>2610</v>
      </c>
      <c r="D711" s="1" t="s">
        <v>2611</v>
      </c>
      <c r="E711" s="5">
        <v>37935.0</v>
      </c>
      <c r="F711" s="1" t="s">
        <v>53</v>
      </c>
      <c r="G711" s="1" t="s">
        <v>17</v>
      </c>
      <c r="H711" s="1" t="s">
        <v>18</v>
      </c>
      <c r="I711" s="3">
        <f>+2250767134393</f>
        <v>2250767134393</v>
      </c>
      <c r="J711" s="3">
        <f>+2250707989596</f>
        <v>2250707989596</v>
      </c>
      <c r="K711" s="1" t="s">
        <v>19</v>
      </c>
      <c r="L711" s="4" t="s">
        <v>2612</v>
      </c>
    </row>
    <row r="712">
      <c r="A712" s="1" t="s">
        <v>12</v>
      </c>
      <c r="B712" s="1" t="s">
        <v>2613</v>
      </c>
      <c r="C712" s="1" t="s">
        <v>2614</v>
      </c>
      <c r="D712" s="1" t="s">
        <v>2615</v>
      </c>
      <c r="E712" s="2">
        <v>38570.0</v>
      </c>
      <c r="F712" s="1" t="s">
        <v>16</v>
      </c>
      <c r="G712" s="1" t="s">
        <v>25</v>
      </c>
      <c r="H712" s="1" t="s">
        <v>18</v>
      </c>
      <c r="I712" s="3">
        <f>+2250707633262</f>
        <v>2250707633262</v>
      </c>
      <c r="J712" s="3">
        <f>+2250707853049</f>
        <v>2250707853049</v>
      </c>
      <c r="K712" s="1" t="s">
        <v>19</v>
      </c>
      <c r="L712" s="4" t="s">
        <v>2616</v>
      </c>
    </row>
    <row r="713">
      <c r="A713" s="1" t="s">
        <v>12</v>
      </c>
      <c r="B713" s="1" t="s">
        <v>2617</v>
      </c>
      <c r="C713" s="1" t="s">
        <v>2614</v>
      </c>
      <c r="D713" s="1" t="s">
        <v>2618</v>
      </c>
      <c r="E713" s="2">
        <v>38152.0</v>
      </c>
      <c r="F713" s="1" t="s">
        <v>101</v>
      </c>
      <c r="G713" s="1" t="s">
        <v>31</v>
      </c>
      <c r="H713" s="1" t="s">
        <v>32</v>
      </c>
      <c r="I713" s="3">
        <f>+2250102844790</f>
        <v>2250102844790</v>
      </c>
      <c r="J713" s="3">
        <f>+2250708842700</f>
        <v>2250708842700</v>
      </c>
      <c r="K713" s="1" t="s">
        <v>19</v>
      </c>
      <c r="L713" s="4" t="s">
        <v>2619</v>
      </c>
    </row>
    <row r="714">
      <c r="A714" s="1" t="s">
        <v>12</v>
      </c>
      <c r="B714" s="1" t="s">
        <v>2620</v>
      </c>
      <c r="C714" s="1" t="s">
        <v>2614</v>
      </c>
      <c r="D714" s="1" t="s">
        <v>178</v>
      </c>
      <c r="E714" s="5">
        <v>36819.0</v>
      </c>
      <c r="F714" s="1" t="s">
        <v>30</v>
      </c>
      <c r="G714" s="1" t="s">
        <v>76</v>
      </c>
      <c r="H714" s="1" t="s">
        <v>32</v>
      </c>
      <c r="I714" s="3">
        <f>+2250700376120</f>
        <v>2250700376120</v>
      </c>
      <c r="J714" s="3">
        <f>+2250101937387</f>
        <v>2250101937387</v>
      </c>
      <c r="K714" s="1" t="s">
        <v>19</v>
      </c>
      <c r="L714" s="4" t="s">
        <v>2621</v>
      </c>
    </row>
    <row r="715">
      <c r="A715" s="1" t="s">
        <v>12</v>
      </c>
      <c r="B715" s="1" t="s">
        <v>2622</v>
      </c>
      <c r="C715" s="1" t="s">
        <v>2614</v>
      </c>
      <c r="D715" s="1" t="s">
        <v>2623</v>
      </c>
      <c r="E715" s="2">
        <v>38096.0</v>
      </c>
      <c r="F715" s="1" t="s">
        <v>16</v>
      </c>
      <c r="G715" s="1" t="s">
        <v>25</v>
      </c>
      <c r="H715" s="1" t="s">
        <v>18</v>
      </c>
      <c r="I715" s="3">
        <f>+2250704498871</f>
        <v>2250704498871</v>
      </c>
      <c r="J715" s="3">
        <f>+2250103528878</f>
        <v>2250103528878</v>
      </c>
      <c r="K715" s="1" t="s">
        <v>19</v>
      </c>
      <c r="L715" s="4" t="s">
        <v>2624</v>
      </c>
    </row>
    <row r="716">
      <c r="A716" s="1" t="s">
        <v>12</v>
      </c>
      <c r="B716" s="1" t="s">
        <v>2625</v>
      </c>
      <c r="C716" s="1" t="s">
        <v>2626</v>
      </c>
      <c r="D716" s="1" t="s">
        <v>2627</v>
      </c>
      <c r="E716" s="2">
        <v>36468.0</v>
      </c>
      <c r="F716" s="1" t="s">
        <v>182</v>
      </c>
      <c r="G716" s="1" t="s">
        <v>82</v>
      </c>
      <c r="H716" s="1" t="s">
        <v>18</v>
      </c>
      <c r="I716" s="3">
        <f>+2250789187284</f>
        <v>2250789187284</v>
      </c>
      <c r="J716" s="3">
        <f>+2250778946370</f>
        <v>2250778946370</v>
      </c>
      <c r="K716" s="1" t="s">
        <v>19</v>
      </c>
      <c r="L716" s="4" t="s">
        <v>2628</v>
      </c>
    </row>
    <row r="717">
      <c r="A717" s="1" t="s">
        <v>12</v>
      </c>
      <c r="B717" s="1" t="s">
        <v>2629</v>
      </c>
      <c r="C717" s="1" t="s">
        <v>2626</v>
      </c>
      <c r="D717" s="1" t="s">
        <v>2627</v>
      </c>
      <c r="E717" s="2">
        <v>38229.0</v>
      </c>
      <c r="F717" s="1" t="s">
        <v>53</v>
      </c>
      <c r="G717" s="1" t="s">
        <v>25</v>
      </c>
      <c r="H717" s="1" t="s">
        <v>18</v>
      </c>
      <c r="I717" s="3">
        <f>+2250707423255</f>
        <v>2250707423255</v>
      </c>
      <c r="J717" s="3">
        <f>+2250788573341</f>
        <v>2250788573341</v>
      </c>
      <c r="K717" s="1" t="s">
        <v>19</v>
      </c>
      <c r="L717" s="4" t="s">
        <v>2630</v>
      </c>
    </row>
    <row r="718">
      <c r="A718" s="1" t="s">
        <v>12</v>
      </c>
      <c r="B718" s="1" t="s">
        <v>2631</v>
      </c>
      <c r="C718" s="1" t="s">
        <v>2626</v>
      </c>
      <c r="D718" s="1" t="s">
        <v>1964</v>
      </c>
      <c r="E718" s="5">
        <v>38678.0</v>
      </c>
      <c r="F718" s="1" t="s">
        <v>288</v>
      </c>
      <c r="G718" s="1" t="s">
        <v>76</v>
      </c>
      <c r="H718" s="1" t="s">
        <v>32</v>
      </c>
      <c r="I718" s="3">
        <f>+2250584668130</f>
        <v>2250584668130</v>
      </c>
      <c r="J718" s="3">
        <f>+2250171312204</f>
        <v>2250171312204</v>
      </c>
      <c r="K718" s="1" t="s">
        <v>19</v>
      </c>
      <c r="L718" s="4" t="s">
        <v>2632</v>
      </c>
    </row>
    <row r="719">
      <c r="A719" s="1" t="s">
        <v>12</v>
      </c>
      <c r="B719" s="1" t="s">
        <v>2633</v>
      </c>
      <c r="C719" s="1" t="s">
        <v>2626</v>
      </c>
      <c r="D719" s="1" t="s">
        <v>1053</v>
      </c>
      <c r="E719" s="5">
        <v>38334.0</v>
      </c>
      <c r="F719" s="1" t="s">
        <v>101</v>
      </c>
      <c r="G719" s="1" t="s">
        <v>31</v>
      </c>
      <c r="H719" s="1" t="s">
        <v>32</v>
      </c>
      <c r="I719" s="3">
        <f>+2250172347557</f>
        <v>2250172347557</v>
      </c>
      <c r="J719" s="3">
        <f>+2250779864786</f>
        <v>2250779864786</v>
      </c>
      <c r="K719" s="1" t="s">
        <v>19</v>
      </c>
      <c r="L719" s="4" t="s">
        <v>2634</v>
      </c>
    </row>
    <row r="720">
      <c r="A720" s="1" t="s">
        <v>12</v>
      </c>
      <c r="B720" s="1" t="s">
        <v>2635</v>
      </c>
      <c r="C720" s="1" t="s">
        <v>2626</v>
      </c>
      <c r="D720" s="1" t="s">
        <v>2636</v>
      </c>
      <c r="E720" s="2">
        <v>38491.0</v>
      </c>
      <c r="F720" s="1" t="s">
        <v>155</v>
      </c>
      <c r="G720" s="1" t="s">
        <v>76</v>
      </c>
      <c r="H720" s="1" t="s">
        <v>32</v>
      </c>
      <c r="I720" s="3">
        <f>+2250778761617</f>
        <v>2250778761617</v>
      </c>
      <c r="J720" s="3">
        <f>+2250505946613</f>
        <v>2250505946613</v>
      </c>
      <c r="K720" s="1" t="s">
        <v>19</v>
      </c>
      <c r="L720" s="4" t="s">
        <v>2637</v>
      </c>
    </row>
    <row r="721">
      <c r="A721" s="1" t="s">
        <v>12</v>
      </c>
      <c r="B721" s="1" t="s">
        <v>2638</v>
      </c>
      <c r="C721" s="1" t="s">
        <v>2626</v>
      </c>
      <c r="D721" s="1" t="s">
        <v>2639</v>
      </c>
      <c r="E721" s="2">
        <v>37741.0</v>
      </c>
      <c r="F721" s="1" t="s">
        <v>138</v>
      </c>
      <c r="G721" s="1" t="s">
        <v>31</v>
      </c>
      <c r="H721" s="1" t="s">
        <v>32</v>
      </c>
      <c r="I721" s="3">
        <f>+2250789967541</f>
        <v>2250789967541</v>
      </c>
      <c r="J721" s="3">
        <f>+2250706354315</f>
        <v>2250706354315</v>
      </c>
      <c r="K721" s="1" t="s">
        <v>19</v>
      </c>
      <c r="L721" s="4" t="s">
        <v>2640</v>
      </c>
    </row>
    <row r="722">
      <c r="A722" s="1" t="s">
        <v>12</v>
      </c>
      <c r="B722" s="1" t="s">
        <v>2641</v>
      </c>
      <c r="C722" s="1" t="s">
        <v>2626</v>
      </c>
      <c r="D722" s="1" t="s">
        <v>2642</v>
      </c>
      <c r="E722" s="2">
        <v>37928.0</v>
      </c>
      <c r="F722" s="1" t="s">
        <v>16</v>
      </c>
      <c r="G722" s="1" t="s">
        <v>82</v>
      </c>
      <c r="H722" s="1" t="s">
        <v>18</v>
      </c>
      <c r="I722" s="3">
        <f>+2250703048477</f>
        <v>2250703048477</v>
      </c>
      <c r="J722" s="3">
        <f>+2250757720369</f>
        <v>2250757720369</v>
      </c>
      <c r="K722" s="1" t="s">
        <v>19</v>
      </c>
      <c r="L722" s="4" t="s">
        <v>2643</v>
      </c>
    </row>
    <row r="723">
      <c r="A723" s="1" t="s">
        <v>12</v>
      </c>
      <c r="B723" s="1" t="s">
        <v>2644</v>
      </c>
      <c r="C723" s="1" t="s">
        <v>2626</v>
      </c>
      <c r="D723" s="1" t="s">
        <v>2642</v>
      </c>
      <c r="E723" s="2">
        <v>37830.0</v>
      </c>
      <c r="F723" s="1" t="s">
        <v>48</v>
      </c>
      <c r="G723" s="1" t="s">
        <v>31</v>
      </c>
      <c r="H723" s="1" t="s">
        <v>32</v>
      </c>
      <c r="I723" s="3">
        <f>+2250759138749</f>
        <v>2250759138749</v>
      </c>
      <c r="J723" s="3">
        <f>+2250102979925</f>
        <v>2250102979925</v>
      </c>
      <c r="K723" s="1" t="s">
        <v>19</v>
      </c>
      <c r="L723" s="4" t="s">
        <v>2645</v>
      </c>
    </row>
    <row r="724">
      <c r="A724" s="1" t="s">
        <v>12</v>
      </c>
      <c r="B724" s="1" t="s">
        <v>2646</v>
      </c>
      <c r="C724" s="1" t="s">
        <v>2626</v>
      </c>
      <c r="D724" s="1" t="s">
        <v>178</v>
      </c>
      <c r="E724" s="2">
        <v>37669.0</v>
      </c>
      <c r="F724" s="1" t="s">
        <v>70</v>
      </c>
      <c r="G724" s="1" t="s">
        <v>76</v>
      </c>
      <c r="H724" s="1" t="s">
        <v>32</v>
      </c>
      <c r="I724" s="3">
        <f>+2250564201263</f>
        <v>2250564201263</v>
      </c>
      <c r="J724" s="3">
        <f>+2250707376253</f>
        <v>2250707376253</v>
      </c>
      <c r="K724" s="1" t="s">
        <v>19</v>
      </c>
      <c r="L724" s="4" t="s">
        <v>2647</v>
      </c>
    </row>
    <row r="725">
      <c r="A725" s="1" t="s">
        <v>12</v>
      </c>
      <c r="B725" s="1" t="s">
        <v>2648</v>
      </c>
      <c r="C725" s="1" t="s">
        <v>2626</v>
      </c>
      <c r="D725" s="1" t="s">
        <v>2649</v>
      </c>
      <c r="E725" s="2">
        <v>37460.0</v>
      </c>
      <c r="F725" s="1" t="s">
        <v>110</v>
      </c>
      <c r="G725" s="1" t="s">
        <v>38</v>
      </c>
      <c r="H725" s="1" t="s">
        <v>39</v>
      </c>
      <c r="I725" s="3">
        <f t="shared" ref="I725:J725" si="20">+2250759954383</f>
        <v>2250759954383</v>
      </c>
      <c r="J725" s="3">
        <f t="shared" si="20"/>
        <v>2250759954383</v>
      </c>
      <c r="K725" s="1" t="s">
        <v>19</v>
      </c>
      <c r="L725" s="4" t="s">
        <v>2650</v>
      </c>
    </row>
    <row r="726">
      <c r="A726" s="1" t="s">
        <v>12</v>
      </c>
      <c r="B726" s="1" t="s">
        <v>2651</v>
      </c>
      <c r="C726" s="1" t="s">
        <v>2626</v>
      </c>
      <c r="D726" s="1" t="s">
        <v>2291</v>
      </c>
      <c r="E726" s="2">
        <v>37229.0</v>
      </c>
      <c r="F726" s="1" t="s">
        <v>16</v>
      </c>
      <c r="G726" s="1" t="s">
        <v>17</v>
      </c>
      <c r="H726" s="1" t="s">
        <v>18</v>
      </c>
      <c r="I726" s="3">
        <f>+2250748837072</f>
        <v>2250748837072</v>
      </c>
      <c r="J726" s="3">
        <f>+2250546562303</f>
        <v>2250546562303</v>
      </c>
      <c r="K726" s="1" t="s">
        <v>19</v>
      </c>
      <c r="L726" s="4" t="s">
        <v>2652</v>
      </c>
    </row>
    <row r="727">
      <c r="A727" s="1" t="s">
        <v>12</v>
      </c>
      <c r="B727" s="1" t="s">
        <v>2653</v>
      </c>
      <c r="C727" s="1" t="s">
        <v>2626</v>
      </c>
      <c r="D727" s="1" t="s">
        <v>2654</v>
      </c>
      <c r="E727" s="2">
        <v>36565.0</v>
      </c>
      <c r="F727" s="1" t="s">
        <v>62</v>
      </c>
      <c r="G727" s="1" t="s">
        <v>17</v>
      </c>
      <c r="H727" s="1" t="s">
        <v>18</v>
      </c>
      <c r="I727" s="3">
        <f>+2250585279054</f>
        <v>2250585279054</v>
      </c>
      <c r="J727" s="3">
        <f>+2250707321202</f>
        <v>2250707321202</v>
      </c>
      <c r="K727" s="1" t="s">
        <v>19</v>
      </c>
      <c r="L727" s="4" t="s">
        <v>2655</v>
      </c>
    </row>
    <row r="728">
      <c r="A728" s="1" t="s">
        <v>12</v>
      </c>
      <c r="B728" s="1" t="s">
        <v>2656</v>
      </c>
      <c r="C728" s="1" t="s">
        <v>2626</v>
      </c>
      <c r="D728" s="1" t="s">
        <v>2657</v>
      </c>
      <c r="E728" s="2">
        <v>37809.0</v>
      </c>
      <c r="F728" s="1" t="s">
        <v>30</v>
      </c>
      <c r="G728" s="1" t="s">
        <v>76</v>
      </c>
      <c r="H728" s="1" t="s">
        <v>32</v>
      </c>
      <c r="I728" s="3">
        <f>+2250769009710</f>
        <v>2250769009710</v>
      </c>
      <c r="J728" s="3">
        <f>+2250141457610</f>
        <v>2250141457610</v>
      </c>
      <c r="K728" s="1" t="s">
        <v>19</v>
      </c>
      <c r="L728" s="4" t="s">
        <v>2658</v>
      </c>
    </row>
    <row r="729">
      <c r="A729" s="1" t="s">
        <v>12</v>
      </c>
      <c r="B729" s="1" t="s">
        <v>2659</v>
      </c>
      <c r="C729" s="1" t="s">
        <v>2626</v>
      </c>
      <c r="D729" s="1" t="s">
        <v>2660</v>
      </c>
      <c r="E729" s="5">
        <v>39433.0</v>
      </c>
      <c r="F729" s="1" t="s">
        <v>48</v>
      </c>
      <c r="G729" s="1" t="s">
        <v>76</v>
      </c>
      <c r="H729" s="1" t="s">
        <v>32</v>
      </c>
      <c r="I729" s="3">
        <f>+2250574504931</f>
        <v>2250574504931</v>
      </c>
      <c r="J729" s="3">
        <f>+2250779321654</f>
        <v>2250779321654</v>
      </c>
      <c r="K729" s="1" t="s">
        <v>19</v>
      </c>
      <c r="L729" s="4" t="s">
        <v>2661</v>
      </c>
    </row>
    <row r="730">
      <c r="A730" s="1" t="s">
        <v>12</v>
      </c>
      <c r="B730" s="1" t="s">
        <v>2662</v>
      </c>
      <c r="C730" s="1" t="s">
        <v>2626</v>
      </c>
      <c r="D730" s="1" t="s">
        <v>2663</v>
      </c>
      <c r="E730" s="2">
        <v>38860.0</v>
      </c>
      <c r="F730" s="1" t="s">
        <v>53</v>
      </c>
      <c r="G730" s="1" t="s">
        <v>25</v>
      </c>
      <c r="H730" s="1" t="s">
        <v>18</v>
      </c>
      <c r="I730" s="3">
        <f>+2250548890018</f>
        <v>2250548890018</v>
      </c>
      <c r="J730" s="3">
        <f>+2250747333158</f>
        <v>2250747333158</v>
      </c>
      <c r="K730" s="1" t="s">
        <v>19</v>
      </c>
      <c r="L730" s="4" t="s">
        <v>2664</v>
      </c>
    </row>
    <row r="731">
      <c r="A731" s="1" t="s">
        <v>12</v>
      </c>
      <c r="B731" s="1" t="s">
        <v>2665</v>
      </c>
      <c r="C731" s="1" t="s">
        <v>2626</v>
      </c>
      <c r="D731" s="1" t="s">
        <v>2666</v>
      </c>
      <c r="E731" s="2">
        <v>36782.0</v>
      </c>
      <c r="F731" s="1" t="s">
        <v>62</v>
      </c>
      <c r="G731" s="1" t="s">
        <v>17</v>
      </c>
      <c r="H731" s="1" t="s">
        <v>18</v>
      </c>
      <c r="I731" s="3">
        <f>+2250787054695</f>
        <v>2250787054695</v>
      </c>
      <c r="J731" s="3">
        <f>+2250545726378</f>
        <v>2250545726378</v>
      </c>
      <c r="K731" s="1" t="s">
        <v>19</v>
      </c>
      <c r="L731" s="4" t="s">
        <v>2667</v>
      </c>
    </row>
    <row r="732">
      <c r="A732" s="1" t="s">
        <v>12</v>
      </c>
      <c r="B732" s="1" t="s">
        <v>2668</v>
      </c>
      <c r="C732" s="1" t="s">
        <v>2626</v>
      </c>
      <c r="D732" s="1" t="s">
        <v>2669</v>
      </c>
      <c r="E732" s="2">
        <v>37622.0</v>
      </c>
      <c r="F732" s="1" t="s">
        <v>53</v>
      </c>
      <c r="G732" s="1" t="s">
        <v>17</v>
      </c>
      <c r="H732" s="1" t="s">
        <v>18</v>
      </c>
      <c r="I732" s="3">
        <f>+2250576746179</f>
        <v>2250576746179</v>
      </c>
      <c r="J732" s="3">
        <f>+2250758239444</f>
        <v>2250758239444</v>
      </c>
      <c r="K732" s="1" t="s">
        <v>19</v>
      </c>
      <c r="L732" s="4" t="s">
        <v>2670</v>
      </c>
    </row>
    <row r="733">
      <c r="A733" s="1" t="s">
        <v>12</v>
      </c>
      <c r="B733" s="1" t="s">
        <v>2671</v>
      </c>
      <c r="C733" s="1" t="s">
        <v>2672</v>
      </c>
      <c r="D733" s="1" t="s">
        <v>2673</v>
      </c>
      <c r="E733" s="5">
        <v>37543.0</v>
      </c>
      <c r="F733" s="1" t="s">
        <v>30</v>
      </c>
      <c r="G733" s="1" t="s">
        <v>31</v>
      </c>
      <c r="H733" s="1" t="s">
        <v>32</v>
      </c>
      <c r="I733" s="3">
        <f>+2250757814099</f>
        <v>2250757814099</v>
      </c>
      <c r="J733" s="3">
        <f>+2250747838430</f>
        <v>2250747838430</v>
      </c>
      <c r="K733" s="1" t="s">
        <v>19</v>
      </c>
      <c r="L733" s="4" t="s">
        <v>2674</v>
      </c>
    </row>
    <row r="734">
      <c r="A734" s="1" t="s">
        <v>12</v>
      </c>
      <c r="B734" s="1" t="s">
        <v>2675</v>
      </c>
      <c r="C734" s="1" t="s">
        <v>2676</v>
      </c>
      <c r="D734" s="1" t="s">
        <v>2677</v>
      </c>
      <c r="E734" s="2">
        <v>38237.0</v>
      </c>
      <c r="F734" s="1" t="s">
        <v>48</v>
      </c>
      <c r="G734" s="1" t="s">
        <v>76</v>
      </c>
      <c r="H734" s="1" t="s">
        <v>32</v>
      </c>
      <c r="I734" s="3">
        <f>+2250566071493</f>
        <v>2250566071493</v>
      </c>
      <c r="J734" s="3">
        <f>+2250505637759</f>
        <v>2250505637759</v>
      </c>
      <c r="K734" s="1" t="s">
        <v>19</v>
      </c>
      <c r="L734" s="4" t="s">
        <v>2678</v>
      </c>
    </row>
    <row r="735">
      <c r="A735" s="1" t="s">
        <v>12</v>
      </c>
      <c r="B735" s="1" t="s">
        <v>2679</v>
      </c>
      <c r="C735" s="1" t="s">
        <v>2676</v>
      </c>
      <c r="D735" s="1" t="s">
        <v>2680</v>
      </c>
      <c r="E735" s="2">
        <v>37840.0</v>
      </c>
      <c r="F735" s="1" t="s">
        <v>155</v>
      </c>
      <c r="G735" s="1" t="s">
        <v>82</v>
      </c>
      <c r="H735" s="1" t="s">
        <v>18</v>
      </c>
      <c r="I735" s="3">
        <f>+2250143202600</f>
        <v>2250143202600</v>
      </c>
      <c r="J735" s="3">
        <f>+2250748136916</f>
        <v>2250748136916</v>
      </c>
      <c r="K735" s="1" t="s">
        <v>19</v>
      </c>
      <c r="L735" s="4" t="s">
        <v>2681</v>
      </c>
    </row>
    <row r="736">
      <c r="A736" s="1" t="s">
        <v>12</v>
      </c>
      <c r="B736" s="1" t="s">
        <v>2682</v>
      </c>
      <c r="C736" s="1" t="s">
        <v>2676</v>
      </c>
      <c r="D736" s="1" t="s">
        <v>1714</v>
      </c>
      <c r="E736" s="2">
        <v>37510.0</v>
      </c>
      <c r="F736" s="1" t="s">
        <v>92</v>
      </c>
      <c r="G736" s="1" t="s">
        <v>76</v>
      </c>
      <c r="H736" s="1" t="s">
        <v>32</v>
      </c>
      <c r="I736" s="3">
        <f>+2250151231798</f>
        <v>2250151231798</v>
      </c>
      <c r="J736" s="3">
        <f>+2250709003364</f>
        <v>2250709003364</v>
      </c>
      <c r="K736" s="1" t="s">
        <v>19</v>
      </c>
      <c r="L736" s="4" t="s">
        <v>2683</v>
      </c>
    </row>
    <row r="737">
      <c r="A737" s="1" t="s">
        <v>12</v>
      </c>
      <c r="B737" s="1" t="s">
        <v>2684</v>
      </c>
      <c r="C737" s="1" t="s">
        <v>2685</v>
      </c>
      <c r="D737" s="1" t="s">
        <v>2686</v>
      </c>
      <c r="E737" s="2">
        <v>35893.0</v>
      </c>
      <c r="F737" s="1" t="s">
        <v>167</v>
      </c>
      <c r="G737" s="1" t="s">
        <v>17</v>
      </c>
      <c r="H737" s="1" t="s">
        <v>18</v>
      </c>
      <c r="I737" s="3">
        <f>+2250702118638</f>
        <v>2250702118638</v>
      </c>
      <c r="J737" s="3">
        <f>+2250702741253</f>
        <v>2250702741253</v>
      </c>
      <c r="K737" s="1" t="s">
        <v>19</v>
      </c>
      <c r="L737" s="4" t="s">
        <v>2687</v>
      </c>
    </row>
    <row r="738">
      <c r="A738" s="1" t="s">
        <v>12</v>
      </c>
      <c r="B738" s="1" t="s">
        <v>2688</v>
      </c>
      <c r="C738" s="1" t="s">
        <v>2685</v>
      </c>
      <c r="D738" s="1" t="s">
        <v>2689</v>
      </c>
      <c r="E738" s="5">
        <v>36522.0</v>
      </c>
      <c r="F738" s="1" t="s">
        <v>62</v>
      </c>
      <c r="G738" s="1" t="s">
        <v>17</v>
      </c>
      <c r="H738" s="1" t="s">
        <v>18</v>
      </c>
      <c r="I738" s="3">
        <f>+2250767459361</f>
        <v>2250767459361</v>
      </c>
      <c r="J738" s="3">
        <f>+2250748918280</f>
        <v>2250748918280</v>
      </c>
      <c r="K738" s="1" t="s">
        <v>19</v>
      </c>
      <c r="L738" s="4" t="s">
        <v>2690</v>
      </c>
    </row>
    <row r="739">
      <c r="A739" s="1" t="s">
        <v>12</v>
      </c>
      <c r="B739" s="1" t="s">
        <v>2691</v>
      </c>
      <c r="C739" s="1" t="s">
        <v>2685</v>
      </c>
      <c r="D739" s="1" t="s">
        <v>2692</v>
      </c>
      <c r="E739" s="2">
        <v>37700.0</v>
      </c>
      <c r="F739" s="1" t="s">
        <v>16</v>
      </c>
      <c r="G739" s="1" t="s">
        <v>25</v>
      </c>
      <c r="H739" s="1" t="s">
        <v>18</v>
      </c>
      <c r="I739" s="3">
        <f>+2250565241471</f>
        <v>2250565241471</v>
      </c>
      <c r="J739" s="3">
        <f>+2250554513148</f>
        <v>2250554513148</v>
      </c>
      <c r="K739" s="1" t="s">
        <v>19</v>
      </c>
      <c r="L739" s="4" t="s">
        <v>2693</v>
      </c>
    </row>
    <row r="740">
      <c r="A740" s="1" t="s">
        <v>12</v>
      </c>
      <c r="B740" s="1" t="s">
        <v>2694</v>
      </c>
      <c r="C740" s="1" t="s">
        <v>2685</v>
      </c>
      <c r="D740" s="1" t="s">
        <v>2695</v>
      </c>
      <c r="E740" s="2">
        <v>37382.0</v>
      </c>
      <c r="F740" s="1" t="s">
        <v>30</v>
      </c>
      <c r="G740" s="1" t="s">
        <v>76</v>
      </c>
      <c r="H740" s="1" t="s">
        <v>32</v>
      </c>
      <c r="I740" s="3">
        <f>+2250566856745</f>
        <v>2250566856745</v>
      </c>
      <c r="J740" s="3">
        <f>+2250506825160</f>
        <v>2250506825160</v>
      </c>
      <c r="K740" s="1" t="s">
        <v>19</v>
      </c>
      <c r="L740" s="4" t="s">
        <v>2696</v>
      </c>
    </row>
    <row r="741">
      <c r="A741" s="1" t="s">
        <v>12</v>
      </c>
      <c r="B741" s="1" t="s">
        <v>2697</v>
      </c>
      <c r="C741" s="1" t="s">
        <v>2698</v>
      </c>
      <c r="D741" s="1" t="s">
        <v>2699</v>
      </c>
      <c r="E741" s="2">
        <v>38456.0</v>
      </c>
      <c r="F741" s="1" t="s">
        <v>62</v>
      </c>
      <c r="G741" s="1" t="s">
        <v>17</v>
      </c>
      <c r="H741" s="1" t="s">
        <v>18</v>
      </c>
      <c r="I741" s="3">
        <f>+2250153493505</f>
        <v>2250153493505</v>
      </c>
      <c r="J741" s="3">
        <f>+2250707704905</f>
        <v>2250707704905</v>
      </c>
      <c r="K741" s="1" t="s">
        <v>19</v>
      </c>
      <c r="L741" s="4" t="s">
        <v>2700</v>
      </c>
    </row>
    <row r="742">
      <c r="A742" s="1" t="s">
        <v>12</v>
      </c>
      <c r="B742" s="1" t="s">
        <v>2701</v>
      </c>
      <c r="C742" s="1" t="s">
        <v>2702</v>
      </c>
      <c r="D742" s="1" t="s">
        <v>2703</v>
      </c>
      <c r="E742" s="2">
        <v>37126.0</v>
      </c>
      <c r="F742" s="1" t="s">
        <v>110</v>
      </c>
      <c r="G742" s="1" t="s">
        <v>82</v>
      </c>
      <c r="H742" s="1" t="s">
        <v>18</v>
      </c>
      <c r="I742" s="3">
        <f>+2250500230311</f>
        <v>2250500230311</v>
      </c>
      <c r="J742" s="3">
        <f>+2250506332632</f>
        <v>2250506332632</v>
      </c>
      <c r="K742" s="1" t="s">
        <v>19</v>
      </c>
      <c r="L742" s="4" t="s">
        <v>2704</v>
      </c>
    </row>
    <row r="743">
      <c r="A743" s="1" t="s">
        <v>12</v>
      </c>
      <c r="B743" s="1" t="s">
        <v>2705</v>
      </c>
      <c r="C743" s="1" t="s">
        <v>2702</v>
      </c>
      <c r="D743" s="1" t="s">
        <v>2706</v>
      </c>
      <c r="E743" s="2">
        <v>38021.0</v>
      </c>
      <c r="F743" s="1" t="s">
        <v>16</v>
      </c>
      <c r="G743" s="1" t="s">
        <v>82</v>
      </c>
      <c r="H743" s="1" t="s">
        <v>18</v>
      </c>
      <c r="I743" s="3">
        <f>+2250564326504</f>
        <v>2250564326504</v>
      </c>
      <c r="J743" s="3">
        <f>+2250505258333</f>
        <v>2250505258333</v>
      </c>
      <c r="K743" s="1" t="s">
        <v>19</v>
      </c>
      <c r="L743" s="4" t="s">
        <v>2707</v>
      </c>
    </row>
    <row r="744">
      <c r="A744" s="1" t="s">
        <v>12</v>
      </c>
      <c r="B744" s="1" t="s">
        <v>2708</v>
      </c>
      <c r="C744" s="1" t="s">
        <v>2702</v>
      </c>
      <c r="D744" s="1" t="s">
        <v>2709</v>
      </c>
      <c r="E744" s="2">
        <v>38009.0</v>
      </c>
      <c r="F744" s="1" t="s">
        <v>92</v>
      </c>
      <c r="G744" s="1" t="s">
        <v>76</v>
      </c>
      <c r="H744" s="1" t="s">
        <v>32</v>
      </c>
      <c r="I744" s="3">
        <f>+2250172987528</f>
        <v>2250172987528</v>
      </c>
      <c r="J744" s="3">
        <f>+2250747841884</f>
        <v>2250747841884</v>
      </c>
      <c r="K744" s="1" t="s">
        <v>19</v>
      </c>
      <c r="L744" s="4" t="s">
        <v>2710</v>
      </c>
    </row>
    <row r="745">
      <c r="A745" s="1" t="s">
        <v>12</v>
      </c>
      <c r="B745" s="1" t="s">
        <v>2711</v>
      </c>
      <c r="C745" s="1" t="s">
        <v>2702</v>
      </c>
      <c r="D745" s="1" t="s">
        <v>104</v>
      </c>
      <c r="E745" s="5">
        <v>37602.0</v>
      </c>
      <c r="F745" s="1" t="s">
        <v>155</v>
      </c>
      <c r="G745" s="1" t="s">
        <v>76</v>
      </c>
      <c r="H745" s="1" t="s">
        <v>32</v>
      </c>
      <c r="I745" s="3">
        <f>+2250797556687</f>
        <v>2250797556687</v>
      </c>
      <c r="J745" s="3">
        <f>+2250506300481</f>
        <v>2250506300481</v>
      </c>
      <c r="K745" s="1" t="s">
        <v>19</v>
      </c>
      <c r="L745" s="4" t="s">
        <v>2712</v>
      </c>
    </row>
    <row r="746">
      <c r="A746" s="1" t="s">
        <v>12</v>
      </c>
      <c r="B746" s="1" t="s">
        <v>2713</v>
      </c>
      <c r="C746" s="1" t="s">
        <v>2702</v>
      </c>
      <c r="D746" s="1" t="s">
        <v>2627</v>
      </c>
      <c r="E746" s="5">
        <v>38636.0</v>
      </c>
      <c r="F746" s="1" t="s">
        <v>75</v>
      </c>
      <c r="G746" s="1" t="s">
        <v>76</v>
      </c>
      <c r="H746" s="1" t="s">
        <v>32</v>
      </c>
      <c r="I746" s="3">
        <f>+2250594916535</f>
        <v>2250594916535</v>
      </c>
      <c r="J746" s="3">
        <f>+2250708051004</f>
        <v>2250708051004</v>
      </c>
      <c r="K746" s="1" t="s">
        <v>19</v>
      </c>
      <c r="L746" s="4" t="s">
        <v>2714</v>
      </c>
    </row>
    <row r="747">
      <c r="A747" s="1" t="s">
        <v>12</v>
      </c>
      <c r="B747" s="1" t="s">
        <v>2715</v>
      </c>
      <c r="C747" s="1" t="s">
        <v>2702</v>
      </c>
      <c r="D747" s="1" t="s">
        <v>2716</v>
      </c>
      <c r="E747" s="2">
        <v>37987.0</v>
      </c>
      <c r="F747" s="1" t="s">
        <v>586</v>
      </c>
      <c r="G747" s="1" t="s">
        <v>82</v>
      </c>
      <c r="H747" s="1" t="s">
        <v>18</v>
      </c>
      <c r="I747" s="3">
        <f>+2250759419559</f>
        <v>2250759419559</v>
      </c>
      <c r="J747" s="3">
        <f>+2250708811630</f>
        <v>2250708811630</v>
      </c>
      <c r="K747" s="1" t="s">
        <v>19</v>
      </c>
      <c r="L747" s="4" t="s">
        <v>2717</v>
      </c>
    </row>
    <row r="748">
      <c r="A748" s="1" t="s">
        <v>12</v>
      </c>
      <c r="B748" s="1" t="s">
        <v>2718</v>
      </c>
      <c r="C748" s="1" t="s">
        <v>2702</v>
      </c>
      <c r="D748" s="1" t="s">
        <v>2719</v>
      </c>
      <c r="E748" s="5">
        <v>37611.0</v>
      </c>
      <c r="F748" s="1" t="s">
        <v>48</v>
      </c>
      <c r="G748" s="1" t="s">
        <v>31</v>
      </c>
      <c r="H748" s="1" t="s">
        <v>32</v>
      </c>
      <c r="I748" s="3">
        <f>+2250705443976</f>
        <v>2250705443976</v>
      </c>
      <c r="J748" s="3">
        <f>+2250757228833</f>
        <v>2250757228833</v>
      </c>
      <c r="K748" s="1" t="s">
        <v>19</v>
      </c>
      <c r="L748" s="4" t="s">
        <v>2720</v>
      </c>
    </row>
    <row r="749">
      <c r="A749" s="1" t="s">
        <v>12</v>
      </c>
      <c r="B749" s="1" t="s">
        <v>2721</v>
      </c>
      <c r="C749" s="1" t="s">
        <v>2702</v>
      </c>
      <c r="D749" s="1" t="s">
        <v>2722</v>
      </c>
      <c r="E749" s="2">
        <v>37790.0</v>
      </c>
      <c r="F749" s="1" t="s">
        <v>16</v>
      </c>
      <c r="G749" s="1" t="s">
        <v>17</v>
      </c>
      <c r="H749" s="1" t="s">
        <v>18</v>
      </c>
      <c r="I749" s="3">
        <f>+2250566600084</f>
        <v>2250566600084</v>
      </c>
      <c r="J749" s="3">
        <f>+2250788063621</f>
        <v>2250788063621</v>
      </c>
      <c r="K749" s="1" t="s">
        <v>19</v>
      </c>
      <c r="L749" s="4" t="s">
        <v>2723</v>
      </c>
    </row>
    <row r="750">
      <c r="A750" s="1" t="s">
        <v>12</v>
      </c>
      <c r="B750" s="1" t="s">
        <v>2724</v>
      </c>
      <c r="C750" s="1" t="s">
        <v>2702</v>
      </c>
      <c r="D750" s="1" t="s">
        <v>2725</v>
      </c>
      <c r="E750" s="2">
        <v>37727.0</v>
      </c>
      <c r="F750" s="1" t="s">
        <v>101</v>
      </c>
      <c r="G750" s="1" t="s">
        <v>31</v>
      </c>
      <c r="H750" s="1" t="s">
        <v>32</v>
      </c>
      <c r="I750" s="3">
        <f>+2250102571322</f>
        <v>2250102571322</v>
      </c>
      <c r="J750" s="3">
        <f>+2250101514760</f>
        <v>2250101514760</v>
      </c>
      <c r="K750" s="1" t="s">
        <v>19</v>
      </c>
      <c r="L750" s="4" t="s">
        <v>2726</v>
      </c>
    </row>
    <row r="751">
      <c r="A751" s="1" t="s">
        <v>12</v>
      </c>
      <c r="B751" s="1" t="s">
        <v>2727</v>
      </c>
      <c r="C751" s="1" t="s">
        <v>2702</v>
      </c>
      <c r="D751" s="1" t="s">
        <v>2728</v>
      </c>
      <c r="E751" s="5">
        <v>36882.0</v>
      </c>
      <c r="F751" s="1" t="s">
        <v>167</v>
      </c>
      <c r="G751" s="1" t="s">
        <v>17</v>
      </c>
      <c r="H751" s="1" t="s">
        <v>18</v>
      </c>
      <c r="I751" s="3">
        <f>+2250748302413</f>
        <v>2250748302413</v>
      </c>
      <c r="J751" s="3">
        <f>+2250707421801</f>
        <v>2250707421801</v>
      </c>
      <c r="K751" s="1" t="s">
        <v>19</v>
      </c>
      <c r="L751" s="4" t="s">
        <v>2729</v>
      </c>
    </row>
    <row r="752">
      <c r="A752" s="1" t="s">
        <v>12</v>
      </c>
      <c r="B752" s="1" t="s">
        <v>2730</v>
      </c>
      <c r="C752" s="1" t="s">
        <v>2702</v>
      </c>
      <c r="D752" s="1" t="s">
        <v>2731</v>
      </c>
      <c r="E752" s="2">
        <v>38234.0</v>
      </c>
      <c r="F752" s="1" t="s">
        <v>62</v>
      </c>
      <c r="G752" s="1" t="s">
        <v>17</v>
      </c>
      <c r="H752" s="1" t="s">
        <v>18</v>
      </c>
      <c r="I752" s="3">
        <f>+2250778735097</f>
        <v>2250778735097</v>
      </c>
      <c r="J752" s="3">
        <f>+2250708006495</f>
        <v>2250708006495</v>
      </c>
      <c r="K752" s="1" t="s">
        <v>19</v>
      </c>
      <c r="L752" s="4" t="s">
        <v>2732</v>
      </c>
    </row>
    <row r="753">
      <c r="A753" s="1" t="s">
        <v>12</v>
      </c>
      <c r="B753" s="1" t="s">
        <v>2733</v>
      </c>
      <c r="C753" s="1" t="s">
        <v>2702</v>
      </c>
      <c r="D753" s="1" t="s">
        <v>2734</v>
      </c>
      <c r="E753" s="2">
        <v>37484.0</v>
      </c>
      <c r="F753" s="1" t="s">
        <v>16</v>
      </c>
      <c r="G753" s="1" t="s">
        <v>25</v>
      </c>
      <c r="H753" s="1" t="s">
        <v>18</v>
      </c>
      <c r="I753" s="3">
        <f>+2250767797638</f>
        <v>2250767797638</v>
      </c>
      <c r="J753" s="3">
        <f>+2250769783965</f>
        <v>2250769783965</v>
      </c>
      <c r="K753" s="1" t="s">
        <v>19</v>
      </c>
      <c r="L753" s="4" t="s">
        <v>2735</v>
      </c>
    </row>
    <row r="754">
      <c r="A754" s="1" t="s">
        <v>12</v>
      </c>
      <c r="B754" s="1" t="s">
        <v>2736</v>
      </c>
      <c r="C754" s="1" t="s">
        <v>2702</v>
      </c>
      <c r="D754" s="1" t="s">
        <v>2737</v>
      </c>
      <c r="E754" s="2">
        <v>38260.0</v>
      </c>
      <c r="F754" s="1" t="s">
        <v>62</v>
      </c>
      <c r="G754" s="1" t="s">
        <v>25</v>
      </c>
      <c r="H754" s="1" t="s">
        <v>18</v>
      </c>
      <c r="I754" s="3">
        <f>+2250565854760</f>
        <v>2250565854760</v>
      </c>
      <c r="J754" s="3">
        <f>+2250707342642</f>
        <v>2250707342642</v>
      </c>
      <c r="K754" s="1" t="s">
        <v>19</v>
      </c>
      <c r="L754" s="4" t="s">
        <v>2738</v>
      </c>
    </row>
    <row r="755">
      <c r="A755" s="1" t="s">
        <v>12</v>
      </c>
      <c r="B755" s="1" t="s">
        <v>2739</v>
      </c>
      <c r="C755" s="1" t="s">
        <v>2702</v>
      </c>
      <c r="D755" s="1" t="s">
        <v>2740</v>
      </c>
      <c r="E755" s="2">
        <v>37035.0</v>
      </c>
      <c r="F755" s="1" t="s">
        <v>101</v>
      </c>
      <c r="G755" s="1" t="s">
        <v>31</v>
      </c>
      <c r="H755" s="1" t="s">
        <v>32</v>
      </c>
      <c r="I755" s="3">
        <f>+2250103526185</f>
        <v>2250103526185</v>
      </c>
      <c r="J755" s="3">
        <f>+2250141439665</f>
        <v>2250141439665</v>
      </c>
      <c r="K755" s="1" t="s">
        <v>19</v>
      </c>
      <c r="L755" s="4" t="s">
        <v>2741</v>
      </c>
    </row>
    <row r="756">
      <c r="A756" s="1" t="s">
        <v>12</v>
      </c>
      <c r="B756" s="1" t="s">
        <v>2742</v>
      </c>
      <c r="C756" s="1" t="s">
        <v>2702</v>
      </c>
      <c r="D756" s="1" t="s">
        <v>2743</v>
      </c>
      <c r="E756" s="2">
        <v>37096.0</v>
      </c>
      <c r="F756" s="1" t="s">
        <v>48</v>
      </c>
      <c r="G756" s="1" t="s">
        <v>76</v>
      </c>
      <c r="H756" s="1" t="s">
        <v>32</v>
      </c>
      <c r="I756" s="3">
        <f>+2250789449605</f>
        <v>2250789449605</v>
      </c>
      <c r="J756" s="3">
        <f>+2250707163580</f>
        <v>2250707163580</v>
      </c>
      <c r="K756" s="1" t="s">
        <v>19</v>
      </c>
      <c r="L756" s="4" t="s">
        <v>2744</v>
      </c>
    </row>
    <row r="757">
      <c r="A757" s="1" t="s">
        <v>12</v>
      </c>
      <c r="B757" s="1" t="s">
        <v>2745</v>
      </c>
      <c r="C757" s="1" t="s">
        <v>2702</v>
      </c>
      <c r="D757" s="1" t="s">
        <v>2642</v>
      </c>
      <c r="E757" s="2">
        <v>35903.0</v>
      </c>
      <c r="F757" s="1" t="s">
        <v>53</v>
      </c>
      <c r="G757" s="1" t="s">
        <v>17</v>
      </c>
      <c r="H757" s="1" t="s">
        <v>18</v>
      </c>
      <c r="I757" s="3">
        <f>+2250151546857</f>
        <v>2250151546857</v>
      </c>
      <c r="J757" s="3">
        <f>+2250787756646</f>
        <v>2250787756646</v>
      </c>
      <c r="K757" s="1" t="s">
        <v>19</v>
      </c>
      <c r="L757" s="4" t="s">
        <v>2746</v>
      </c>
    </row>
    <row r="758">
      <c r="A758" s="1" t="s">
        <v>12</v>
      </c>
      <c r="B758" s="1" t="s">
        <v>2747</v>
      </c>
      <c r="C758" s="1" t="s">
        <v>2702</v>
      </c>
      <c r="D758" s="1" t="s">
        <v>2748</v>
      </c>
      <c r="E758" s="2">
        <v>38324.0</v>
      </c>
      <c r="F758" s="1" t="s">
        <v>53</v>
      </c>
      <c r="G758" s="1" t="s">
        <v>25</v>
      </c>
      <c r="H758" s="1" t="s">
        <v>18</v>
      </c>
      <c r="I758" s="3">
        <f>+2250707248153</f>
        <v>2250707248153</v>
      </c>
      <c r="J758" s="3">
        <f>+2250102445712</f>
        <v>2250102445712</v>
      </c>
      <c r="K758" s="1" t="s">
        <v>19</v>
      </c>
      <c r="L758" s="4" t="s">
        <v>2749</v>
      </c>
    </row>
    <row r="759">
      <c r="A759" s="1" t="s">
        <v>12</v>
      </c>
      <c r="B759" s="1" t="s">
        <v>2750</v>
      </c>
      <c r="C759" s="1" t="s">
        <v>2702</v>
      </c>
      <c r="D759" s="1" t="s">
        <v>2751</v>
      </c>
      <c r="E759" s="2">
        <v>38613.0</v>
      </c>
      <c r="F759" s="1" t="s">
        <v>155</v>
      </c>
      <c r="G759" s="1" t="s">
        <v>76</v>
      </c>
      <c r="H759" s="1" t="s">
        <v>32</v>
      </c>
      <c r="I759" s="3">
        <f>+2250556407436</f>
        <v>2250556407436</v>
      </c>
      <c r="J759" s="3">
        <f>+2250757283777</f>
        <v>2250757283777</v>
      </c>
      <c r="K759" s="1" t="s">
        <v>19</v>
      </c>
      <c r="L759" s="4" t="s">
        <v>2752</v>
      </c>
    </row>
    <row r="760">
      <c r="A760" s="1" t="s">
        <v>12</v>
      </c>
      <c r="B760" s="1" t="s">
        <v>2753</v>
      </c>
      <c r="C760" s="1" t="s">
        <v>2702</v>
      </c>
      <c r="D760" s="1" t="s">
        <v>2754</v>
      </c>
      <c r="E760" s="2">
        <v>37402.0</v>
      </c>
      <c r="F760" s="1" t="s">
        <v>92</v>
      </c>
      <c r="G760" s="1" t="s">
        <v>31</v>
      </c>
      <c r="H760" s="1" t="s">
        <v>32</v>
      </c>
      <c r="I760" s="3">
        <f>+2250586541075</f>
        <v>2250586541075</v>
      </c>
      <c r="J760" s="3">
        <f>+2250505175015</f>
        <v>2250505175015</v>
      </c>
      <c r="K760" s="1" t="s">
        <v>19</v>
      </c>
      <c r="L760" s="4" t="s">
        <v>2755</v>
      </c>
    </row>
    <row r="761">
      <c r="A761" s="1" t="s">
        <v>12</v>
      </c>
      <c r="B761" s="1" t="s">
        <v>2756</v>
      </c>
      <c r="C761" s="1" t="s">
        <v>2702</v>
      </c>
      <c r="D761" s="1" t="s">
        <v>2757</v>
      </c>
      <c r="E761" s="2">
        <v>37591.0</v>
      </c>
      <c r="F761" s="1" t="s">
        <v>342</v>
      </c>
      <c r="G761" s="1" t="s">
        <v>82</v>
      </c>
      <c r="H761" s="1" t="s">
        <v>18</v>
      </c>
      <c r="I761" s="3">
        <f>+2250586220954</f>
        <v>2250586220954</v>
      </c>
      <c r="J761" s="3">
        <f>+2250749544054</f>
        <v>2250749544054</v>
      </c>
      <c r="K761" s="1" t="s">
        <v>19</v>
      </c>
      <c r="L761" s="4" t="s">
        <v>2758</v>
      </c>
    </row>
    <row r="762">
      <c r="A762" s="1" t="s">
        <v>12</v>
      </c>
      <c r="B762" s="1" t="s">
        <v>2759</v>
      </c>
      <c r="C762" s="1" t="s">
        <v>2702</v>
      </c>
      <c r="D762" s="1" t="s">
        <v>2760</v>
      </c>
      <c r="E762" s="2">
        <v>37754.0</v>
      </c>
      <c r="F762" s="1" t="s">
        <v>53</v>
      </c>
      <c r="G762" s="1" t="s">
        <v>17</v>
      </c>
      <c r="H762" s="1" t="s">
        <v>18</v>
      </c>
      <c r="I762" s="3">
        <f>+2250507787703</f>
        <v>2250507787703</v>
      </c>
      <c r="J762" s="3">
        <f>+2250506072040</f>
        <v>2250506072040</v>
      </c>
      <c r="K762" s="1" t="s">
        <v>19</v>
      </c>
      <c r="L762" s="4" t="s">
        <v>2761</v>
      </c>
    </row>
    <row r="763">
      <c r="A763" s="1" t="s">
        <v>12</v>
      </c>
      <c r="B763" s="1" t="s">
        <v>2762</v>
      </c>
      <c r="C763" s="1" t="s">
        <v>2702</v>
      </c>
      <c r="D763" s="1" t="s">
        <v>2760</v>
      </c>
      <c r="E763" s="2">
        <v>38416.0</v>
      </c>
      <c r="F763" s="1" t="s">
        <v>48</v>
      </c>
      <c r="G763" s="1" t="s">
        <v>31</v>
      </c>
      <c r="H763" s="1" t="s">
        <v>32</v>
      </c>
      <c r="I763" s="3">
        <f>+2250778325774</f>
        <v>2250778325774</v>
      </c>
      <c r="J763" s="3">
        <f>+2250757125034</f>
        <v>2250757125034</v>
      </c>
      <c r="K763" s="1" t="s">
        <v>19</v>
      </c>
      <c r="L763" s="4" t="s">
        <v>2763</v>
      </c>
    </row>
    <row r="764">
      <c r="A764" s="1" t="s">
        <v>12</v>
      </c>
      <c r="B764" s="1" t="s">
        <v>2764</v>
      </c>
      <c r="C764" s="1" t="s">
        <v>2702</v>
      </c>
      <c r="D764" s="1" t="s">
        <v>2765</v>
      </c>
      <c r="E764" s="2">
        <v>37653.0</v>
      </c>
      <c r="F764" s="1" t="s">
        <v>16</v>
      </c>
      <c r="G764" s="1" t="s">
        <v>17</v>
      </c>
      <c r="H764" s="1" t="s">
        <v>18</v>
      </c>
      <c r="I764" s="3">
        <f>+2250788858664</f>
        <v>2250788858664</v>
      </c>
      <c r="J764" s="3">
        <f>+2250143119914</f>
        <v>2250143119914</v>
      </c>
      <c r="K764" s="1" t="s">
        <v>19</v>
      </c>
      <c r="L764" s="4" t="s">
        <v>2766</v>
      </c>
    </row>
    <row r="765">
      <c r="A765" s="1" t="s">
        <v>12</v>
      </c>
      <c r="B765" s="1" t="s">
        <v>2767</v>
      </c>
      <c r="C765" s="1" t="s">
        <v>2702</v>
      </c>
      <c r="D765" s="1" t="s">
        <v>2768</v>
      </c>
      <c r="E765" s="2">
        <v>37468.0</v>
      </c>
      <c r="F765" s="1" t="s">
        <v>16</v>
      </c>
      <c r="G765" s="1" t="s">
        <v>17</v>
      </c>
      <c r="H765" s="1" t="s">
        <v>18</v>
      </c>
      <c r="I765" s="3">
        <f>+2250151153369</f>
        <v>2250151153369</v>
      </c>
      <c r="J765" s="3">
        <f>+2250777133757</f>
        <v>2250777133757</v>
      </c>
      <c r="K765" s="1" t="s">
        <v>19</v>
      </c>
      <c r="L765" s="4" t="s">
        <v>2769</v>
      </c>
    </row>
    <row r="766">
      <c r="A766" s="1" t="s">
        <v>12</v>
      </c>
      <c r="B766" s="1" t="s">
        <v>2770</v>
      </c>
      <c r="C766" s="1" t="s">
        <v>2702</v>
      </c>
      <c r="D766" s="1" t="s">
        <v>2771</v>
      </c>
      <c r="E766" s="2">
        <v>37566.0</v>
      </c>
      <c r="F766" s="1" t="s">
        <v>87</v>
      </c>
      <c r="G766" s="1" t="s">
        <v>31</v>
      </c>
      <c r="H766" s="1" t="s">
        <v>32</v>
      </c>
      <c r="I766" s="3">
        <f>+2250544632758</f>
        <v>2250544632758</v>
      </c>
      <c r="J766" s="3">
        <f>+2250506769729</f>
        <v>2250506769729</v>
      </c>
      <c r="K766" s="1" t="s">
        <v>19</v>
      </c>
      <c r="L766" s="4" t="s">
        <v>2772</v>
      </c>
    </row>
    <row r="767">
      <c r="A767" s="1" t="s">
        <v>12</v>
      </c>
      <c r="B767" s="1" t="s">
        <v>2773</v>
      </c>
      <c r="C767" s="1" t="s">
        <v>2702</v>
      </c>
      <c r="D767" s="1" t="s">
        <v>2774</v>
      </c>
      <c r="E767" s="5">
        <v>38671.0</v>
      </c>
      <c r="F767" s="1" t="s">
        <v>155</v>
      </c>
      <c r="G767" s="1" t="s">
        <v>76</v>
      </c>
      <c r="H767" s="1" t="s">
        <v>32</v>
      </c>
      <c r="I767" s="3">
        <f>+2250101910161</f>
        <v>2250101910161</v>
      </c>
      <c r="J767" s="3">
        <f>+2250747851928</f>
        <v>2250747851928</v>
      </c>
      <c r="K767" s="1" t="s">
        <v>19</v>
      </c>
      <c r="L767" s="4" t="s">
        <v>2775</v>
      </c>
    </row>
    <row r="768">
      <c r="A768" s="1" t="s">
        <v>12</v>
      </c>
      <c r="B768" s="1" t="s">
        <v>2776</v>
      </c>
      <c r="C768" s="1" t="s">
        <v>2702</v>
      </c>
      <c r="D768" s="1" t="s">
        <v>2777</v>
      </c>
      <c r="E768" s="2">
        <v>37709.0</v>
      </c>
      <c r="F768" s="1" t="s">
        <v>155</v>
      </c>
      <c r="G768" s="1" t="s">
        <v>76</v>
      </c>
      <c r="H768" s="1" t="s">
        <v>32</v>
      </c>
      <c r="I768" s="3">
        <f>+2250596610239</f>
        <v>2250596610239</v>
      </c>
      <c r="J768" s="3">
        <f>+2250544705481</f>
        <v>2250544705481</v>
      </c>
      <c r="K768" s="1" t="s">
        <v>19</v>
      </c>
      <c r="L768" s="4" t="s">
        <v>2778</v>
      </c>
    </row>
    <row r="769">
      <c r="A769" s="1" t="s">
        <v>12</v>
      </c>
      <c r="B769" s="1" t="s">
        <v>2779</v>
      </c>
      <c r="C769" s="1" t="s">
        <v>2702</v>
      </c>
      <c r="D769" s="1" t="s">
        <v>2780</v>
      </c>
      <c r="E769" s="2">
        <v>38121.0</v>
      </c>
      <c r="F769" s="1" t="s">
        <v>101</v>
      </c>
      <c r="G769" s="1" t="s">
        <v>17</v>
      </c>
      <c r="H769" s="1" t="s">
        <v>18</v>
      </c>
      <c r="I769" s="3">
        <f>+2250703809459</f>
        <v>2250703809459</v>
      </c>
      <c r="J769" s="3">
        <f>+2250707163136</f>
        <v>2250707163136</v>
      </c>
      <c r="K769" s="1" t="s">
        <v>19</v>
      </c>
      <c r="L769" s="4" t="s">
        <v>2781</v>
      </c>
    </row>
    <row r="770">
      <c r="A770" s="1" t="s">
        <v>12</v>
      </c>
      <c r="B770" s="1" t="s">
        <v>2782</v>
      </c>
      <c r="C770" s="1" t="s">
        <v>2702</v>
      </c>
      <c r="D770" s="1" t="s">
        <v>2783</v>
      </c>
      <c r="E770" s="2">
        <v>37694.0</v>
      </c>
      <c r="F770" s="1" t="s">
        <v>586</v>
      </c>
      <c r="G770" s="1" t="s">
        <v>82</v>
      </c>
      <c r="H770" s="1" t="s">
        <v>18</v>
      </c>
      <c r="I770" s="3">
        <f>+2250747489584</f>
        <v>2250747489584</v>
      </c>
      <c r="J770" s="3">
        <f>+2250101141980</f>
        <v>2250101141980</v>
      </c>
      <c r="K770" s="1" t="s">
        <v>19</v>
      </c>
      <c r="L770" s="4" t="s">
        <v>2784</v>
      </c>
    </row>
    <row r="771">
      <c r="A771" s="1" t="s">
        <v>12</v>
      </c>
      <c r="B771" s="1" t="s">
        <v>2785</v>
      </c>
      <c r="C771" s="1" t="s">
        <v>2702</v>
      </c>
      <c r="D771" s="1" t="s">
        <v>1840</v>
      </c>
      <c r="E771" s="2">
        <v>36835.0</v>
      </c>
      <c r="F771" s="1" t="s">
        <v>75</v>
      </c>
      <c r="G771" s="1" t="s">
        <v>31</v>
      </c>
      <c r="H771" s="1" t="s">
        <v>32</v>
      </c>
      <c r="I771" s="3">
        <f>+2250779814748</f>
        <v>2250779814748</v>
      </c>
      <c r="J771" s="3">
        <f>+2250544373556</f>
        <v>2250544373556</v>
      </c>
      <c r="K771" s="1" t="s">
        <v>19</v>
      </c>
      <c r="L771" s="4" t="s">
        <v>2786</v>
      </c>
    </row>
    <row r="772">
      <c r="A772" s="1" t="s">
        <v>12</v>
      </c>
      <c r="B772" s="1" t="s">
        <v>2787</v>
      </c>
      <c r="C772" s="1" t="s">
        <v>2702</v>
      </c>
      <c r="D772" s="1" t="s">
        <v>2788</v>
      </c>
      <c r="E772" s="2">
        <v>37754.0</v>
      </c>
      <c r="F772" s="1" t="s">
        <v>48</v>
      </c>
      <c r="G772" s="1" t="s">
        <v>76</v>
      </c>
      <c r="H772" s="1" t="s">
        <v>32</v>
      </c>
      <c r="I772" s="3">
        <f>+2250171729855</f>
        <v>2250171729855</v>
      </c>
      <c r="J772" s="3">
        <f>+2250708452391</f>
        <v>2250708452391</v>
      </c>
      <c r="K772" s="1" t="s">
        <v>19</v>
      </c>
      <c r="L772" s="4" t="s">
        <v>2789</v>
      </c>
    </row>
    <row r="773">
      <c r="A773" s="1" t="s">
        <v>12</v>
      </c>
      <c r="B773" s="1" t="s">
        <v>2790</v>
      </c>
      <c r="C773" s="1" t="s">
        <v>2702</v>
      </c>
      <c r="D773" s="1" t="s">
        <v>2791</v>
      </c>
      <c r="E773" s="2">
        <v>38325.0</v>
      </c>
      <c r="F773" s="1" t="s">
        <v>16</v>
      </c>
      <c r="G773" s="1" t="s">
        <v>25</v>
      </c>
      <c r="H773" s="1" t="s">
        <v>18</v>
      </c>
      <c r="I773" s="3">
        <f>+2250585839476</f>
        <v>2250585839476</v>
      </c>
      <c r="J773" s="3">
        <f>+2250748221059</f>
        <v>2250748221059</v>
      </c>
      <c r="K773" s="1" t="s">
        <v>19</v>
      </c>
      <c r="L773" s="4" t="s">
        <v>2792</v>
      </c>
    </row>
    <row r="774">
      <c r="A774" s="1" t="s">
        <v>12</v>
      </c>
      <c r="B774" s="1" t="s">
        <v>2793</v>
      </c>
      <c r="C774" s="1" t="s">
        <v>2702</v>
      </c>
      <c r="D774" s="1" t="s">
        <v>2794</v>
      </c>
      <c r="E774" s="2">
        <v>37349.0</v>
      </c>
      <c r="F774" s="1" t="s">
        <v>110</v>
      </c>
      <c r="G774" s="1" t="s">
        <v>82</v>
      </c>
      <c r="H774" s="1" t="s">
        <v>18</v>
      </c>
      <c r="I774" s="3">
        <f>+2250758579754</f>
        <v>2250758579754</v>
      </c>
      <c r="J774" s="3">
        <f>+2250708907072</f>
        <v>2250708907072</v>
      </c>
      <c r="K774" s="1" t="s">
        <v>19</v>
      </c>
      <c r="L774" s="4" t="s">
        <v>2795</v>
      </c>
    </row>
    <row r="775">
      <c r="A775" s="1" t="s">
        <v>12</v>
      </c>
      <c r="B775" s="1" t="s">
        <v>2796</v>
      </c>
      <c r="C775" s="1" t="s">
        <v>2702</v>
      </c>
      <c r="D775" s="1" t="s">
        <v>2797</v>
      </c>
      <c r="E775" s="2">
        <v>38196.0</v>
      </c>
      <c r="F775" s="1" t="s">
        <v>101</v>
      </c>
      <c r="G775" s="1" t="s">
        <v>76</v>
      </c>
      <c r="H775" s="1" t="s">
        <v>32</v>
      </c>
      <c r="I775" s="3">
        <f>+2250788707143</f>
        <v>2250788707143</v>
      </c>
      <c r="J775" s="3">
        <f>+2250708907634</f>
        <v>2250708907634</v>
      </c>
      <c r="K775" s="1" t="s">
        <v>19</v>
      </c>
      <c r="L775" s="4" t="s">
        <v>2798</v>
      </c>
    </row>
    <row r="776">
      <c r="A776" s="1" t="s">
        <v>12</v>
      </c>
      <c r="B776" s="1" t="s">
        <v>2799</v>
      </c>
      <c r="C776" s="1" t="s">
        <v>2702</v>
      </c>
      <c r="D776" s="1" t="s">
        <v>2800</v>
      </c>
      <c r="E776" s="2">
        <v>38662.0</v>
      </c>
      <c r="F776" s="1" t="s">
        <v>62</v>
      </c>
      <c r="G776" s="1" t="s">
        <v>25</v>
      </c>
      <c r="H776" s="1" t="s">
        <v>18</v>
      </c>
      <c r="I776" s="3">
        <f>+2250710738227</f>
        <v>2250710738227</v>
      </c>
      <c r="J776" s="3">
        <f>+2250575272204</f>
        <v>2250575272204</v>
      </c>
      <c r="K776" s="1" t="s">
        <v>19</v>
      </c>
      <c r="L776" s="4" t="s">
        <v>2801</v>
      </c>
    </row>
    <row r="777">
      <c r="A777" s="1" t="s">
        <v>12</v>
      </c>
      <c r="B777" s="1" t="s">
        <v>2802</v>
      </c>
      <c r="C777" s="1" t="s">
        <v>2702</v>
      </c>
      <c r="D777" s="1" t="s">
        <v>2803</v>
      </c>
      <c r="E777" s="2">
        <v>38152.0</v>
      </c>
      <c r="F777" s="1" t="s">
        <v>62</v>
      </c>
      <c r="G777" s="1" t="s">
        <v>17</v>
      </c>
      <c r="H777" s="1" t="s">
        <v>18</v>
      </c>
      <c r="I777" s="3">
        <f>+2250777405185</f>
        <v>2250777405185</v>
      </c>
      <c r="J777" s="3">
        <f>+2250749363634</f>
        <v>2250749363634</v>
      </c>
      <c r="K777" s="1" t="s">
        <v>19</v>
      </c>
      <c r="L777" s="4" t="s">
        <v>2804</v>
      </c>
    </row>
    <row r="778">
      <c r="A778" s="1" t="s">
        <v>12</v>
      </c>
      <c r="B778" s="1" t="s">
        <v>2805</v>
      </c>
      <c r="C778" s="1" t="s">
        <v>2702</v>
      </c>
      <c r="D778" s="1" t="s">
        <v>2806</v>
      </c>
      <c r="E778" s="2">
        <v>37087.0</v>
      </c>
      <c r="F778" s="1" t="s">
        <v>138</v>
      </c>
      <c r="G778" s="1" t="s">
        <v>76</v>
      </c>
      <c r="H778" s="1" t="s">
        <v>32</v>
      </c>
      <c r="I778" s="3">
        <f>+2250546088059</f>
        <v>2250546088059</v>
      </c>
      <c r="J778" s="3">
        <f>+2250506589019</f>
        <v>2250506589019</v>
      </c>
      <c r="K778" s="1" t="s">
        <v>19</v>
      </c>
      <c r="L778" s="4" t="s">
        <v>2807</v>
      </c>
    </row>
    <row r="779">
      <c r="A779" s="1" t="s">
        <v>12</v>
      </c>
      <c r="B779" s="1" t="s">
        <v>2808</v>
      </c>
      <c r="C779" s="1" t="s">
        <v>2702</v>
      </c>
      <c r="D779" s="1" t="s">
        <v>2806</v>
      </c>
      <c r="E779" s="5">
        <v>39012.0</v>
      </c>
      <c r="F779" s="1" t="s">
        <v>155</v>
      </c>
      <c r="G779" s="1" t="s">
        <v>76</v>
      </c>
      <c r="H779" s="1" t="s">
        <v>32</v>
      </c>
      <c r="I779" s="3">
        <f>+2250748575004</f>
        <v>2250748575004</v>
      </c>
      <c r="J779" s="3">
        <f>+2250759133428</f>
        <v>2250759133428</v>
      </c>
      <c r="K779" s="1" t="s">
        <v>19</v>
      </c>
      <c r="L779" s="4" t="s">
        <v>2809</v>
      </c>
    </row>
    <row r="780">
      <c r="A780" s="1" t="s">
        <v>12</v>
      </c>
      <c r="B780" s="1" t="s">
        <v>2810</v>
      </c>
      <c r="C780" s="1" t="s">
        <v>2702</v>
      </c>
      <c r="D780" s="1" t="s">
        <v>2811</v>
      </c>
      <c r="E780" s="2">
        <v>37569.0</v>
      </c>
      <c r="F780" s="1" t="s">
        <v>62</v>
      </c>
      <c r="G780" s="1" t="s">
        <v>17</v>
      </c>
      <c r="H780" s="1" t="s">
        <v>18</v>
      </c>
      <c r="I780" s="3">
        <f>+2250556472230</f>
        <v>2250556472230</v>
      </c>
      <c r="J780" s="3">
        <f>+2250505317599</f>
        <v>2250505317599</v>
      </c>
      <c r="K780" s="1" t="s">
        <v>19</v>
      </c>
      <c r="L780" s="4" t="s">
        <v>2812</v>
      </c>
    </row>
    <row r="781">
      <c r="A781" s="1" t="s">
        <v>12</v>
      </c>
      <c r="B781" s="1" t="s">
        <v>2813</v>
      </c>
      <c r="C781" s="1" t="s">
        <v>2702</v>
      </c>
      <c r="D781" s="1" t="s">
        <v>2814</v>
      </c>
      <c r="E781" s="2">
        <v>36002.0</v>
      </c>
      <c r="F781" s="1" t="s">
        <v>16</v>
      </c>
      <c r="G781" s="1" t="s">
        <v>17</v>
      </c>
      <c r="H781" s="1" t="s">
        <v>18</v>
      </c>
      <c r="I781" s="3">
        <f>+2250507002340</f>
        <v>2250507002340</v>
      </c>
      <c r="J781" s="3">
        <f>+2250748711246</f>
        <v>2250748711246</v>
      </c>
      <c r="K781" s="1" t="s">
        <v>19</v>
      </c>
      <c r="L781" s="4" t="s">
        <v>2815</v>
      </c>
    </row>
    <row r="782">
      <c r="A782" s="1" t="s">
        <v>12</v>
      </c>
      <c r="B782" s="1" t="s">
        <v>2816</v>
      </c>
      <c r="C782" s="1" t="s">
        <v>2702</v>
      </c>
      <c r="D782" s="1" t="s">
        <v>2817</v>
      </c>
      <c r="E782" s="2">
        <v>37825.0</v>
      </c>
      <c r="F782" s="1" t="s">
        <v>138</v>
      </c>
      <c r="G782" s="1" t="s">
        <v>31</v>
      </c>
      <c r="H782" s="1" t="s">
        <v>32</v>
      </c>
      <c r="I782" s="3">
        <f>+2250153963820</f>
        <v>2250153963820</v>
      </c>
      <c r="J782" s="3">
        <f>+2250142382279</f>
        <v>2250142382279</v>
      </c>
      <c r="K782" s="1" t="s">
        <v>19</v>
      </c>
      <c r="L782" s="4" t="s">
        <v>2818</v>
      </c>
    </row>
    <row r="783">
      <c r="A783" s="1" t="s">
        <v>12</v>
      </c>
      <c r="B783" s="1" t="s">
        <v>2819</v>
      </c>
      <c r="C783" s="1" t="s">
        <v>2702</v>
      </c>
      <c r="D783" s="1" t="s">
        <v>2820</v>
      </c>
      <c r="E783" s="2">
        <v>36771.0</v>
      </c>
      <c r="F783" s="1" t="s">
        <v>586</v>
      </c>
      <c r="G783" s="1" t="s">
        <v>82</v>
      </c>
      <c r="H783" s="1" t="s">
        <v>18</v>
      </c>
      <c r="I783" s="3">
        <f>+2250545084941</f>
        <v>2250545084941</v>
      </c>
      <c r="J783" s="3">
        <f>+2250505043228</f>
        <v>2250505043228</v>
      </c>
      <c r="K783" s="1" t="s">
        <v>19</v>
      </c>
      <c r="L783" s="4" t="s">
        <v>2821</v>
      </c>
    </row>
    <row r="784">
      <c r="A784" s="1" t="s">
        <v>12</v>
      </c>
      <c r="B784" s="1" t="s">
        <v>2822</v>
      </c>
      <c r="C784" s="1" t="s">
        <v>2702</v>
      </c>
      <c r="D784" s="1" t="s">
        <v>2823</v>
      </c>
      <c r="E784" s="2">
        <v>38027.0</v>
      </c>
      <c r="F784" s="1" t="s">
        <v>138</v>
      </c>
      <c r="G784" s="1" t="s">
        <v>31</v>
      </c>
      <c r="H784" s="1" t="s">
        <v>32</v>
      </c>
      <c r="I784" s="3">
        <f>+2250545582590</f>
        <v>2250545582590</v>
      </c>
      <c r="J784" s="3">
        <f>+2250505595415</f>
        <v>2250505595415</v>
      </c>
      <c r="K784" s="1" t="s">
        <v>19</v>
      </c>
      <c r="L784" s="4" t="s">
        <v>2824</v>
      </c>
    </row>
    <row r="785">
      <c r="A785" s="1" t="s">
        <v>12</v>
      </c>
      <c r="B785" s="1" t="s">
        <v>2825</v>
      </c>
      <c r="C785" s="1" t="s">
        <v>2702</v>
      </c>
      <c r="D785" s="1" t="s">
        <v>2826</v>
      </c>
      <c r="E785" s="2">
        <v>37959.0</v>
      </c>
      <c r="F785" s="1" t="s">
        <v>62</v>
      </c>
      <c r="G785" s="1" t="s">
        <v>25</v>
      </c>
      <c r="H785" s="1" t="s">
        <v>18</v>
      </c>
      <c r="I785" s="3">
        <f>+2250709329648</f>
        <v>2250709329648</v>
      </c>
      <c r="J785" s="3">
        <f>+2250708329648</f>
        <v>2250708329648</v>
      </c>
      <c r="K785" s="1" t="s">
        <v>19</v>
      </c>
      <c r="L785" s="4" t="s">
        <v>2827</v>
      </c>
    </row>
    <row r="786">
      <c r="A786" s="1" t="s">
        <v>12</v>
      </c>
      <c r="B786" s="1" t="s">
        <v>2828</v>
      </c>
      <c r="C786" s="1" t="s">
        <v>2702</v>
      </c>
      <c r="D786" s="1" t="s">
        <v>2829</v>
      </c>
      <c r="E786" s="2">
        <v>37961.0</v>
      </c>
      <c r="F786" s="1" t="s">
        <v>92</v>
      </c>
      <c r="G786" s="1" t="s">
        <v>76</v>
      </c>
      <c r="H786" s="1" t="s">
        <v>32</v>
      </c>
      <c r="I786" s="3">
        <f>+2250789844414</f>
        <v>2250789844414</v>
      </c>
      <c r="J786" s="3">
        <f>+2250544602609</f>
        <v>2250544602609</v>
      </c>
      <c r="K786" s="1" t="s">
        <v>19</v>
      </c>
      <c r="L786" s="4" t="s">
        <v>2830</v>
      </c>
    </row>
    <row r="787">
      <c r="A787" s="1" t="s">
        <v>12</v>
      </c>
      <c r="B787" s="1" t="s">
        <v>2831</v>
      </c>
      <c r="C787" s="1" t="s">
        <v>2702</v>
      </c>
      <c r="D787" s="1" t="s">
        <v>2832</v>
      </c>
      <c r="E787" s="2">
        <v>38660.0</v>
      </c>
      <c r="F787" s="1" t="s">
        <v>288</v>
      </c>
      <c r="G787" s="1" t="s">
        <v>76</v>
      </c>
      <c r="H787" s="1" t="s">
        <v>32</v>
      </c>
      <c r="I787" s="3">
        <f>+2250586253363</f>
        <v>2250586253363</v>
      </c>
      <c r="J787" s="3">
        <f>+2250789695945</f>
        <v>2250789695945</v>
      </c>
      <c r="K787" s="1" t="s">
        <v>19</v>
      </c>
      <c r="L787" s="4" t="s">
        <v>2833</v>
      </c>
    </row>
    <row r="788">
      <c r="A788" s="1" t="s">
        <v>12</v>
      </c>
      <c r="B788" s="1" t="s">
        <v>2834</v>
      </c>
      <c r="C788" s="1" t="s">
        <v>2702</v>
      </c>
      <c r="D788" s="1" t="s">
        <v>2835</v>
      </c>
      <c r="E788" s="2">
        <v>37960.0</v>
      </c>
      <c r="F788" s="1" t="s">
        <v>53</v>
      </c>
      <c r="G788" s="1" t="s">
        <v>17</v>
      </c>
      <c r="H788" s="1" t="s">
        <v>18</v>
      </c>
      <c r="I788" s="3">
        <f>+2250758850952</f>
        <v>2250758850952</v>
      </c>
      <c r="J788" s="3">
        <f>+2250757991049</f>
        <v>2250757991049</v>
      </c>
      <c r="K788" s="1" t="s">
        <v>19</v>
      </c>
      <c r="L788" s="4" t="s">
        <v>2836</v>
      </c>
    </row>
    <row r="789">
      <c r="A789" s="1" t="s">
        <v>12</v>
      </c>
      <c r="B789" s="1" t="s">
        <v>2837</v>
      </c>
      <c r="C789" s="1" t="s">
        <v>2702</v>
      </c>
      <c r="D789" s="1" t="s">
        <v>2838</v>
      </c>
      <c r="E789" s="2">
        <v>38451.0</v>
      </c>
      <c r="F789" s="1" t="s">
        <v>16</v>
      </c>
      <c r="G789" s="1" t="s">
        <v>25</v>
      </c>
      <c r="H789" s="1" t="s">
        <v>18</v>
      </c>
      <c r="I789" s="3">
        <f>+2250575054169</f>
        <v>2250575054169</v>
      </c>
      <c r="J789" s="3">
        <f>+2250707493524</f>
        <v>2250707493524</v>
      </c>
      <c r="K789" s="1" t="s">
        <v>19</v>
      </c>
      <c r="L789" s="4" t="s">
        <v>2839</v>
      </c>
    </row>
    <row r="790">
      <c r="A790" s="1" t="s">
        <v>12</v>
      </c>
      <c r="B790" s="1" t="s">
        <v>2840</v>
      </c>
      <c r="C790" s="1" t="s">
        <v>2702</v>
      </c>
      <c r="D790" s="1" t="s">
        <v>2841</v>
      </c>
      <c r="E790" s="2">
        <v>37791.0</v>
      </c>
      <c r="F790" s="1" t="s">
        <v>16</v>
      </c>
      <c r="G790" s="1" t="s">
        <v>17</v>
      </c>
      <c r="H790" s="1" t="s">
        <v>18</v>
      </c>
      <c r="I790" s="3">
        <f>+2250769950568</f>
        <v>2250769950568</v>
      </c>
      <c r="J790" s="3">
        <f>+2250505798944</f>
        <v>2250505798944</v>
      </c>
      <c r="K790" s="1" t="s">
        <v>19</v>
      </c>
      <c r="L790" s="4" t="s">
        <v>2842</v>
      </c>
    </row>
    <row r="791">
      <c r="A791" s="1" t="s">
        <v>12</v>
      </c>
      <c r="B791" s="1" t="s">
        <v>2843</v>
      </c>
      <c r="C791" s="1" t="s">
        <v>2702</v>
      </c>
      <c r="D791" s="1" t="s">
        <v>2844</v>
      </c>
      <c r="E791" s="2">
        <v>38238.0</v>
      </c>
      <c r="F791" s="1" t="s">
        <v>30</v>
      </c>
      <c r="G791" s="1" t="s">
        <v>76</v>
      </c>
      <c r="H791" s="1" t="s">
        <v>32</v>
      </c>
      <c r="I791" s="3">
        <f>+2250160672096</f>
        <v>2250160672096</v>
      </c>
      <c r="J791" s="3">
        <f>+2250706668566</f>
        <v>2250706668566</v>
      </c>
      <c r="K791" s="1" t="s">
        <v>19</v>
      </c>
      <c r="L791" s="4" t="s">
        <v>2845</v>
      </c>
    </row>
    <row r="792">
      <c r="A792" s="1" t="s">
        <v>12</v>
      </c>
      <c r="B792" s="1" t="s">
        <v>2846</v>
      </c>
      <c r="C792" s="1" t="s">
        <v>2702</v>
      </c>
      <c r="D792" s="1" t="s">
        <v>1735</v>
      </c>
      <c r="E792" s="5">
        <v>37586.0</v>
      </c>
      <c r="F792" s="1" t="s">
        <v>342</v>
      </c>
      <c r="G792" s="1" t="s">
        <v>82</v>
      </c>
      <c r="H792" s="1" t="s">
        <v>18</v>
      </c>
      <c r="I792" s="3">
        <f>+2250574022079</f>
        <v>2250574022079</v>
      </c>
      <c r="J792" s="3">
        <f>+2250506902612</f>
        <v>2250506902612</v>
      </c>
      <c r="K792" s="1" t="s">
        <v>19</v>
      </c>
      <c r="L792" s="4" t="s">
        <v>2847</v>
      </c>
    </row>
    <row r="793">
      <c r="A793" s="1" t="s">
        <v>12</v>
      </c>
      <c r="B793" s="1" t="s">
        <v>2848</v>
      </c>
      <c r="C793" s="1" t="s">
        <v>2702</v>
      </c>
      <c r="D793" s="1" t="s">
        <v>2849</v>
      </c>
      <c r="E793" s="2">
        <v>37404.0</v>
      </c>
      <c r="F793" s="1" t="s">
        <v>97</v>
      </c>
      <c r="G793" s="1" t="s">
        <v>82</v>
      </c>
      <c r="H793" s="1" t="s">
        <v>18</v>
      </c>
      <c r="I793" s="3">
        <f>+2250787614532</f>
        <v>2250787614532</v>
      </c>
      <c r="J793" s="3">
        <f>+2250708303432</f>
        <v>2250708303432</v>
      </c>
      <c r="K793" s="1" t="s">
        <v>19</v>
      </c>
      <c r="L793" s="4" t="s">
        <v>2850</v>
      </c>
    </row>
    <row r="794">
      <c r="A794" s="1" t="s">
        <v>12</v>
      </c>
      <c r="B794" s="1" t="s">
        <v>2851</v>
      </c>
      <c r="C794" s="1" t="s">
        <v>2702</v>
      </c>
      <c r="D794" s="1" t="s">
        <v>2852</v>
      </c>
      <c r="E794" s="2">
        <v>37404.0</v>
      </c>
      <c r="F794" s="1" t="s">
        <v>1723</v>
      </c>
      <c r="G794" s="1" t="s">
        <v>82</v>
      </c>
      <c r="H794" s="1" t="s">
        <v>18</v>
      </c>
      <c r="I794" s="3">
        <f>+2250595011932</f>
        <v>2250595011932</v>
      </c>
      <c r="J794" s="3">
        <f>+2250708208043</f>
        <v>2250708208043</v>
      </c>
      <c r="K794" s="1" t="s">
        <v>19</v>
      </c>
      <c r="L794" s="4" t="s">
        <v>2853</v>
      </c>
    </row>
    <row r="795">
      <c r="A795" s="1" t="s">
        <v>12</v>
      </c>
      <c r="B795" s="1" t="s">
        <v>2854</v>
      </c>
      <c r="C795" s="1" t="s">
        <v>2702</v>
      </c>
      <c r="D795" s="1" t="s">
        <v>2855</v>
      </c>
      <c r="E795" s="2">
        <v>36930.0</v>
      </c>
      <c r="F795" s="1" t="s">
        <v>110</v>
      </c>
      <c r="G795" s="1" t="s">
        <v>82</v>
      </c>
      <c r="H795" s="1" t="s">
        <v>18</v>
      </c>
      <c r="I795" s="3">
        <f>+2250709003443</f>
        <v>2250709003443</v>
      </c>
      <c r="J795" s="3">
        <f>+2250708284040</f>
        <v>2250708284040</v>
      </c>
      <c r="K795" s="1" t="s">
        <v>19</v>
      </c>
      <c r="L795" s="4" t="s">
        <v>2856</v>
      </c>
    </row>
    <row r="796">
      <c r="A796" s="1" t="s">
        <v>12</v>
      </c>
      <c r="B796" s="1" t="s">
        <v>2857</v>
      </c>
      <c r="C796" s="1" t="s">
        <v>2702</v>
      </c>
      <c r="D796" s="1" t="s">
        <v>2858</v>
      </c>
      <c r="E796" s="2">
        <v>37096.0</v>
      </c>
      <c r="F796" s="1" t="s">
        <v>16</v>
      </c>
      <c r="G796" s="1" t="s">
        <v>25</v>
      </c>
      <c r="H796" s="1" t="s">
        <v>18</v>
      </c>
      <c r="I796" s="3">
        <f>+2250544888097</f>
        <v>2250544888097</v>
      </c>
      <c r="J796" s="3">
        <f>+2250707587225</f>
        <v>2250707587225</v>
      </c>
      <c r="K796" s="1" t="s">
        <v>19</v>
      </c>
      <c r="L796" s="4" t="s">
        <v>2859</v>
      </c>
    </row>
    <row r="797">
      <c r="A797" s="1" t="s">
        <v>12</v>
      </c>
      <c r="B797" s="1" t="s">
        <v>2860</v>
      </c>
      <c r="C797" s="1" t="s">
        <v>2702</v>
      </c>
      <c r="D797" s="1" t="s">
        <v>2861</v>
      </c>
      <c r="E797" s="5">
        <v>38304.0</v>
      </c>
      <c r="F797" s="1" t="s">
        <v>62</v>
      </c>
      <c r="G797" s="1" t="s">
        <v>17</v>
      </c>
      <c r="H797" s="1" t="s">
        <v>18</v>
      </c>
      <c r="I797" s="3">
        <f>+2250503877379</f>
        <v>2250503877379</v>
      </c>
      <c r="J797" s="3">
        <f>+2250707815092</f>
        <v>2250707815092</v>
      </c>
      <c r="K797" s="1" t="s">
        <v>19</v>
      </c>
      <c r="L797" s="4" t="s">
        <v>2862</v>
      </c>
    </row>
    <row r="798">
      <c r="A798" s="1" t="s">
        <v>12</v>
      </c>
      <c r="B798" s="1" t="s">
        <v>2863</v>
      </c>
      <c r="C798" s="1" t="s">
        <v>2702</v>
      </c>
      <c r="D798" s="1" t="s">
        <v>2864</v>
      </c>
      <c r="E798" s="2">
        <v>37525.0</v>
      </c>
      <c r="F798" s="1" t="s">
        <v>62</v>
      </c>
      <c r="G798" s="1" t="s">
        <v>17</v>
      </c>
      <c r="H798" s="1" t="s">
        <v>18</v>
      </c>
      <c r="I798" s="3">
        <f>+2250102786530</f>
        <v>2250102786530</v>
      </c>
      <c r="J798" s="3">
        <f>+2250546446929</f>
        <v>2250546446929</v>
      </c>
      <c r="K798" s="1" t="s">
        <v>19</v>
      </c>
      <c r="L798" s="4" t="s">
        <v>2865</v>
      </c>
    </row>
    <row r="799">
      <c r="A799" s="1" t="s">
        <v>12</v>
      </c>
      <c r="B799" s="1" t="s">
        <v>2866</v>
      </c>
      <c r="C799" s="1" t="s">
        <v>2702</v>
      </c>
      <c r="D799" s="1" t="s">
        <v>2867</v>
      </c>
      <c r="E799" s="2">
        <v>36104.0</v>
      </c>
      <c r="F799" s="1" t="s">
        <v>92</v>
      </c>
      <c r="G799" s="1" t="s">
        <v>76</v>
      </c>
      <c r="H799" s="1" t="s">
        <v>32</v>
      </c>
      <c r="I799" s="3">
        <f>+2250758864615</f>
        <v>2250758864615</v>
      </c>
      <c r="J799" s="3">
        <f>+2250707507119</f>
        <v>2250707507119</v>
      </c>
      <c r="K799" s="1" t="s">
        <v>19</v>
      </c>
      <c r="L799" s="4" t="s">
        <v>2868</v>
      </c>
    </row>
    <row r="800">
      <c r="A800" s="1" t="s">
        <v>12</v>
      </c>
      <c r="B800" s="1" t="s">
        <v>2869</v>
      </c>
      <c r="C800" s="1" t="s">
        <v>2702</v>
      </c>
      <c r="D800" s="1" t="s">
        <v>2870</v>
      </c>
      <c r="E800" s="2">
        <v>38429.0</v>
      </c>
      <c r="F800" s="1" t="s">
        <v>62</v>
      </c>
      <c r="G800" s="1" t="s">
        <v>17</v>
      </c>
      <c r="H800" s="1" t="s">
        <v>18</v>
      </c>
      <c r="I800" s="3">
        <f>+2250101034505</f>
        <v>2250101034505</v>
      </c>
      <c r="J800" s="3">
        <f>+2250708162585</f>
        <v>2250708162585</v>
      </c>
      <c r="K800" s="1" t="s">
        <v>19</v>
      </c>
      <c r="L800" s="4" t="s">
        <v>2871</v>
      </c>
    </row>
    <row r="801">
      <c r="A801" s="1" t="s">
        <v>12</v>
      </c>
      <c r="B801" s="1" t="s">
        <v>2872</v>
      </c>
      <c r="C801" s="1" t="s">
        <v>2702</v>
      </c>
      <c r="D801" s="1" t="s">
        <v>2873</v>
      </c>
      <c r="E801" s="2">
        <v>38185.0</v>
      </c>
      <c r="F801" s="1" t="s">
        <v>48</v>
      </c>
      <c r="G801" s="1" t="s">
        <v>76</v>
      </c>
      <c r="H801" s="1" t="s">
        <v>32</v>
      </c>
      <c r="I801" s="3">
        <f>+2250565723251</f>
        <v>2250565723251</v>
      </c>
      <c r="J801" s="3">
        <f>+2250506864098</f>
        <v>2250506864098</v>
      </c>
      <c r="K801" s="1" t="s">
        <v>19</v>
      </c>
      <c r="L801" s="4" t="s">
        <v>2874</v>
      </c>
    </row>
    <row r="802">
      <c r="A802" s="1" t="s">
        <v>12</v>
      </c>
      <c r="B802" s="1" t="s">
        <v>2875</v>
      </c>
      <c r="C802" s="1" t="s">
        <v>2702</v>
      </c>
      <c r="D802" s="1" t="s">
        <v>2876</v>
      </c>
      <c r="E802" s="2">
        <v>38433.0</v>
      </c>
      <c r="F802" s="1" t="s">
        <v>62</v>
      </c>
      <c r="G802" s="1" t="s">
        <v>17</v>
      </c>
      <c r="H802" s="1" t="s">
        <v>18</v>
      </c>
      <c r="I802" s="3">
        <f>+2250153231927</f>
        <v>2250153231927</v>
      </c>
      <c r="J802" s="3">
        <f>+2250788063621</f>
        <v>2250788063621</v>
      </c>
      <c r="K802" s="1" t="s">
        <v>19</v>
      </c>
      <c r="L802" s="4" t="s">
        <v>2877</v>
      </c>
    </row>
    <row r="803">
      <c r="A803" s="1" t="s">
        <v>12</v>
      </c>
      <c r="B803" s="1" t="s">
        <v>2878</v>
      </c>
      <c r="C803" s="1" t="s">
        <v>2702</v>
      </c>
      <c r="D803" s="1" t="s">
        <v>2879</v>
      </c>
      <c r="E803" s="5">
        <v>38333.0</v>
      </c>
      <c r="F803" s="1" t="s">
        <v>62</v>
      </c>
      <c r="G803" s="1" t="s">
        <v>17</v>
      </c>
      <c r="H803" s="1" t="s">
        <v>18</v>
      </c>
      <c r="I803" s="3">
        <f>+2250500689616</f>
        <v>2250500689616</v>
      </c>
      <c r="J803" s="3">
        <f>+2250747111513</f>
        <v>2250747111513</v>
      </c>
      <c r="K803" s="1" t="s">
        <v>19</v>
      </c>
      <c r="L803" s="4" t="s">
        <v>2880</v>
      </c>
    </row>
    <row r="804">
      <c r="A804" s="1" t="s">
        <v>12</v>
      </c>
      <c r="B804" s="1" t="s">
        <v>2881</v>
      </c>
      <c r="C804" s="1" t="s">
        <v>2702</v>
      </c>
      <c r="D804" s="1" t="s">
        <v>2882</v>
      </c>
      <c r="E804" s="2">
        <v>36538.0</v>
      </c>
      <c r="F804" s="1" t="s">
        <v>138</v>
      </c>
      <c r="G804" s="1" t="s">
        <v>31</v>
      </c>
      <c r="H804" s="1" t="s">
        <v>32</v>
      </c>
      <c r="I804" s="3">
        <f>+2250170013005</f>
        <v>2250170013005</v>
      </c>
      <c r="J804" s="3">
        <f>+2250707322716</f>
        <v>2250707322716</v>
      </c>
      <c r="K804" s="1" t="s">
        <v>19</v>
      </c>
      <c r="L804" s="4" t="s">
        <v>2883</v>
      </c>
    </row>
    <row r="805">
      <c r="A805" s="1" t="s">
        <v>12</v>
      </c>
      <c r="B805" s="1" t="s">
        <v>2884</v>
      </c>
      <c r="C805" s="1" t="s">
        <v>2702</v>
      </c>
      <c r="D805" s="1" t="s">
        <v>2885</v>
      </c>
      <c r="E805" s="2">
        <v>38058.0</v>
      </c>
      <c r="F805" s="1" t="s">
        <v>155</v>
      </c>
      <c r="G805" s="1" t="s">
        <v>76</v>
      </c>
      <c r="H805" s="1" t="s">
        <v>32</v>
      </c>
      <c r="I805" s="3">
        <f>+2250505572356</f>
        <v>2250505572356</v>
      </c>
      <c r="J805" s="3">
        <f>+2250556777795</f>
        <v>2250556777795</v>
      </c>
      <c r="K805" s="1" t="s">
        <v>19</v>
      </c>
      <c r="L805" s="4" t="s">
        <v>2886</v>
      </c>
    </row>
    <row r="806">
      <c r="A806" s="1" t="s">
        <v>12</v>
      </c>
      <c r="B806" s="1" t="s">
        <v>2887</v>
      </c>
      <c r="C806" s="1" t="s">
        <v>2702</v>
      </c>
      <c r="D806" s="1" t="s">
        <v>2888</v>
      </c>
      <c r="E806" s="5">
        <v>36881.0</v>
      </c>
      <c r="F806" s="1" t="s">
        <v>16</v>
      </c>
      <c r="G806" s="1" t="s">
        <v>17</v>
      </c>
      <c r="H806" s="1" t="s">
        <v>18</v>
      </c>
      <c r="I806" s="3">
        <f>+2250778772414</f>
        <v>2250778772414</v>
      </c>
      <c r="J806" s="3">
        <f>+2250504081613</f>
        <v>2250504081613</v>
      </c>
      <c r="K806" s="1" t="s">
        <v>19</v>
      </c>
      <c r="L806" s="4" t="s">
        <v>2889</v>
      </c>
    </row>
    <row r="807">
      <c r="A807" s="1" t="s">
        <v>12</v>
      </c>
      <c r="B807" s="1" t="s">
        <v>2890</v>
      </c>
      <c r="C807" s="1" t="s">
        <v>2891</v>
      </c>
      <c r="D807" s="1" t="s">
        <v>2892</v>
      </c>
      <c r="E807" s="5">
        <v>38335.0</v>
      </c>
      <c r="F807" s="1" t="s">
        <v>16</v>
      </c>
      <c r="G807" s="1" t="s">
        <v>25</v>
      </c>
      <c r="H807" s="1" t="s">
        <v>18</v>
      </c>
      <c r="I807" s="3">
        <f>+2250502277600</f>
        <v>2250502277600</v>
      </c>
      <c r="J807" s="3">
        <f>+2250101010948</f>
        <v>2250101010948</v>
      </c>
      <c r="K807" s="1" t="s">
        <v>19</v>
      </c>
      <c r="L807" s="4" t="s">
        <v>2893</v>
      </c>
    </row>
    <row r="808">
      <c r="A808" s="1" t="s">
        <v>12</v>
      </c>
      <c r="B808" s="1" t="s">
        <v>2894</v>
      </c>
      <c r="C808" s="1" t="s">
        <v>2891</v>
      </c>
      <c r="D808" s="1" t="s">
        <v>2895</v>
      </c>
      <c r="E808" s="2">
        <v>36906.0</v>
      </c>
      <c r="F808" s="1" t="s">
        <v>155</v>
      </c>
      <c r="G808" s="1" t="s">
        <v>31</v>
      </c>
      <c r="H808" s="1" t="s">
        <v>32</v>
      </c>
      <c r="I808" s="3">
        <f>+2250566817882</f>
        <v>2250566817882</v>
      </c>
      <c r="J808" s="3">
        <f>+2250141357635</f>
        <v>2250141357635</v>
      </c>
      <c r="K808" s="1" t="s">
        <v>19</v>
      </c>
      <c r="L808" s="4" t="s">
        <v>2896</v>
      </c>
    </row>
    <row r="809">
      <c r="A809" s="1" t="s">
        <v>12</v>
      </c>
      <c r="B809" s="1" t="s">
        <v>2897</v>
      </c>
      <c r="C809" s="1" t="s">
        <v>2898</v>
      </c>
      <c r="D809" s="1" t="s">
        <v>2899</v>
      </c>
      <c r="E809" s="5">
        <v>38640.0</v>
      </c>
      <c r="F809" s="1" t="s">
        <v>62</v>
      </c>
      <c r="G809" s="1" t="s">
        <v>17</v>
      </c>
      <c r="H809" s="1" t="s">
        <v>18</v>
      </c>
      <c r="I809" s="3">
        <f>+2250711635703</f>
        <v>2250711635703</v>
      </c>
      <c r="J809" s="3">
        <f>+2250757136690</f>
        <v>2250757136690</v>
      </c>
      <c r="K809" s="1" t="s">
        <v>19</v>
      </c>
      <c r="L809" s="4" t="s">
        <v>2900</v>
      </c>
    </row>
    <row r="810">
      <c r="A810" s="1" t="s">
        <v>12</v>
      </c>
      <c r="B810" s="1" t="s">
        <v>2901</v>
      </c>
      <c r="C810" s="1" t="s">
        <v>2902</v>
      </c>
      <c r="D810" s="1" t="s">
        <v>2903</v>
      </c>
      <c r="E810" s="2">
        <v>36419.0</v>
      </c>
      <c r="F810" s="1" t="s">
        <v>155</v>
      </c>
      <c r="G810" s="1" t="s">
        <v>82</v>
      </c>
      <c r="H810" s="1" t="s">
        <v>18</v>
      </c>
      <c r="I810" s="3">
        <f>+2250171722539</f>
        <v>2250171722539</v>
      </c>
      <c r="J810" s="3">
        <f>+2250101562681</f>
        <v>2250101562681</v>
      </c>
      <c r="K810" s="1" t="s">
        <v>19</v>
      </c>
      <c r="L810" s="4" t="s">
        <v>2904</v>
      </c>
    </row>
    <row r="811">
      <c r="A811" s="1" t="s">
        <v>12</v>
      </c>
      <c r="B811" s="1" t="s">
        <v>2905</v>
      </c>
      <c r="C811" s="1" t="s">
        <v>2906</v>
      </c>
      <c r="D811" s="1" t="s">
        <v>2907</v>
      </c>
      <c r="E811" s="2">
        <v>37500.0</v>
      </c>
      <c r="F811" s="1" t="s">
        <v>48</v>
      </c>
      <c r="G811" s="1" t="s">
        <v>31</v>
      </c>
      <c r="H811" s="1" t="s">
        <v>32</v>
      </c>
      <c r="I811" s="3">
        <f>+2250143529142</f>
        <v>2250143529142</v>
      </c>
      <c r="J811" s="3">
        <f>+2250707129222</f>
        <v>2250707129222</v>
      </c>
      <c r="K811" s="1" t="s">
        <v>19</v>
      </c>
      <c r="L811" s="4" t="s">
        <v>2908</v>
      </c>
    </row>
    <row r="812">
      <c r="A812" s="1" t="s">
        <v>12</v>
      </c>
      <c r="B812" s="1" t="s">
        <v>2909</v>
      </c>
      <c r="C812" s="1" t="s">
        <v>2910</v>
      </c>
      <c r="D812" s="1" t="s">
        <v>1714</v>
      </c>
      <c r="E812" s="2">
        <v>38498.0</v>
      </c>
      <c r="F812" s="1" t="s">
        <v>53</v>
      </c>
      <c r="G812" s="1" t="s">
        <v>25</v>
      </c>
      <c r="H812" s="1" t="s">
        <v>18</v>
      </c>
      <c r="I812" s="3">
        <f>+2250759188992</f>
        <v>2250759188992</v>
      </c>
      <c r="J812" s="3">
        <f>+2250707136761</f>
        <v>2250707136761</v>
      </c>
      <c r="K812" s="1" t="s">
        <v>19</v>
      </c>
      <c r="L812" s="4" t="s">
        <v>2911</v>
      </c>
    </row>
    <row r="813">
      <c r="A813" s="1" t="s">
        <v>12</v>
      </c>
      <c r="B813" s="1" t="s">
        <v>2912</v>
      </c>
      <c r="C813" s="1" t="s">
        <v>2913</v>
      </c>
      <c r="D813" s="1" t="s">
        <v>2914</v>
      </c>
      <c r="E813" s="2">
        <v>38407.0</v>
      </c>
      <c r="F813" s="1" t="s">
        <v>62</v>
      </c>
      <c r="G813" s="1" t="s">
        <v>17</v>
      </c>
      <c r="H813" s="1" t="s">
        <v>18</v>
      </c>
      <c r="I813" s="3">
        <f>+2250700698411</f>
        <v>2250700698411</v>
      </c>
      <c r="J813" s="3">
        <f>+2250747189974</f>
        <v>2250747189974</v>
      </c>
      <c r="K813" s="1" t="s">
        <v>19</v>
      </c>
      <c r="L813" s="4" t="s">
        <v>2915</v>
      </c>
    </row>
    <row r="814">
      <c r="A814" s="1" t="s">
        <v>12</v>
      </c>
      <c r="B814" s="1" t="s">
        <v>2916</v>
      </c>
      <c r="C814" s="1" t="s">
        <v>2913</v>
      </c>
      <c r="D814" s="1" t="s">
        <v>2917</v>
      </c>
      <c r="E814" s="2">
        <v>38063.0</v>
      </c>
      <c r="F814" s="1" t="s">
        <v>53</v>
      </c>
      <c r="G814" s="1" t="s">
        <v>17</v>
      </c>
      <c r="H814" s="1" t="s">
        <v>18</v>
      </c>
      <c r="I814" s="3">
        <f>+2250103741526</f>
        <v>2250103741526</v>
      </c>
      <c r="J814" s="3">
        <f>+2250707000831</f>
        <v>2250707000831</v>
      </c>
      <c r="K814" s="1" t="s">
        <v>19</v>
      </c>
      <c r="L814" s="4" t="s">
        <v>2918</v>
      </c>
    </row>
    <row r="815">
      <c r="A815" s="1" t="s">
        <v>12</v>
      </c>
      <c r="B815" s="1" t="s">
        <v>2919</v>
      </c>
      <c r="C815" s="1" t="s">
        <v>2913</v>
      </c>
      <c r="D815" s="1" t="s">
        <v>2920</v>
      </c>
      <c r="E815" s="2">
        <v>36673.0</v>
      </c>
      <c r="F815" s="1" t="s">
        <v>75</v>
      </c>
      <c r="G815" s="1" t="s">
        <v>31</v>
      </c>
      <c r="H815" s="1" t="s">
        <v>32</v>
      </c>
      <c r="I815" s="3">
        <f>+2250758954692</f>
        <v>2250758954692</v>
      </c>
      <c r="J815" s="3">
        <f>+2250787406942</f>
        <v>2250787406942</v>
      </c>
      <c r="K815" s="1" t="s">
        <v>19</v>
      </c>
      <c r="L815" s="4" t="s">
        <v>2921</v>
      </c>
    </row>
    <row r="816">
      <c r="A816" s="1" t="s">
        <v>12</v>
      </c>
      <c r="B816" s="1" t="s">
        <v>2922</v>
      </c>
      <c r="C816" s="1" t="s">
        <v>2913</v>
      </c>
      <c r="D816" s="1" t="s">
        <v>2923</v>
      </c>
      <c r="E816" s="2">
        <v>37838.0</v>
      </c>
      <c r="F816" s="1" t="s">
        <v>155</v>
      </c>
      <c r="G816" s="1" t="s">
        <v>76</v>
      </c>
      <c r="H816" s="1" t="s">
        <v>32</v>
      </c>
      <c r="I816" s="3">
        <f>+2250151861651</f>
        <v>2250151861651</v>
      </c>
      <c r="J816" s="3">
        <f>+2250102346655</f>
        <v>2250102346655</v>
      </c>
      <c r="K816" s="1" t="s">
        <v>19</v>
      </c>
      <c r="L816" s="4" t="s">
        <v>2924</v>
      </c>
    </row>
    <row r="817">
      <c r="A817" s="1" t="s">
        <v>12</v>
      </c>
      <c r="B817" s="1" t="s">
        <v>2925</v>
      </c>
      <c r="C817" s="1" t="s">
        <v>2913</v>
      </c>
      <c r="D817" s="1" t="s">
        <v>2926</v>
      </c>
      <c r="E817" s="2">
        <v>37736.0</v>
      </c>
      <c r="F817" s="1" t="s">
        <v>53</v>
      </c>
      <c r="G817" s="1" t="s">
        <v>17</v>
      </c>
      <c r="H817" s="1" t="s">
        <v>18</v>
      </c>
      <c r="I817" s="3">
        <f>+2250555981017</f>
        <v>2250555981017</v>
      </c>
      <c r="J817" s="3">
        <f>+2250102027062</f>
        <v>2250102027062</v>
      </c>
      <c r="K817" s="1" t="s">
        <v>19</v>
      </c>
      <c r="L817" s="4" t="s">
        <v>2927</v>
      </c>
    </row>
    <row r="818">
      <c r="A818" s="1" t="s">
        <v>12</v>
      </c>
      <c r="B818" s="1" t="s">
        <v>2928</v>
      </c>
      <c r="C818" s="1" t="s">
        <v>2913</v>
      </c>
      <c r="D818" s="1" t="s">
        <v>2929</v>
      </c>
      <c r="E818" s="2">
        <v>38161.0</v>
      </c>
      <c r="F818" s="1" t="s">
        <v>62</v>
      </c>
      <c r="G818" s="1" t="s">
        <v>17</v>
      </c>
      <c r="H818" s="1" t="s">
        <v>18</v>
      </c>
      <c r="I818" s="3">
        <f>+2250769605123</f>
        <v>2250769605123</v>
      </c>
      <c r="J818" s="3">
        <f>+2250749431187</f>
        <v>2250749431187</v>
      </c>
      <c r="K818" s="1" t="s">
        <v>19</v>
      </c>
      <c r="L818" s="4" t="s">
        <v>2930</v>
      </c>
    </row>
    <row r="819">
      <c r="A819" s="1" t="s">
        <v>12</v>
      </c>
      <c r="B819" s="1" t="s">
        <v>2931</v>
      </c>
      <c r="C819" s="1" t="s">
        <v>2913</v>
      </c>
      <c r="D819" s="1" t="s">
        <v>2932</v>
      </c>
      <c r="E819" s="2">
        <v>37735.0</v>
      </c>
      <c r="F819" s="1" t="s">
        <v>62</v>
      </c>
      <c r="G819" s="1" t="s">
        <v>17</v>
      </c>
      <c r="H819" s="1" t="s">
        <v>18</v>
      </c>
      <c r="I819" s="3">
        <f>+2250103126974</f>
        <v>2250103126974</v>
      </c>
      <c r="J819" s="3">
        <f>+2250708828942</f>
        <v>2250708828942</v>
      </c>
      <c r="K819" s="1" t="s">
        <v>19</v>
      </c>
      <c r="L819" s="4" t="s">
        <v>2933</v>
      </c>
    </row>
    <row r="820">
      <c r="A820" s="1" t="s">
        <v>12</v>
      </c>
      <c r="B820" s="1" t="s">
        <v>2934</v>
      </c>
      <c r="C820" s="1" t="s">
        <v>2935</v>
      </c>
      <c r="D820" s="1" t="s">
        <v>2936</v>
      </c>
      <c r="E820" s="2">
        <v>37996.0</v>
      </c>
      <c r="F820" s="1" t="s">
        <v>53</v>
      </c>
      <c r="G820" s="1" t="s">
        <v>17</v>
      </c>
      <c r="H820" s="1" t="s">
        <v>18</v>
      </c>
      <c r="I820" s="3">
        <f>+2250787330470</f>
        <v>2250787330470</v>
      </c>
      <c r="J820" s="3">
        <f>+2250708323798</f>
        <v>2250708323798</v>
      </c>
      <c r="K820" s="1" t="s">
        <v>19</v>
      </c>
      <c r="L820" s="4" t="s">
        <v>2937</v>
      </c>
    </row>
    <row r="821">
      <c r="A821" s="1" t="s">
        <v>12</v>
      </c>
      <c r="B821" s="1" t="s">
        <v>2938</v>
      </c>
      <c r="C821" s="1" t="s">
        <v>2939</v>
      </c>
      <c r="D821" s="1" t="s">
        <v>2940</v>
      </c>
      <c r="E821" s="5">
        <v>37581.0</v>
      </c>
      <c r="F821" s="1" t="s">
        <v>53</v>
      </c>
      <c r="G821" s="1" t="s">
        <v>17</v>
      </c>
      <c r="H821" s="1" t="s">
        <v>18</v>
      </c>
      <c r="I821" s="3">
        <f>+2250556806658</f>
        <v>2250556806658</v>
      </c>
      <c r="J821" s="3">
        <f>+2250708366919</f>
        <v>2250708366919</v>
      </c>
      <c r="K821" s="1" t="s">
        <v>19</v>
      </c>
      <c r="L821" s="4" t="s">
        <v>2941</v>
      </c>
    </row>
    <row r="822">
      <c r="A822" s="1" t="s">
        <v>12</v>
      </c>
      <c r="B822" s="1" t="s">
        <v>2942</v>
      </c>
      <c r="C822" s="1" t="s">
        <v>2943</v>
      </c>
      <c r="D822" s="1" t="s">
        <v>2944</v>
      </c>
      <c r="E822" s="5">
        <v>37245.0</v>
      </c>
      <c r="F822" s="1" t="s">
        <v>62</v>
      </c>
      <c r="G822" s="1" t="s">
        <v>17</v>
      </c>
      <c r="H822" s="1" t="s">
        <v>18</v>
      </c>
      <c r="I822" s="3">
        <f>+2250768914028</f>
        <v>2250768914028</v>
      </c>
      <c r="J822" s="3">
        <f>+2250545863447</f>
        <v>2250545863447</v>
      </c>
      <c r="K822" s="1" t="s">
        <v>19</v>
      </c>
      <c r="L822" s="4" t="s">
        <v>2945</v>
      </c>
    </row>
    <row r="823">
      <c r="A823" s="1" t="s">
        <v>12</v>
      </c>
      <c r="B823" s="1" t="s">
        <v>2946</v>
      </c>
      <c r="C823" s="1" t="s">
        <v>2947</v>
      </c>
      <c r="D823" s="1" t="s">
        <v>1753</v>
      </c>
      <c r="E823" s="2">
        <v>38383.0</v>
      </c>
      <c r="F823" s="1" t="s">
        <v>48</v>
      </c>
      <c r="G823" s="1" t="s">
        <v>31</v>
      </c>
      <c r="H823" s="1" t="s">
        <v>32</v>
      </c>
      <c r="I823" s="3">
        <f>+2250594743925</f>
        <v>2250594743925</v>
      </c>
      <c r="J823" s="3">
        <f>+2250140439893</f>
        <v>2250140439893</v>
      </c>
      <c r="K823" s="1" t="s">
        <v>19</v>
      </c>
      <c r="L823" s="4" t="s">
        <v>2948</v>
      </c>
    </row>
    <row r="824">
      <c r="A824" s="1" t="s">
        <v>12</v>
      </c>
      <c r="B824" s="1" t="s">
        <v>2949</v>
      </c>
      <c r="C824" s="1" t="s">
        <v>2950</v>
      </c>
      <c r="D824" s="1" t="s">
        <v>2951</v>
      </c>
      <c r="E824" s="2">
        <v>38994.0</v>
      </c>
      <c r="F824" s="1" t="s">
        <v>167</v>
      </c>
      <c r="G824" s="1" t="s">
        <v>17</v>
      </c>
      <c r="H824" s="1" t="s">
        <v>18</v>
      </c>
      <c r="I824" s="3">
        <f>+2250799101160</f>
        <v>2250799101160</v>
      </c>
      <c r="J824" s="3">
        <f>+2250504875734</f>
        <v>2250504875734</v>
      </c>
      <c r="K824" s="1" t="s">
        <v>19</v>
      </c>
      <c r="L824" s="4" t="s">
        <v>2952</v>
      </c>
    </row>
    <row r="825">
      <c r="A825" s="1" t="s">
        <v>12</v>
      </c>
      <c r="B825" s="1" t="s">
        <v>2953</v>
      </c>
      <c r="C825" s="1" t="s">
        <v>2950</v>
      </c>
      <c r="D825" s="1" t="s">
        <v>2954</v>
      </c>
      <c r="E825" s="5">
        <v>37944.0</v>
      </c>
      <c r="F825" s="1" t="s">
        <v>48</v>
      </c>
      <c r="G825" s="1" t="s">
        <v>76</v>
      </c>
      <c r="H825" s="1" t="s">
        <v>32</v>
      </c>
      <c r="I825" s="3">
        <f>+2250747491244</f>
        <v>2250747491244</v>
      </c>
      <c r="J825" s="3">
        <f>+2250749978682</f>
        <v>2250749978682</v>
      </c>
      <c r="K825" s="1" t="s">
        <v>19</v>
      </c>
      <c r="L825" s="4" t="s">
        <v>2955</v>
      </c>
    </row>
    <row r="826">
      <c r="A826" s="1" t="s">
        <v>12</v>
      </c>
      <c r="B826" s="1" t="s">
        <v>2956</v>
      </c>
      <c r="C826" s="1" t="s">
        <v>2950</v>
      </c>
      <c r="D826" s="1" t="s">
        <v>2957</v>
      </c>
      <c r="E826" s="2">
        <v>35205.0</v>
      </c>
      <c r="F826" s="1" t="s">
        <v>182</v>
      </c>
      <c r="G826" s="1" t="s">
        <v>82</v>
      </c>
      <c r="H826" s="1" t="s">
        <v>18</v>
      </c>
      <c r="I826" s="3">
        <f>+2250787045288</f>
        <v>2250787045288</v>
      </c>
      <c r="J826" s="3">
        <f>+2250707722285</f>
        <v>2250707722285</v>
      </c>
      <c r="K826" s="1" t="s">
        <v>19</v>
      </c>
      <c r="L826" s="4" t="s">
        <v>2958</v>
      </c>
    </row>
    <row r="827">
      <c r="A827" s="1" t="s">
        <v>12</v>
      </c>
      <c r="B827" s="1" t="s">
        <v>2959</v>
      </c>
      <c r="C827" s="1" t="s">
        <v>2950</v>
      </c>
      <c r="D827" s="1" t="s">
        <v>2960</v>
      </c>
      <c r="E827" s="2">
        <v>36020.0</v>
      </c>
      <c r="F827" s="1" t="s">
        <v>62</v>
      </c>
      <c r="G827" s="1" t="s">
        <v>17</v>
      </c>
      <c r="H827" s="1" t="s">
        <v>18</v>
      </c>
      <c r="I827" s="3">
        <f>+2250507462446</f>
        <v>2250507462446</v>
      </c>
      <c r="J827" s="3">
        <f>+2250769177567</f>
        <v>2250769177567</v>
      </c>
      <c r="K827" s="1" t="s">
        <v>19</v>
      </c>
      <c r="L827" s="4" t="s">
        <v>2961</v>
      </c>
    </row>
    <row r="828">
      <c r="A828" s="1" t="s">
        <v>12</v>
      </c>
      <c r="B828" s="1" t="s">
        <v>2962</v>
      </c>
      <c r="C828" s="1" t="s">
        <v>2950</v>
      </c>
      <c r="D828" s="1" t="s">
        <v>2963</v>
      </c>
      <c r="E828" s="2">
        <v>37862.0</v>
      </c>
      <c r="F828" s="1" t="s">
        <v>182</v>
      </c>
      <c r="G828" s="1" t="s">
        <v>82</v>
      </c>
      <c r="H828" s="1" t="s">
        <v>18</v>
      </c>
      <c r="I828" s="3">
        <f>+2250556312132</f>
        <v>2250556312132</v>
      </c>
      <c r="J828" s="3">
        <f>+2250708911762</f>
        <v>2250708911762</v>
      </c>
      <c r="K828" s="1" t="s">
        <v>19</v>
      </c>
      <c r="L828" s="4" t="s">
        <v>2964</v>
      </c>
    </row>
    <row r="829">
      <c r="A829" s="1" t="s">
        <v>12</v>
      </c>
      <c r="B829" s="1" t="s">
        <v>2965</v>
      </c>
      <c r="C829" s="1" t="s">
        <v>2950</v>
      </c>
      <c r="D829" s="1" t="s">
        <v>2966</v>
      </c>
      <c r="E829" s="5">
        <v>38709.0</v>
      </c>
      <c r="F829" s="1" t="s">
        <v>351</v>
      </c>
      <c r="G829" s="1" t="s">
        <v>76</v>
      </c>
      <c r="H829" s="1" t="s">
        <v>32</v>
      </c>
      <c r="I829" s="3">
        <f>+2250565218609</f>
        <v>2250565218609</v>
      </c>
      <c r="J829" s="3">
        <f>+2250707251392</f>
        <v>2250707251392</v>
      </c>
      <c r="K829" s="1" t="s">
        <v>19</v>
      </c>
      <c r="L829" s="4" t="s">
        <v>2967</v>
      </c>
    </row>
    <row r="830">
      <c r="A830" s="1" t="s">
        <v>12</v>
      </c>
      <c r="B830" s="1" t="s">
        <v>2968</v>
      </c>
      <c r="C830" s="1" t="s">
        <v>2950</v>
      </c>
      <c r="D830" s="1" t="s">
        <v>2969</v>
      </c>
      <c r="E830" s="5">
        <v>38682.0</v>
      </c>
      <c r="F830" s="1" t="s">
        <v>62</v>
      </c>
      <c r="G830" s="1" t="s">
        <v>17</v>
      </c>
      <c r="H830" s="1" t="s">
        <v>18</v>
      </c>
      <c r="I830" s="3">
        <f>+2250503500657</f>
        <v>2250503500657</v>
      </c>
      <c r="J830" s="3">
        <f>+2250779825620</f>
        <v>2250779825620</v>
      </c>
      <c r="K830" s="1" t="s">
        <v>19</v>
      </c>
      <c r="L830" s="4" t="s">
        <v>2970</v>
      </c>
    </row>
    <row r="831">
      <c r="A831" s="1" t="s">
        <v>12</v>
      </c>
      <c r="B831" s="1" t="s">
        <v>2971</v>
      </c>
      <c r="C831" s="1" t="s">
        <v>2950</v>
      </c>
      <c r="D831" s="1" t="s">
        <v>2972</v>
      </c>
      <c r="E831" s="2">
        <v>38620.0</v>
      </c>
      <c r="F831" s="1" t="s">
        <v>16</v>
      </c>
      <c r="G831" s="1" t="s">
        <v>25</v>
      </c>
      <c r="H831" s="1" t="s">
        <v>18</v>
      </c>
      <c r="I831" s="3">
        <f>+2250768340554</f>
        <v>2250768340554</v>
      </c>
      <c r="J831" s="3">
        <f>+2250707270854</f>
        <v>2250707270854</v>
      </c>
      <c r="K831" s="1" t="s">
        <v>19</v>
      </c>
      <c r="L831" s="4" t="s">
        <v>2973</v>
      </c>
    </row>
    <row r="832">
      <c r="A832" s="1" t="s">
        <v>12</v>
      </c>
      <c r="B832" s="1" t="s">
        <v>2974</v>
      </c>
      <c r="C832" s="1" t="s">
        <v>2950</v>
      </c>
      <c r="D832" s="1" t="s">
        <v>2975</v>
      </c>
      <c r="E832" s="2">
        <v>38433.0</v>
      </c>
      <c r="F832" s="1" t="s">
        <v>53</v>
      </c>
      <c r="G832" s="1" t="s">
        <v>17</v>
      </c>
      <c r="H832" s="1" t="s">
        <v>18</v>
      </c>
      <c r="I832" s="3">
        <f>+2250585580084</f>
        <v>2250585580084</v>
      </c>
      <c r="J832" s="3">
        <f>+2250758618092</f>
        <v>2250758618092</v>
      </c>
      <c r="K832" s="1" t="s">
        <v>19</v>
      </c>
      <c r="L832" s="4" t="s">
        <v>2976</v>
      </c>
    </row>
    <row r="833">
      <c r="A833" s="1" t="s">
        <v>12</v>
      </c>
      <c r="B833" s="1" t="s">
        <v>2977</v>
      </c>
      <c r="C833" s="1" t="s">
        <v>2978</v>
      </c>
      <c r="D833" s="1" t="s">
        <v>2979</v>
      </c>
      <c r="E833" s="5">
        <v>37948.0</v>
      </c>
      <c r="F833" s="1" t="s">
        <v>62</v>
      </c>
      <c r="G833" s="1" t="s">
        <v>17</v>
      </c>
      <c r="H833" s="1" t="s">
        <v>18</v>
      </c>
      <c r="I833" s="3">
        <f>+2250707570952</f>
        <v>2250707570952</v>
      </c>
      <c r="J833" s="3">
        <f>+2250749804170</f>
        <v>2250749804170</v>
      </c>
      <c r="K833" s="1" t="s">
        <v>19</v>
      </c>
      <c r="L833" s="4" t="s">
        <v>2980</v>
      </c>
    </row>
    <row r="834">
      <c r="A834" s="1" t="s">
        <v>12</v>
      </c>
      <c r="B834" s="1" t="s">
        <v>2981</v>
      </c>
      <c r="C834" s="1" t="s">
        <v>2982</v>
      </c>
      <c r="D834" s="1" t="s">
        <v>2983</v>
      </c>
      <c r="E834" s="2">
        <v>37660.0</v>
      </c>
      <c r="F834" s="1" t="s">
        <v>16</v>
      </c>
      <c r="G834" s="1" t="s">
        <v>17</v>
      </c>
      <c r="H834" s="1" t="s">
        <v>18</v>
      </c>
      <c r="I834" s="3">
        <f>+2250151398462</f>
        <v>2250151398462</v>
      </c>
      <c r="J834" s="3">
        <f>+2250778895234</f>
        <v>2250778895234</v>
      </c>
      <c r="K834" s="1" t="s">
        <v>19</v>
      </c>
      <c r="L834" s="4" t="s">
        <v>2984</v>
      </c>
    </row>
    <row r="835">
      <c r="A835" s="1" t="s">
        <v>12</v>
      </c>
      <c r="B835" s="1" t="s">
        <v>2985</v>
      </c>
      <c r="C835" s="1" t="s">
        <v>2982</v>
      </c>
      <c r="D835" s="1" t="s">
        <v>2986</v>
      </c>
      <c r="E835" s="2">
        <v>36665.0</v>
      </c>
      <c r="F835" s="1" t="s">
        <v>16</v>
      </c>
      <c r="G835" s="1" t="s">
        <v>17</v>
      </c>
      <c r="H835" s="1" t="s">
        <v>18</v>
      </c>
      <c r="I835" s="3">
        <f>+2250142200208</f>
        <v>2250142200208</v>
      </c>
      <c r="J835" s="3">
        <f>+2250748570975</f>
        <v>2250748570975</v>
      </c>
      <c r="K835" s="1" t="s">
        <v>19</v>
      </c>
      <c r="L835" s="4" t="s">
        <v>2987</v>
      </c>
    </row>
    <row r="836">
      <c r="A836" s="1" t="s">
        <v>12</v>
      </c>
      <c r="B836" s="1" t="s">
        <v>2988</v>
      </c>
      <c r="C836" s="1" t="s">
        <v>2982</v>
      </c>
      <c r="D836" s="1" t="s">
        <v>2989</v>
      </c>
      <c r="E836" s="2">
        <v>37734.0</v>
      </c>
      <c r="F836" s="1" t="s">
        <v>182</v>
      </c>
      <c r="G836" s="1" t="s">
        <v>82</v>
      </c>
      <c r="H836" s="1" t="s">
        <v>18</v>
      </c>
      <c r="I836" s="3">
        <f>+2250700668804</f>
        <v>2250700668804</v>
      </c>
      <c r="J836" s="3">
        <f>+2250707555830</f>
        <v>2250707555830</v>
      </c>
      <c r="K836" s="1" t="s">
        <v>19</v>
      </c>
      <c r="L836" s="4" t="s">
        <v>2990</v>
      </c>
    </row>
    <row r="837">
      <c r="A837" s="1" t="s">
        <v>12</v>
      </c>
      <c r="B837" s="1" t="s">
        <v>2991</v>
      </c>
      <c r="C837" s="1" t="s">
        <v>2992</v>
      </c>
      <c r="D837" s="1" t="s">
        <v>2993</v>
      </c>
      <c r="E837" s="2">
        <v>38261.0</v>
      </c>
      <c r="F837" s="1" t="s">
        <v>155</v>
      </c>
      <c r="G837" s="1" t="s">
        <v>31</v>
      </c>
      <c r="H837" s="1" t="s">
        <v>32</v>
      </c>
      <c r="I837" s="3">
        <f>+2250173266736</f>
        <v>2250173266736</v>
      </c>
      <c r="J837" s="3">
        <f>+2250707195158</f>
        <v>2250707195158</v>
      </c>
      <c r="K837" s="1" t="s">
        <v>19</v>
      </c>
      <c r="L837" s="4" t="s">
        <v>2994</v>
      </c>
    </row>
    <row r="838">
      <c r="A838" s="1" t="s">
        <v>12</v>
      </c>
      <c r="B838" s="1" t="s">
        <v>2995</v>
      </c>
      <c r="C838" s="1" t="s">
        <v>2996</v>
      </c>
      <c r="D838" s="1" t="s">
        <v>2997</v>
      </c>
      <c r="E838" s="5">
        <v>36519.0</v>
      </c>
      <c r="F838" s="1" t="s">
        <v>62</v>
      </c>
      <c r="G838" s="1" t="s">
        <v>17</v>
      </c>
      <c r="H838" s="1" t="s">
        <v>18</v>
      </c>
      <c r="I838" s="3">
        <f>+2250555138354</f>
        <v>2250555138354</v>
      </c>
      <c r="J838" s="3">
        <f>+2250103146941</f>
        <v>2250103146941</v>
      </c>
      <c r="K838" s="1" t="s">
        <v>19</v>
      </c>
      <c r="L838" s="4" t="s">
        <v>2998</v>
      </c>
    </row>
    <row r="839">
      <c r="A839" s="1" t="s">
        <v>12</v>
      </c>
      <c r="B839" s="1" t="s">
        <v>2999</v>
      </c>
      <c r="C839" s="1" t="s">
        <v>3000</v>
      </c>
      <c r="D839" s="1" t="s">
        <v>3001</v>
      </c>
      <c r="E839" s="2">
        <v>38230.0</v>
      </c>
      <c r="F839" s="1" t="s">
        <v>101</v>
      </c>
      <c r="G839" s="1" t="s">
        <v>76</v>
      </c>
      <c r="H839" s="1" t="s">
        <v>32</v>
      </c>
      <c r="I839" s="3">
        <f>+2250574628632</f>
        <v>2250574628632</v>
      </c>
      <c r="J839" s="3">
        <f>+2250709849888</f>
        <v>2250709849888</v>
      </c>
      <c r="K839" s="1" t="s">
        <v>19</v>
      </c>
      <c r="L839" s="4" t="s">
        <v>3002</v>
      </c>
    </row>
    <row r="840">
      <c r="A840" s="1" t="s">
        <v>12</v>
      </c>
      <c r="B840" s="1" t="s">
        <v>3003</v>
      </c>
      <c r="C840" s="1" t="s">
        <v>3004</v>
      </c>
      <c r="D840" s="1" t="s">
        <v>3005</v>
      </c>
      <c r="E840" s="2">
        <v>38889.0</v>
      </c>
      <c r="F840" s="1" t="s">
        <v>167</v>
      </c>
      <c r="G840" s="1" t="s">
        <v>25</v>
      </c>
      <c r="H840" s="1" t="s">
        <v>18</v>
      </c>
      <c r="I840" s="3">
        <f>+2250705702526</f>
        <v>2250705702526</v>
      </c>
      <c r="J840" s="3">
        <f>+2250769130395</f>
        <v>2250769130395</v>
      </c>
      <c r="K840" s="1" t="s">
        <v>19</v>
      </c>
      <c r="L840" s="4" t="s">
        <v>3006</v>
      </c>
    </row>
    <row r="841">
      <c r="A841" s="1" t="s">
        <v>12</v>
      </c>
      <c r="B841" s="1" t="s">
        <v>3007</v>
      </c>
      <c r="C841" s="1" t="s">
        <v>3008</v>
      </c>
      <c r="D841" s="1" t="s">
        <v>3009</v>
      </c>
      <c r="E841" s="2">
        <v>38485.0</v>
      </c>
      <c r="F841" s="1" t="s">
        <v>101</v>
      </c>
      <c r="G841" s="1" t="s">
        <v>76</v>
      </c>
      <c r="H841" s="1" t="s">
        <v>32</v>
      </c>
      <c r="I841" s="3">
        <f>+2250143572431</f>
        <v>2250143572431</v>
      </c>
      <c r="J841" s="3">
        <f>+2250709435760</f>
        <v>2250709435760</v>
      </c>
      <c r="K841" s="1" t="s">
        <v>19</v>
      </c>
      <c r="L841" s="4" t="s">
        <v>3010</v>
      </c>
    </row>
    <row r="842">
      <c r="A842" s="1" t="s">
        <v>12</v>
      </c>
      <c r="B842" s="1" t="s">
        <v>3011</v>
      </c>
      <c r="C842" s="1" t="s">
        <v>3012</v>
      </c>
      <c r="D842" s="1" t="s">
        <v>3013</v>
      </c>
      <c r="E842" s="2">
        <v>38485.0</v>
      </c>
      <c r="F842" s="1" t="s">
        <v>24</v>
      </c>
      <c r="G842" s="1" t="s">
        <v>25</v>
      </c>
      <c r="H842" s="1" t="s">
        <v>18</v>
      </c>
      <c r="I842" s="3">
        <f>+2250769396539</f>
        <v>2250769396539</v>
      </c>
      <c r="J842" s="3">
        <f>+2250708100354</f>
        <v>2250708100354</v>
      </c>
      <c r="K842" s="1" t="s">
        <v>19</v>
      </c>
      <c r="L842" s="4" t="s">
        <v>3014</v>
      </c>
    </row>
    <row r="843">
      <c r="A843" s="1" t="s">
        <v>12</v>
      </c>
      <c r="B843" s="1" t="s">
        <v>3015</v>
      </c>
      <c r="C843" s="1" t="s">
        <v>3012</v>
      </c>
      <c r="D843" s="1" t="s">
        <v>3016</v>
      </c>
      <c r="E843" s="2">
        <v>37873.0</v>
      </c>
      <c r="F843" s="1" t="s">
        <v>16</v>
      </c>
      <c r="G843" s="1" t="s">
        <v>17</v>
      </c>
      <c r="H843" s="1" t="s">
        <v>18</v>
      </c>
      <c r="I843" s="3">
        <f>+2250798497343</f>
        <v>2250798497343</v>
      </c>
      <c r="J843" s="3">
        <f>+2250506242876</f>
        <v>2250506242876</v>
      </c>
      <c r="K843" s="1" t="s">
        <v>19</v>
      </c>
      <c r="L843" s="4" t="s">
        <v>3017</v>
      </c>
    </row>
    <row r="844">
      <c r="A844" s="1" t="s">
        <v>12</v>
      </c>
      <c r="B844" s="1" t="s">
        <v>3018</v>
      </c>
      <c r="C844" s="1" t="s">
        <v>3012</v>
      </c>
      <c r="D844" s="1" t="s">
        <v>3019</v>
      </c>
      <c r="E844" s="2">
        <v>38131.0</v>
      </c>
      <c r="F844" s="1" t="s">
        <v>48</v>
      </c>
      <c r="G844" s="1" t="s">
        <v>31</v>
      </c>
      <c r="H844" s="1" t="s">
        <v>32</v>
      </c>
      <c r="I844" s="3">
        <f>+2250789293815</f>
        <v>2250789293815</v>
      </c>
      <c r="J844" s="3">
        <f>+2250768696074</f>
        <v>2250768696074</v>
      </c>
      <c r="K844" s="1" t="s">
        <v>19</v>
      </c>
      <c r="L844" s="4" t="s">
        <v>3020</v>
      </c>
    </row>
    <row r="845">
      <c r="A845" s="1" t="s">
        <v>12</v>
      </c>
      <c r="B845" s="1" t="s">
        <v>3021</v>
      </c>
      <c r="C845" s="1" t="s">
        <v>3012</v>
      </c>
      <c r="D845" s="1" t="s">
        <v>3022</v>
      </c>
      <c r="E845" s="5">
        <v>39010.0</v>
      </c>
      <c r="F845" s="1" t="s">
        <v>62</v>
      </c>
      <c r="G845" s="1" t="s">
        <v>25</v>
      </c>
      <c r="H845" s="1" t="s">
        <v>18</v>
      </c>
      <c r="I845" s="3">
        <f>+2250585063929</f>
        <v>2250585063929</v>
      </c>
      <c r="J845" s="3">
        <f>+2250140282476</f>
        <v>2250140282476</v>
      </c>
      <c r="K845" s="1" t="s">
        <v>19</v>
      </c>
      <c r="L845" s="4" t="s">
        <v>3023</v>
      </c>
    </row>
    <row r="846">
      <c r="A846" s="1" t="s">
        <v>12</v>
      </c>
      <c r="B846" s="1" t="s">
        <v>3024</v>
      </c>
      <c r="C846" s="1" t="s">
        <v>3012</v>
      </c>
      <c r="D846" s="1" t="s">
        <v>3025</v>
      </c>
      <c r="E846" s="2">
        <v>38323.0</v>
      </c>
      <c r="F846" s="1" t="s">
        <v>62</v>
      </c>
      <c r="G846" s="1" t="s">
        <v>17</v>
      </c>
      <c r="H846" s="1" t="s">
        <v>18</v>
      </c>
      <c r="I846" s="3">
        <f>+2250160682044</f>
        <v>2250160682044</v>
      </c>
      <c r="J846" s="3">
        <f>+2250141325662</f>
        <v>2250141325662</v>
      </c>
      <c r="K846" s="1" t="s">
        <v>19</v>
      </c>
      <c r="L846" s="4" t="s">
        <v>3026</v>
      </c>
    </row>
    <row r="847">
      <c r="A847" s="1" t="s">
        <v>12</v>
      </c>
      <c r="B847" s="1" t="s">
        <v>3027</v>
      </c>
      <c r="C847" s="1" t="s">
        <v>3028</v>
      </c>
      <c r="D847" s="1" t="s">
        <v>3029</v>
      </c>
      <c r="E847" s="2">
        <v>38427.0</v>
      </c>
      <c r="F847" s="1" t="s">
        <v>48</v>
      </c>
      <c r="G847" s="1" t="s">
        <v>31</v>
      </c>
      <c r="H847" s="1" t="s">
        <v>32</v>
      </c>
      <c r="I847" s="3">
        <f>+2250757382233</f>
        <v>2250757382233</v>
      </c>
      <c r="J847" s="3">
        <f>+2250758651012</f>
        <v>2250758651012</v>
      </c>
      <c r="K847" s="1" t="s">
        <v>19</v>
      </c>
      <c r="L847" s="4" t="s">
        <v>3030</v>
      </c>
    </row>
    <row r="848">
      <c r="A848" s="1" t="s">
        <v>12</v>
      </c>
      <c r="B848" s="1" t="s">
        <v>3031</v>
      </c>
      <c r="C848" s="1" t="s">
        <v>3032</v>
      </c>
      <c r="D848" s="1" t="s">
        <v>3033</v>
      </c>
      <c r="E848" s="2">
        <v>38179.0</v>
      </c>
      <c r="F848" s="1" t="s">
        <v>16</v>
      </c>
      <c r="G848" s="1" t="s">
        <v>25</v>
      </c>
      <c r="H848" s="1" t="s">
        <v>18</v>
      </c>
      <c r="I848" s="3">
        <f t="shared" ref="I848:J848" si="21">+2250140504317</f>
        <v>2250140504317</v>
      </c>
      <c r="J848" s="3">
        <f t="shared" si="21"/>
        <v>2250140504317</v>
      </c>
      <c r="K848" s="1" t="s">
        <v>19</v>
      </c>
      <c r="L848" s="4" t="s">
        <v>3034</v>
      </c>
    </row>
    <row r="849">
      <c r="A849" s="1" t="s">
        <v>12</v>
      </c>
      <c r="B849" s="1" t="s">
        <v>3035</v>
      </c>
      <c r="C849" s="1" t="s">
        <v>3036</v>
      </c>
      <c r="D849" s="1" t="s">
        <v>3037</v>
      </c>
      <c r="E849" s="5">
        <v>38701.0</v>
      </c>
      <c r="F849" s="1" t="s">
        <v>16</v>
      </c>
      <c r="G849" s="1" t="s">
        <v>25</v>
      </c>
      <c r="H849" s="1" t="s">
        <v>18</v>
      </c>
      <c r="I849" s="3">
        <f>+2250544183400</f>
        <v>2250544183400</v>
      </c>
      <c r="J849" s="3">
        <f>+2250141939182</f>
        <v>2250141939182</v>
      </c>
      <c r="K849" s="1" t="s">
        <v>19</v>
      </c>
      <c r="L849" s="4" t="s">
        <v>3038</v>
      </c>
    </row>
    <row r="850">
      <c r="A850" s="1" t="s">
        <v>12</v>
      </c>
      <c r="B850" s="1" t="s">
        <v>3039</v>
      </c>
      <c r="C850" s="1" t="s">
        <v>3040</v>
      </c>
      <c r="D850" s="1" t="s">
        <v>3041</v>
      </c>
      <c r="E850" s="2">
        <v>37527.0</v>
      </c>
      <c r="F850" s="1" t="s">
        <v>155</v>
      </c>
      <c r="G850" s="1" t="s">
        <v>76</v>
      </c>
      <c r="H850" s="1" t="s">
        <v>32</v>
      </c>
      <c r="I850" s="3">
        <f>+2250787810274</f>
        <v>2250787810274</v>
      </c>
      <c r="J850" s="3">
        <f>+2250748038786</f>
        <v>2250748038786</v>
      </c>
      <c r="K850" s="1" t="s">
        <v>19</v>
      </c>
      <c r="L850" s="4" t="s">
        <v>3042</v>
      </c>
    </row>
    <row r="851">
      <c r="A851" s="1" t="s">
        <v>12</v>
      </c>
      <c r="B851" s="1" t="s">
        <v>3043</v>
      </c>
      <c r="C851" s="1" t="s">
        <v>3044</v>
      </c>
      <c r="D851" s="1" t="s">
        <v>3045</v>
      </c>
      <c r="E851" s="2">
        <v>37987.0</v>
      </c>
      <c r="F851" s="1" t="s">
        <v>101</v>
      </c>
      <c r="G851" s="1" t="s">
        <v>76</v>
      </c>
      <c r="H851" s="1" t="s">
        <v>32</v>
      </c>
      <c r="I851" s="3">
        <f>+2250787482518</f>
        <v>2250787482518</v>
      </c>
      <c r="J851" s="3">
        <f>+2250504350477</f>
        <v>2250504350477</v>
      </c>
      <c r="K851" s="1" t="s">
        <v>19</v>
      </c>
      <c r="L851" s="4" t="s">
        <v>3046</v>
      </c>
    </row>
    <row r="852">
      <c r="A852" s="1" t="s">
        <v>12</v>
      </c>
      <c r="B852" s="1" t="s">
        <v>3047</v>
      </c>
      <c r="C852" s="1" t="s">
        <v>3048</v>
      </c>
      <c r="D852" s="1" t="s">
        <v>3049</v>
      </c>
      <c r="E852" s="2">
        <v>37990.0</v>
      </c>
      <c r="F852" s="1" t="s">
        <v>351</v>
      </c>
      <c r="G852" s="1" t="s">
        <v>31</v>
      </c>
      <c r="H852" s="1" t="s">
        <v>32</v>
      </c>
      <c r="I852" s="3">
        <f>+2250789351389</f>
        <v>2250789351389</v>
      </c>
      <c r="J852" s="3">
        <f>+2250708879092</f>
        <v>2250708879092</v>
      </c>
      <c r="K852" s="1" t="s">
        <v>19</v>
      </c>
      <c r="L852" s="4" t="s">
        <v>3050</v>
      </c>
    </row>
    <row r="853">
      <c r="A853" s="1" t="s">
        <v>12</v>
      </c>
      <c r="B853" s="1" t="s">
        <v>3051</v>
      </c>
      <c r="C853" s="1" t="s">
        <v>3052</v>
      </c>
      <c r="D853" s="1" t="s">
        <v>3053</v>
      </c>
      <c r="E853" s="2">
        <v>37666.0</v>
      </c>
      <c r="F853" s="1" t="s">
        <v>16</v>
      </c>
      <c r="G853" s="1" t="s">
        <v>82</v>
      </c>
      <c r="H853" s="1" t="s">
        <v>18</v>
      </c>
      <c r="I853" s="3">
        <f>+2250758228779</f>
        <v>2250758228779</v>
      </c>
      <c r="J853" s="3">
        <f>+2250704253872</f>
        <v>2250704253872</v>
      </c>
      <c r="K853" s="1" t="s">
        <v>19</v>
      </c>
      <c r="L853" s="4" t="s">
        <v>3054</v>
      </c>
    </row>
    <row r="854">
      <c r="A854" s="1" t="s">
        <v>12</v>
      </c>
      <c r="B854" s="1" t="s">
        <v>3055</v>
      </c>
      <c r="C854" s="1" t="s">
        <v>3052</v>
      </c>
      <c r="D854" s="1" t="s">
        <v>3056</v>
      </c>
      <c r="E854" s="2">
        <v>36016.0</v>
      </c>
      <c r="F854" s="1" t="s">
        <v>570</v>
      </c>
      <c r="G854" s="1" t="s">
        <v>82</v>
      </c>
      <c r="H854" s="1" t="s">
        <v>18</v>
      </c>
      <c r="I854" s="3">
        <f>+2250143585461</f>
        <v>2250143585461</v>
      </c>
      <c r="J854" s="3">
        <f>+2250788221770</f>
        <v>2250788221770</v>
      </c>
      <c r="K854" s="1" t="s">
        <v>19</v>
      </c>
      <c r="L854" s="4" t="s">
        <v>3057</v>
      </c>
    </row>
    <row r="855">
      <c r="A855" s="1" t="s">
        <v>12</v>
      </c>
      <c r="B855" s="1" t="s">
        <v>3058</v>
      </c>
      <c r="C855" s="1" t="s">
        <v>3052</v>
      </c>
      <c r="D855" s="1" t="s">
        <v>3059</v>
      </c>
      <c r="E855" s="2">
        <v>37861.0</v>
      </c>
      <c r="F855" s="1" t="s">
        <v>16</v>
      </c>
      <c r="G855" s="1" t="s">
        <v>17</v>
      </c>
      <c r="H855" s="1" t="s">
        <v>18</v>
      </c>
      <c r="I855" s="3">
        <f>+2250586889427</f>
        <v>2250586889427</v>
      </c>
      <c r="J855" s="3">
        <f>+2250505628510</f>
        <v>2250505628510</v>
      </c>
      <c r="K855" s="1" t="s">
        <v>19</v>
      </c>
      <c r="L855" s="4" t="s">
        <v>3060</v>
      </c>
    </row>
    <row r="856">
      <c r="A856" s="1" t="s">
        <v>12</v>
      </c>
      <c r="B856" s="1" t="s">
        <v>3061</v>
      </c>
      <c r="C856" s="1" t="s">
        <v>3052</v>
      </c>
      <c r="D856" s="1" t="s">
        <v>3062</v>
      </c>
      <c r="E856" s="5">
        <v>37946.0</v>
      </c>
      <c r="F856" s="1" t="s">
        <v>138</v>
      </c>
      <c r="G856" s="1" t="s">
        <v>31</v>
      </c>
      <c r="H856" s="1" t="s">
        <v>32</v>
      </c>
      <c r="I856" s="3">
        <f>+2250778766715</f>
        <v>2250778766715</v>
      </c>
      <c r="J856" s="3">
        <f>+2250747579666</f>
        <v>2250747579666</v>
      </c>
      <c r="K856" s="1" t="s">
        <v>19</v>
      </c>
      <c r="L856" s="4" t="s">
        <v>3063</v>
      </c>
    </row>
    <row r="857">
      <c r="A857" s="1" t="s">
        <v>12</v>
      </c>
      <c r="B857" s="1" t="s">
        <v>3064</v>
      </c>
      <c r="C857" s="1" t="s">
        <v>3052</v>
      </c>
      <c r="D857" s="1" t="s">
        <v>3065</v>
      </c>
      <c r="E857" s="2">
        <v>37654.0</v>
      </c>
      <c r="F857" s="1" t="s">
        <v>62</v>
      </c>
      <c r="G857" s="1" t="s">
        <v>17</v>
      </c>
      <c r="H857" s="1" t="s">
        <v>18</v>
      </c>
      <c r="I857" s="3">
        <f>+2250152931308</f>
        <v>2250152931308</v>
      </c>
      <c r="J857" s="3">
        <f>+2250102567843</f>
        <v>2250102567843</v>
      </c>
      <c r="K857" s="1" t="s">
        <v>19</v>
      </c>
      <c r="L857" s="4" t="s">
        <v>3066</v>
      </c>
    </row>
    <row r="858">
      <c r="A858" s="1" t="s">
        <v>12</v>
      </c>
      <c r="B858" s="1" t="s">
        <v>3067</v>
      </c>
      <c r="C858" s="1" t="s">
        <v>3068</v>
      </c>
      <c r="D858" s="1" t="s">
        <v>3069</v>
      </c>
      <c r="E858" s="2">
        <v>37137.0</v>
      </c>
      <c r="F858" s="1" t="s">
        <v>30</v>
      </c>
      <c r="G858" s="1" t="s">
        <v>31</v>
      </c>
      <c r="H858" s="1" t="s">
        <v>32</v>
      </c>
      <c r="I858" s="3">
        <f>+2250779433379</f>
        <v>2250779433379</v>
      </c>
      <c r="J858" s="3">
        <f>+2250709435262</f>
        <v>2250709435262</v>
      </c>
      <c r="K858" s="1" t="s">
        <v>19</v>
      </c>
      <c r="L858" s="4" t="s">
        <v>3070</v>
      </c>
    </row>
    <row r="859">
      <c r="A859" s="1" t="s">
        <v>12</v>
      </c>
      <c r="B859" s="1" t="s">
        <v>3071</v>
      </c>
      <c r="C859" s="1" t="s">
        <v>3072</v>
      </c>
      <c r="D859" s="1" t="s">
        <v>3073</v>
      </c>
      <c r="E859" s="2">
        <v>38214.0</v>
      </c>
      <c r="F859" s="1" t="s">
        <v>16</v>
      </c>
      <c r="G859" s="1" t="s">
        <v>17</v>
      </c>
      <c r="H859" s="1" t="s">
        <v>18</v>
      </c>
      <c r="I859" s="3">
        <f>+2250778007799</f>
        <v>2250778007799</v>
      </c>
      <c r="J859" s="3">
        <f>+2250767775460</f>
        <v>2250767775460</v>
      </c>
      <c r="K859" s="1" t="s">
        <v>19</v>
      </c>
      <c r="L859" s="4" t="s">
        <v>3074</v>
      </c>
    </row>
    <row r="860">
      <c r="A860" s="1" t="s">
        <v>12</v>
      </c>
      <c r="B860" s="1" t="s">
        <v>3075</v>
      </c>
      <c r="C860" s="1" t="s">
        <v>3076</v>
      </c>
      <c r="D860" s="1" t="s">
        <v>3077</v>
      </c>
      <c r="E860" s="2">
        <v>37276.0</v>
      </c>
      <c r="F860" s="1" t="s">
        <v>155</v>
      </c>
      <c r="G860" s="1" t="s">
        <v>31</v>
      </c>
      <c r="H860" s="1" t="s">
        <v>32</v>
      </c>
      <c r="I860" s="3">
        <f>+2250556887826</f>
        <v>2250556887826</v>
      </c>
      <c r="J860" s="3">
        <f>+2250544462390</f>
        <v>2250544462390</v>
      </c>
      <c r="K860" s="1" t="s">
        <v>19</v>
      </c>
      <c r="L860" s="4" t="s">
        <v>3078</v>
      </c>
    </row>
    <row r="861">
      <c r="A861" s="1" t="s">
        <v>12</v>
      </c>
      <c r="B861" s="1" t="s">
        <v>3079</v>
      </c>
      <c r="C861" s="1" t="s">
        <v>3076</v>
      </c>
      <c r="D861" s="1" t="s">
        <v>3080</v>
      </c>
      <c r="E861" s="2">
        <v>38378.0</v>
      </c>
      <c r="F861" s="1" t="s">
        <v>53</v>
      </c>
      <c r="G861" s="1" t="s">
        <v>25</v>
      </c>
      <c r="H861" s="1" t="s">
        <v>18</v>
      </c>
      <c r="I861" s="3">
        <f>+2250160238213</f>
        <v>2250160238213</v>
      </c>
      <c r="J861" s="3">
        <f>+2250707770137</f>
        <v>2250707770137</v>
      </c>
      <c r="K861" s="1" t="s">
        <v>19</v>
      </c>
      <c r="L861" s="4" t="s">
        <v>3081</v>
      </c>
    </row>
    <row r="862">
      <c r="A862" s="1" t="s">
        <v>12</v>
      </c>
      <c r="B862" s="1" t="s">
        <v>3082</v>
      </c>
      <c r="C862" s="1" t="s">
        <v>3076</v>
      </c>
      <c r="D862" s="1" t="s">
        <v>3083</v>
      </c>
      <c r="E862" s="2">
        <v>38292.0</v>
      </c>
      <c r="F862" s="1" t="s">
        <v>147</v>
      </c>
      <c r="G862" s="1" t="s">
        <v>25</v>
      </c>
      <c r="H862" s="1" t="s">
        <v>18</v>
      </c>
      <c r="I862" s="3">
        <f>+2250564531656</f>
        <v>2250564531656</v>
      </c>
      <c r="J862" s="3">
        <f>+2250505112482</f>
        <v>2250505112482</v>
      </c>
      <c r="K862" s="1" t="s">
        <v>19</v>
      </c>
      <c r="L862" s="4" t="s">
        <v>3084</v>
      </c>
    </row>
    <row r="863">
      <c r="A863" s="1" t="s">
        <v>12</v>
      </c>
      <c r="B863" s="1" t="s">
        <v>3085</v>
      </c>
      <c r="C863" s="1" t="s">
        <v>3076</v>
      </c>
      <c r="D863" s="1" t="s">
        <v>3086</v>
      </c>
      <c r="E863" s="2">
        <v>37386.0</v>
      </c>
      <c r="F863" s="1" t="s">
        <v>16</v>
      </c>
      <c r="G863" s="1" t="s">
        <v>82</v>
      </c>
      <c r="H863" s="1" t="s">
        <v>18</v>
      </c>
      <c r="I863" s="3">
        <f>+2250150647863</f>
        <v>2250150647863</v>
      </c>
      <c r="J863" s="3">
        <f>+2250153228738</f>
        <v>2250153228738</v>
      </c>
      <c r="K863" s="1" t="s">
        <v>19</v>
      </c>
      <c r="L863" s="4" t="s">
        <v>3087</v>
      </c>
    </row>
    <row r="864">
      <c r="A864" s="1" t="s">
        <v>12</v>
      </c>
      <c r="B864" s="1" t="s">
        <v>3088</v>
      </c>
      <c r="C864" s="1" t="s">
        <v>3076</v>
      </c>
      <c r="D864" s="1" t="s">
        <v>3089</v>
      </c>
      <c r="E864" s="2">
        <v>38398.0</v>
      </c>
      <c r="F864" s="1" t="s">
        <v>53</v>
      </c>
      <c r="G864" s="1" t="s">
        <v>17</v>
      </c>
      <c r="H864" s="1" t="s">
        <v>18</v>
      </c>
      <c r="I864" s="3">
        <f>+2250574714465</f>
        <v>2250574714465</v>
      </c>
      <c r="J864" s="3">
        <f>+2250103077043</f>
        <v>2250103077043</v>
      </c>
      <c r="K864" s="1" t="s">
        <v>19</v>
      </c>
      <c r="L864" s="4" t="s">
        <v>3090</v>
      </c>
    </row>
    <row r="865">
      <c r="A865" s="1" t="s">
        <v>12</v>
      </c>
      <c r="B865" s="1" t="s">
        <v>3091</v>
      </c>
      <c r="C865" s="1" t="s">
        <v>3076</v>
      </c>
      <c r="D865" s="1" t="s">
        <v>3092</v>
      </c>
      <c r="E865" s="2">
        <v>36644.0</v>
      </c>
      <c r="F865" s="1" t="s">
        <v>53</v>
      </c>
      <c r="G865" s="1" t="s">
        <v>17</v>
      </c>
      <c r="H865" s="1" t="s">
        <v>18</v>
      </c>
      <c r="I865" s="3">
        <f>+2250700199589</f>
        <v>2250700199589</v>
      </c>
      <c r="J865" s="3">
        <f>+2250709795132</f>
        <v>2250709795132</v>
      </c>
      <c r="K865" s="1" t="s">
        <v>19</v>
      </c>
      <c r="L865" s="4" t="s">
        <v>3093</v>
      </c>
    </row>
    <row r="866">
      <c r="A866" s="1" t="s">
        <v>12</v>
      </c>
      <c r="B866" s="1" t="s">
        <v>3094</v>
      </c>
      <c r="C866" s="1" t="s">
        <v>3076</v>
      </c>
      <c r="D866" s="1" t="s">
        <v>1746</v>
      </c>
      <c r="E866" s="5">
        <v>36517.0</v>
      </c>
      <c r="F866" s="1" t="s">
        <v>24</v>
      </c>
      <c r="G866" s="1" t="s">
        <v>17</v>
      </c>
      <c r="H866" s="1" t="s">
        <v>18</v>
      </c>
      <c r="I866" s="3">
        <f>+2250584338869</f>
        <v>2250584338869</v>
      </c>
      <c r="J866" s="3">
        <f>+2250545691885</f>
        <v>2250545691885</v>
      </c>
      <c r="K866" s="1" t="s">
        <v>19</v>
      </c>
      <c r="L866" s="4" t="s">
        <v>3095</v>
      </c>
    </row>
    <row r="867">
      <c r="A867" s="1" t="s">
        <v>12</v>
      </c>
      <c r="B867" s="1" t="s">
        <v>3096</v>
      </c>
      <c r="C867" s="1" t="s">
        <v>3097</v>
      </c>
      <c r="D867" s="1" t="s">
        <v>3098</v>
      </c>
      <c r="E867" s="2">
        <v>37820.0</v>
      </c>
      <c r="F867" s="1" t="s">
        <v>48</v>
      </c>
      <c r="G867" s="1" t="s">
        <v>76</v>
      </c>
      <c r="H867" s="1" t="s">
        <v>32</v>
      </c>
      <c r="I867" s="3">
        <f>+2250142519273</f>
        <v>2250142519273</v>
      </c>
      <c r="J867" s="3">
        <f>+2250709970864</f>
        <v>2250709970864</v>
      </c>
      <c r="K867" s="1" t="s">
        <v>19</v>
      </c>
      <c r="L867" s="4" t="s">
        <v>3099</v>
      </c>
    </row>
    <row r="868">
      <c r="A868" s="1" t="s">
        <v>12</v>
      </c>
      <c r="B868" s="1" t="s">
        <v>3100</v>
      </c>
      <c r="C868" s="1" t="s">
        <v>3097</v>
      </c>
      <c r="D868" s="1" t="s">
        <v>3101</v>
      </c>
      <c r="E868" s="2">
        <v>38518.0</v>
      </c>
      <c r="F868" s="1" t="s">
        <v>53</v>
      </c>
      <c r="G868" s="1" t="s">
        <v>25</v>
      </c>
      <c r="H868" s="1" t="s">
        <v>18</v>
      </c>
      <c r="I868" s="3">
        <f>+2250160996416</f>
        <v>2250160996416</v>
      </c>
      <c r="J868" s="3">
        <f>+2250747067448</f>
        <v>2250747067448</v>
      </c>
      <c r="K868" s="1" t="s">
        <v>19</v>
      </c>
      <c r="L868" s="4" t="s">
        <v>3102</v>
      </c>
    </row>
    <row r="869">
      <c r="A869" s="1" t="s">
        <v>12</v>
      </c>
      <c r="B869" s="1" t="s">
        <v>3103</v>
      </c>
      <c r="C869" s="1" t="s">
        <v>1671</v>
      </c>
      <c r="D869" s="1" t="s">
        <v>3104</v>
      </c>
      <c r="E869" s="5">
        <v>37603.0</v>
      </c>
      <c r="F869" s="1" t="s">
        <v>155</v>
      </c>
      <c r="G869" s="1" t="s">
        <v>76</v>
      </c>
      <c r="H869" s="1" t="s">
        <v>32</v>
      </c>
      <c r="I869" s="3">
        <f>+2250711108406</f>
        <v>2250711108406</v>
      </c>
      <c r="J869" s="3">
        <f>+2250101157742</f>
        <v>2250101157742</v>
      </c>
      <c r="K869" s="1" t="s">
        <v>19</v>
      </c>
      <c r="L869" s="4" t="s">
        <v>3105</v>
      </c>
    </row>
    <row r="870">
      <c r="A870" s="1" t="s">
        <v>12</v>
      </c>
      <c r="B870" s="1" t="s">
        <v>3106</v>
      </c>
      <c r="C870" s="1" t="s">
        <v>1671</v>
      </c>
      <c r="D870" s="1" t="s">
        <v>3107</v>
      </c>
      <c r="E870" s="2">
        <v>36318.0</v>
      </c>
      <c r="F870" s="1" t="s">
        <v>167</v>
      </c>
      <c r="G870" s="1" t="s">
        <v>17</v>
      </c>
      <c r="H870" s="1" t="s">
        <v>18</v>
      </c>
      <c r="I870" s="3">
        <f>+2250758657659</f>
        <v>2250758657659</v>
      </c>
      <c r="J870" s="3">
        <f>+2250709375137</f>
        <v>2250709375137</v>
      </c>
      <c r="K870" s="1" t="s">
        <v>19</v>
      </c>
      <c r="L870" s="4" t="s">
        <v>3108</v>
      </c>
    </row>
    <row r="871">
      <c r="A871" s="1" t="s">
        <v>12</v>
      </c>
      <c r="B871" s="1" t="s">
        <v>3109</v>
      </c>
      <c r="C871" s="1" t="s">
        <v>3110</v>
      </c>
      <c r="D871" s="1" t="s">
        <v>3111</v>
      </c>
      <c r="E871" s="2">
        <v>37702.0</v>
      </c>
      <c r="F871" s="1" t="s">
        <v>101</v>
      </c>
      <c r="G871" s="1" t="s">
        <v>31</v>
      </c>
      <c r="H871" s="1" t="s">
        <v>32</v>
      </c>
      <c r="I871" s="3">
        <f>+2250500519688</f>
        <v>2250500519688</v>
      </c>
      <c r="J871" s="3">
        <f>+2250505152693</f>
        <v>2250505152693</v>
      </c>
      <c r="K871" s="1" t="s">
        <v>19</v>
      </c>
      <c r="L871" s="4" t="s">
        <v>3112</v>
      </c>
    </row>
    <row r="872">
      <c r="A872" s="1" t="s">
        <v>12</v>
      </c>
      <c r="B872" s="1" t="s">
        <v>3113</v>
      </c>
      <c r="C872" s="1" t="s">
        <v>3114</v>
      </c>
      <c r="D872" s="1" t="s">
        <v>3115</v>
      </c>
      <c r="E872" s="2">
        <v>37784.0</v>
      </c>
      <c r="F872" s="1" t="s">
        <v>167</v>
      </c>
      <c r="G872" s="1" t="s">
        <v>17</v>
      </c>
      <c r="H872" s="1" t="s">
        <v>18</v>
      </c>
      <c r="I872" s="3">
        <f>+2250584714373</f>
        <v>2250584714373</v>
      </c>
      <c r="J872" s="3">
        <f>+2250707519034</f>
        <v>2250707519034</v>
      </c>
      <c r="K872" s="1" t="s">
        <v>19</v>
      </c>
      <c r="L872" s="4" t="s">
        <v>3116</v>
      </c>
    </row>
    <row r="873">
      <c r="A873" s="1" t="s">
        <v>12</v>
      </c>
      <c r="B873" s="1" t="s">
        <v>3117</v>
      </c>
      <c r="C873" s="1" t="s">
        <v>3118</v>
      </c>
      <c r="D873" s="1" t="s">
        <v>1259</v>
      </c>
      <c r="E873" s="2">
        <v>37666.0</v>
      </c>
      <c r="F873" s="1" t="s">
        <v>155</v>
      </c>
      <c r="G873" s="1" t="s">
        <v>76</v>
      </c>
      <c r="H873" s="1" t="s">
        <v>32</v>
      </c>
      <c r="I873" s="3">
        <f>+2250704658070</f>
        <v>2250704658070</v>
      </c>
      <c r="J873" s="3">
        <f>+2250768402124</f>
        <v>2250768402124</v>
      </c>
      <c r="K873" s="1" t="s">
        <v>19</v>
      </c>
      <c r="L873" s="4" t="s">
        <v>3119</v>
      </c>
    </row>
    <row r="874">
      <c r="A874" s="1" t="s">
        <v>12</v>
      </c>
      <c r="B874" s="1" t="s">
        <v>3120</v>
      </c>
      <c r="C874" s="1" t="s">
        <v>3121</v>
      </c>
      <c r="D874" s="1" t="s">
        <v>3122</v>
      </c>
      <c r="E874" s="2">
        <v>37043.0</v>
      </c>
      <c r="F874" s="1" t="s">
        <v>48</v>
      </c>
      <c r="G874" s="1" t="s">
        <v>25</v>
      </c>
      <c r="H874" s="1" t="s">
        <v>18</v>
      </c>
      <c r="I874" s="3">
        <f>+2250749517275</f>
        <v>2250749517275</v>
      </c>
      <c r="J874" s="3">
        <f>+2250544775830</f>
        <v>2250544775830</v>
      </c>
      <c r="K874" s="1" t="s">
        <v>19</v>
      </c>
      <c r="L874" s="4" t="s">
        <v>3123</v>
      </c>
    </row>
    <row r="875">
      <c r="A875" s="1" t="s">
        <v>12</v>
      </c>
      <c r="B875" s="1" t="s">
        <v>3124</v>
      </c>
      <c r="C875" s="1" t="s">
        <v>3125</v>
      </c>
      <c r="D875" s="1" t="s">
        <v>3126</v>
      </c>
      <c r="E875" s="2">
        <v>37596.0</v>
      </c>
      <c r="F875" s="1" t="s">
        <v>167</v>
      </c>
      <c r="G875" s="1" t="s">
        <v>25</v>
      </c>
      <c r="H875" s="1" t="s">
        <v>18</v>
      </c>
      <c r="I875" s="3">
        <f t="shared" ref="I875:J875" si="22">+2250707366210</f>
        <v>2250707366210</v>
      </c>
      <c r="J875" s="3">
        <f t="shared" si="22"/>
        <v>2250707366210</v>
      </c>
      <c r="K875" s="1" t="s">
        <v>19</v>
      </c>
      <c r="L875" s="4" t="s">
        <v>3127</v>
      </c>
    </row>
    <row r="876">
      <c r="A876" s="1" t="s">
        <v>12</v>
      </c>
      <c r="B876" s="1" t="s">
        <v>3128</v>
      </c>
      <c r="C876" s="1" t="s">
        <v>3125</v>
      </c>
      <c r="D876" s="1" t="s">
        <v>3129</v>
      </c>
      <c r="E876" s="2">
        <v>38061.0</v>
      </c>
      <c r="F876" s="1" t="s">
        <v>62</v>
      </c>
      <c r="G876" s="1" t="s">
        <v>17</v>
      </c>
      <c r="H876" s="1" t="s">
        <v>18</v>
      </c>
      <c r="I876" s="3">
        <f>+2250748372194</f>
        <v>2250748372194</v>
      </c>
      <c r="J876" s="3">
        <f>+2250102815375</f>
        <v>2250102815375</v>
      </c>
      <c r="K876" s="1" t="s">
        <v>19</v>
      </c>
      <c r="L876" s="4" t="s">
        <v>3130</v>
      </c>
    </row>
    <row r="877">
      <c r="A877" s="1" t="s">
        <v>12</v>
      </c>
      <c r="B877" s="1" t="s">
        <v>3131</v>
      </c>
      <c r="C877" s="1" t="s">
        <v>3132</v>
      </c>
      <c r="D877" s="1" t="s">
        <v>3133</v>
      </c>
      <c r="E877" s="2">
        <v>36379.0</v>
      </c>
      <c r="F877" s="1" t="s">
        <v>81</v>
      </c>
      <c r="G877" s="1" t="s">
        <v>82</v>
      </c>
      <c r="H877" s="1" t="s">
        <v>18</v>
      </c>
      <c r="I877" s="3">
        <f>+2250779516341</f>
        <v>2250779516341</v>
      </c>
      <c r="J877" s="3">
        <f>+2250748712858</f>
        <v>2250748712858</v>
      </c>
      <c r="K877" s="1" t="s">
        <v>19</v>
      </c>
      <c r="L877" s="4" t="s">
        <v>3134</v>
      </c>
    </row>
    <row r="878">
      <c r="A878" s="1" t="s">
        <v>12</v>
      </c>
      <c r="B878" s="1" t="s">
        <v>3135</v>
      </c>
      <c r="C878" s="1" t="s">
        <v>3136</v>
      </c>
      <c r="D878" s="1" t="s">
        <v>3137</v>
      </c>
      <c r="E878" s="2">
        <v>37956.0</v>
      </c>
      <c r="F878" s="1" t="s">
        <v>92</v>
      </c>
      <c r="G878" s="1" t="s">
        <v>31</v>
      </c>
      <c r="H878" s="1" t="s">
        <v>32</v>
      </c>
      <c r="I878" s="3">
        <f>+2250150047110</f>
        <v>2250150047110</v>
      </c>
      <c r="J878" s="3">
        <f>+2250708220048</f>
        <v>2250708220048</v>
      </c>
      <c r="K878" s="1" t="s">
        <v>19</v>
      </c>
      <c r="L878" s="4" t="s">
        <v>3138</v>
      </c>
    </row>
    <row r="879">
      <c r="A879" s="1" t="s">
        <v>12</v>
      </c>
      <c r="B879" s="1" t="s">
        <v>3139</v>
      </c>
      <c r="C879" s="1" t="s">
        <v>3140</v>
      </c>
      <c r="D879" s="1" t="s">
        <v>3141</v>
      </c>
      <c r="E879" s="2">
        <v>37704.0</v>
      </c>
      <c r="F879" s="1" t="s">
        <v>62</v>
      </c>
      <c r="G879" s="1" t="s">
        <v>17</v>
      </c>
      <c r="H879" s="1" t="s">
        <v>18</v>
      </c>
      <c r="I879" s="3">
        <f>+2250173836030</f>
        <v>2250173836030</v>
      </c>
      <c r="J879" s="3">
        <f>+2250140748701</f>
        <v>2250140748701</v>
      </c>
      <c r="K879" s="1" t="s">
        <v>19</v>
      </c>
      <c r="L879" s="4" t="s">
        <v>3142</v>
      </c>
    </row>
    <row r="880">
      <c r="A880" s="1" t="s">
        <v>12</v>
      </c>
      <c r="B880" s="1" t="s">
        <v>3143</v>
      </c>
      <c r="C880" s="1" t="s">
        <v>3144</v>
      </c>
      <c r="D880" s="1" t="s">
        <v>3145</v>
      </c>
      <c r="E880" s="2">
        <v>38293.0</v>
      </c>
      <c r="F880" s="1" t="s">
        <v>62</v>
      </c>
      <c r="G880" s="1" t="s">
        <v>25</v>
      </c>
      <c r="H880" s="1" t="s">
        <v>18</v>
      </c>
      <c r="I880" s="3">
        <f>+2250160391359</f>
        <v>2250160391359</v>
      </c>
      <c r="J880" s="3">
        <f>+2250102804397</f>
        <v>2250102804397</v>
      </c>
      <c r="K880" s="1" t="s">
        <v>19</v>
      </c>
      <c r="L880" s="4" t="s">
        <v>3146</v>
      </c>
    </row>
    <row r="881">
      <c r="A881" s="1" t="s">
        <v>12</v>
      </c>
      <c r="B881" s="1" t="s">
        <v>3147</v>
      </c>
      <c r="C881" s="1" t="s">
        <v>3148</v>
      </c>
      <c r="D881" s="1" t="s">
        <v>3149</v>
      </c>
      <c r="E881" s="2">
        <v>38134.0</v>
      </c>
      <c r="F881" s="1" t="s">
        <v>62</v>
      </c>
      <c r="G881" s="1" t="s">
        <v>25</v>
      </c>
      <c r="H881" s="1" t="s">
        <v>18</v>
      </c>
      <c r="I881" s="3">
        <f>+2250767086634</f>
        <v>2250767086634</v>
      </c>
      <c r="J881" s="3">
        <f>+2250749753284</f>
        <v>2250749753284</v>
      </c>
      <c r="K881" s="1" t="s">
        <v>19</v>
      </c>
      <c r="L881" s="4" t="s">
        <v>3150</v>
      </c>
    </row>
    <row r="882">
      <c r="A882" s="1" t="s">
        <v>12</v>
      </c>
      <c r="B882" s="1" t="s">
        <v>3151</v>
      </c>
      <c r="C882" s="1" t="s">
        <v>3152</v>
      </c>
      <c r="D882" s="1" t="s">
        <v>3153</v>
      </c>
      <c r="E882" s="2">
        <v>38019.0</v>
      </c>
      <c r="F882" s="1" t="s">
        <v>97</v>
      </c>
      <c r="G882" s="1" t="s">
        <v>82</v>
      </c>
      <c r="H882" s="1" t="s">
        <v>18</v>
      </c>
      <c r="I882" s="3">
        <f>+2250789655548</f>
        <v>2250789655548</v>
      </c>
      <c r="J882" s="3">
        <f>+2250545464404</f>
        <v>2250545464404</v>
      </c>
      <c r="K882" s="1" t="s">
        <v>19</v>
      </c>
      <c r="L882" s="4" t="s">
        <v>3154</v>
      </c>
    </row>
    <row r="883">
      <c r="A883" s="1" t="s">
        <v>12</v>
      </c>
      <c r="B883" s="1" t="s">
        <v>3155</v>
      </c>
      <c r="C883" s="1" t="s">
        <v>3156</v>
      </c>
      <c r="D883" s="1" t="s">
        <v>3157</v>
      </c>
      <c r="E883" s="5">
        <v>37546.0</v>
      </c>
      <c r="F883" s="1" t="s">
        <v>138</v>
      </c>
      <c r="G883" s="1" t="s">
        <v>25</v>
      </c>
      <c r="H883" s="1" t="s">
        <v>18</v>
      </c>
      <c r="I883" s="3">
        <f>+2250584483929</f>
        <v>2250584483929</v>
      </c>
      <c r="J883" s="3">
        <f>+2250748243315</f>
        <v>2250748243315</v>
      </c>
      <c r="K883" s="1" t="s">
        <v>19</v>
      </c>
      <c r="L883" s="4" t="s">
        <v>3158</v>
      </c>
    </row>
    <row r="884">
      <c r="A884" s="1" t="s">
        <v>12</v>
      </c>
      <c r="B884" s="1" t="s">
        <v>3159</v>
      </c>
      <c r="C884" s="1" t="s">
        <v>3156</v>
      </c>
      <c r="D884" s="1" t="s">
        <v>3160</v>
      </c>
      <c r="E884" s="2">
        <v>39258.0</v>
      </c>
      <c r="F884" s="1" t="s">
        <v>75</v>
      </c>
      <c r="G884" s="1" t="s">
        <v>31</v>
      </c>
      <c r="H884" s="1" t="s">
        <v>32</v>
      </c>
      <c r="I884" s="3">
        <f>+2250767332682</f>
        <v>2250767332682</v>
      </c>
      <c r="J884" s="3">
        <f>+2250747075678</f>
        <v>2250747075678</v>
      </c>
      <c r="K884" s="1" t="s">
        <v>19</v>
      </c>
      <c r="L884" s="4" t="s">
        <v>3161</v>
      </c>
    </row>
    <row r="885">
      <c r="A885" s="1" t="s">
        <v>12</v>
      </c>
      <c r="B885" s="1" t="s">
        <v>3162</v>
      </c>
      <c r="C885" s="1" t="s">
        <v>3163</v>
      </c>
      <c r="D885" s="1" t="s">
        <v>3164</v>
      </c>
      <c r="E885" s="2">
        <v>36936.0</v>
      </c>
      <c r="F885" s="1" t="s">
        <v>62</v>
      </c>
      <c r="G885" s="1" t="s">
        <v>17</v>
      </c>
      <c r="H885" s="1" t="s">
        <v>18</v>
      </c>
      <c r="I885" s="3">
        <f>+2250585137984</f>
        <v>2250585137984</v>
      </c>
      <c r="J885" s="3">
        <f>+2250504137605</f>
        <v>2250504137605</v>
      </c>
      <c r="K885" s="1" t="s">
        <v>19</v>
      </c>
      <c r="L885" s="4" t="s">
        <v>3165</v>
      </c>
    </row>
    <row r="886">
      <c r="A886" s="1" t="s">
        <v>12</v>
      </c>
      <c r="B886" s="1" t="s">
        <v>3166</v>
      </c>
      <c r="C886" s="1" t="s">
        <v>3167</v>
      </c>
      <c r="D886" s="1" t="s">
        <v>3168</v>
      </c>
      <c r="E886" s="2">
        <v>37867.0</v>
      </c>
      <c r="F886" s="1" t="s">
        <v>62</v>
      </c>
      <c r="G886" s="1" t="s">
        <v>25</v>
      </c>
      <c r="H886" s="1" t="s">
        <v>18</v>
      </c>
      <c r="I886" s="3">
        <f>+2250143004073</f>
        <v>2250143004073</v>
      </c>
      <c r="J886" s="3">
        <f t="shared" ref="J886:J887" si="23">+2250709489648</f>
        <v>2250709489648</v>
      </c>
      <c r="K886" s="1" t="s">
        <v>19</v>
      </c>
      <c r="L886" s="4" t="s">
        <v>3169</v>
      </c>
    </row>
    <row r="887">
      <c r="A887" s="1" t="s">
        <v>12</v>
      </c>
      <c r="B887" s="1" t="s">
        <v>3170</v>
      </c>
      <c r="C887" s="1" t="s">
        <v>3167</v>
      </c>
      <c r="D887" s="1" t="s">
        <v>3171</v>
      </c>
      <c r="E887" s="5">
        <v>37190.0</v>
      </c>
      <c r="F887" s="1" t="s">
        <v>53</v>
      </c>
      <c r="G887" s="1" t="s">
        <v>25</v>
      </c>
      <c r="H887" s="1" t="s">
        <v>18</v>
      </c>
      <c r="I887" s="3">
        <f>+2250704547670</f>
        <v>2250704547670</v>
      </c>
      <c r="J887" s="3">
        <f t="shared" si="23"/>
        <v>2250709489648</v>
      </c>
      <c r="K887" s="1" t="s">
        <v>19</v>
      </c>
      <c r="L887" s="4" t="s">
        <v>3172</v>
      </c>
    </row>
    <row r="888">
      <c r="A888" s="1" t="s">
        <v>12</v>
      </c>
      <c r="B888" s="1" t="s">
        <v>3173</v>
      </c>
      <c r="C888" s="1" t="s">
        <v>3174</v>
      </c>
      <c r="D888" s="1" t="s">
        <v>3175</v>
      </c>
      <c r="E888" s="5">
        <v>38697.0</v>
      </c>
      <c r="F888" s="1" t="s">
        <v>416</v>
      </c>
      <c r="G888" s="1" t="s">
        <v>76</v>
      </c>
      <c r="H888" s="1" t="s">
        <v>32</v>
      </c>
      <c r="I888" s="3">
        <f>+2250140244705</f>
        <v>2250140244705</v>
      </c>
      <c r="J888" s="3">
        <f>+2250505202416</f>
        <v>2250505202416</v>
      </c>
      <c r="K888" s="1" t="s">
        <v>19</v>
      </c>
      <c r="L888" s="4" t="s">
        <v>3176</v>
      </c>
    </row>
    <row r="889">
      <c r="A889" s="1" t="s">
        <v>12</v>
      </c>
      <c r="B889" s="1" t="s">
        <v>3177</v>
      </c>
      <c r="C889" s="1" t="s">
        <v>3178</v>
      </c>
      <c r="D889" s="1" t="s">
        <v>3179</v>
      </c>
      <c r="E889" s="2">
        <v>36917.0</v>
      </c>
      <c r="F889" s="1" t="s">
        <v>70</v>
      </c>
      <c r="G889" s="1" t="s">
        <v>31</v>
      </c>
      <c r="H889" s="1" t="s">
        <v>32</v>
      </c>
      <c r="I889" s="3">
        <f>+2250797621173</f>
        <v>2250797621173</v>
      </c>
      <c r="J889" s="3">
        <f>+2250708707151</f>
        <v>2250708707151</v>
      </c>
      <c r="K889" s="1" t="s">
        <v>19</v>
      </c>
      <c r="L889" s="4" t="s">
        <v>3180</v>
      </c>
    </row>
    <row r="890">
      <c r="A890" s="1" t="s">
        <v>12</v>
      </c>
      <c r="B890" s="1" t="s">
        <v>3181</v>
      </c>
      <c r="C890" s="1" t="s">
        <v>3178</v>
      </c>
      <c r="D890" s="1" t="s">
        <v>3182</v>
      </c>
      <c r="E890" s="2">
        <v>38117.0</v>
      </c>
      <c r="F890" s="1" t="s">
        <v>62</v>
      </c>
      <c r="G890" s="1" t="s">
        <v>17</v>
      </c>
      <c r="H890" s="1" t="s">
        <v>18</v>
      </c>
      <c r="I890" s="3">
        <f>+2250705827762</f>
        <v>2250705827762</v>
      </c>
      <c r="J890" s="3">
        <f>+2250103672851</f>
        <v>2250103672851</v>
      </c>
      <c r="K890" s="1" t="s">
        <v>19</v>
      </c>
      <c r="L890" s="4" t="s">
        <v>3183</v>
      </c>
    </row>
    <row r="891">
      <c r="A891" s="1" t="s">
        <v>12</v>
      </c>
      <c r="B891" s="1" t="s">
        <v>3184</v>
      </c>
      <c r="C891" s="1" t="s">
        <v>3185</v>
      </c>
      <c r="D891" s="1" t="s">
        <v>3186</v>
      </c>
      <c r="E891" s="2">
        <v>37042.0</v>
      </c>
      <c r="F891" s="1" t="s">
        <v>110</v>
      </c>
      <c r="G891" s="1" t="s">
        <v>82</v>
      </c>
      <c r="H891" s="1" t="s">
        <v>18</v>
      </c>
      <c r="I891" s="3">
        <f>+2250787258219</f>
        <v>2250787258219</v>
      </c>
      <c r="J891" s="3">
        <f>+2250778097578</f>
        <v>2250778097578</v>
      </c>
      <c r="K891" s="1" t="s">
        <v>19</v>
      </c>
      <c r="L891" s="4" t="s">
        <v>3187</v>
      </c>
    </row>
    <row r="892">
      <c r="A892" s="1" t="s">
        <v>12</v>
      </c>
      <c r="B892" s="1" t="s">
        <v>3188</v>
      </c>
      <c r="C892" s="1" t="s">
        <v>3189</v>
      </c>
      <c r="D892" s="1" t="s">
        <v>3190</v>
      </c>
      <c r="E892" s="2">
        <v>38126.0</v>
      </c>
      <c r="F892" s="1" t="s">
        <v>62</v>
      </c>
      <c r="G892" s="1" t="s">
        <v>17</v>
      </c>
      <c r="H892" s="1" t="s">
        <v>18</v>
      </c>
      <c r="I892" s="3">
        <f>+2250759878202</f>
        <v>2250759878202</v>
      </c>
      <c r="J892" s="3">
        <f>+2250707583296</f>
        <v>2250707583296</v>
      </c>
      <c r="K892" s="1" t="s">
        <v>19</v>
      </c>
      <c r="L892" s="4" t="s">
        <v>3191</v>
      </c>
    </row>
    <row r="893">
      <c r="A893" s="1" t="s">
        <v>12</v>
      </c>
      <c r="B893" s="1" t="s">
        <v>3192</v>
      </c>
      <c r="C893" s="1" t="s">
        <v>3193</v>
      </c>
      <c r="D893" s="1" t="s">
        <v>3194</v>
      </c>
      <c r="E893" s="2">
        <v>38066.0</v>
      </c>
      <c r="F893" s="1" t="s">
        <v>16</v>
      </c>
      <c r="G893" s="1" t="s">
        <v>25</v>
      </c>
      <c r="H893" s="1" t="s">
        <v>18</v>
      </c>
      <c r="I893" s="3">
        <f>+2250702786869</f>
        <v>2250702786869</v>
      </c>
      <c r="J893" s="3">
        <f>+2250708519332</f>
        <v>2250708519332</v>
      </c>
      <c r="K893" s="1" t="s">
        <v>19</v>
      </c>
      <c r="L893" s="4" t="s">
        <v>3195</v>
      </c>
    </row>
    <row r="894">
      <c r="A894" s="1" t="s">
        <v>12</v>
      </c>
      <c r="B894" s="1" t="s">
        <v>3196</v>
      </c>
      <c r="C894" s="1" t="s">
        <v>3197</v>
      </c>
      <c r="D894" s="1" t="s">
        <v>3198</v>
      </c>
      <c r="E894" s="2">
        <v>36606.0</v>
      </c>
      <c r="F894" s="1" t="s">
        <v>37</v>
      </c>
      <c r="G894" s="1" t="s">
        <v>82</v>
      </c>
      <c r="H894" s="1" t="s">
        <v>18</v>
      </c>
      <c r="I894" s="3">
        <f>+2250142182486</f>
        <v>2250142182486</v>
      </c>
      <c r="J894" s="3">
        <f>+2250141095422</f>
        <v>2250141095422</v>
      </c>
      <c r="K894" s="1" t="s">
        <v>19</v>
      </c>
      <c r="L894" s="4" t="s">
        <v>3199</v>
      </c>
    </row>
    <row r="895">
      <c r="A895" s="1" t="s">
        <v>12</v>
      </c>
      <c r="B895" s="1" t="s">
        <v>3200</v>
      </c>
      <c r="C895" s="1" t="s">
        <v>3201</v>
      </c>
      <c r="D895" s="1" t="s">
        <v>966</v>
      </c>
      <c r="E895" s="2">
        <v>36924.0</v>
      </c>
      <c r="F895" s="1" t="s">
        <v>167</v>
      </c>
      <c r="G895" s="1" t="s">
        <v>17</v>
      </c>
      <c r="H895" s="1" t="s">
        <v>18</v>
      </c>
      <c r="I895" s="3">
        <f>+225078990414</f>
        <v>225078990414</v>
      </c>
      <c r="J895" s="3">
        <f>+2250707897912</f>
        <v>2250707897912</v>
      </c>
      <c r="K895" s="1" t="s">
        <v>19</v>
      </c>
      <c r="L895" s="4" t="s">
        <v>3202</v>
      </c>
    </row>
    <row r="896">
      <c r="A896" s="1" t="s">
        <v>12</v>
      </c>
      <c r="B896" s="1" t="s">
        <v>3203</v>
      </c>
      <c r="C896" s="1" t="s">
        <v>3201</v>
      </c>
      <c r="D896" s="1" t="s">
        <v>3204</v>
      </c>
      <c r="E896" s="2">
        <v>38235.0</v>
      </c>
      <c r="F896" s="1" t="s">
        <v>101</v>
      </c>
      <c r="G896" s="1" t="s">
        <v>76</v>
      </c>
      <c r="H896" s="1" t="s">
        <v>32</v>
      </c>
      <c r="I896" s="3">
        <f>+2250759780559</f>
        <v>2250759780559</v>
      </c>
      <c r="J896" s="3">
        <f>+2250101612318</f>
        <v>2250101612318</v>
      </c>
      <c r="K896" s="1" t="s">
        <v>19</v>
      </c>
      <c r="L896" s="4" t="s">
        <v>3205</v>
      </c>
    </row>
    <row r="897">
      <c r="A897" s="1" t="s">
        <v>12</v>
      </c>
      <c r="B897" s="1" t="s">
        <v>3206</v>
      </c>
      <c r="C897" s="1" t="s">
        <v>3201</v>
      </c>
      <c r="D897" s="1" t="s">
        <v>3207</v>
      </c>
      <c r="E897" s="2">
        <v>37746.0</v>
      </c>
      <c r="F897" s="1" t="s">
        <v>62</v>
      </c>
      <c r="G897" s="1" t="s">
        <v>25</v>
      </c>
      <c r="H897" s="1" t="s">
        <v>18</v>
      </c>
      <c r="I897" s="3">
        <f>+2250452278360</f>
        <v>2250452278360</v>
      </c>
      <c r="J897" s="3">
        <f>+2250101747893</f>
        <v>2250101747893</v>
      </c>
      <c r="K897" s="1" t="s">
        <v>19</v>
      </c>
      <c r="L897" s="4" t="s">
        <v>3208</v>
      </c>
    </row>
    <row r="898">
      <c r="A898" s="1" t="s">
        <v>12</v>
      </c>
      <c r="B898" s="1" t="s">
        <v>3209</v>
      </c>
      <c r="C898" s="1" t="s">
        <v>3201</v>
      </c>
      <c r="D898" s="1" t="s">
        <v>3210</v>
      </c>
      <c r="E898" s="5">
        <v>37544.0</v>
      </c>
      <c r="F898" s="1" t="s">
        <v>30</v>
      </c>
      <c r="G898" s="1" t="s">
        <v>76</v>
      </c>
      <c r="H898" s="1" t="s">
        <v>32</v>
      </c>
      <c r="I898" s="3">
        <f>+2250554864365</f>
        <v>2250554864365</v>
      </c>
      <c r="J898" s="3">
        <f>+2250555216769</f>
        <v>2250555216769</v>
      </c>
      <c r="K898" s="1" t="s">
        <v>19</v>
      </c>
      <c r="L898" s="4" t="s">
        <v>3211</v>
      </c>
    </row>
    <row r="899">
      <c r="A899" s="1" t="s">
        <v>12</v>
      </c>
      <c r="B899" s="1" t="s">
        <v>3212</v>
      </c>
      <c r="C899" s="1" t="s">
        <v>3201</v>
      </c>
      <c r="D899" s="1" t="s">
        <v>1732</v>
      </c>
      <c r="E899" s="2">
        <v>37683.0</v>
      </c>
      <c r="F899" s="1" t="s">
        <v>62</v>
      </c>
      <c r="G899" s="1" t="s">
        <v>17</v>
      </c>
      <c r="H899" s="1" t="s">
        <v>18</v>
      </c>
      <c r="I899" s="3">
        <f>+2250505368946</f>
        <v>2250505368946</v>
      </c>
      <c r="J899" s="3">
        <f>+2250707801021</f>
        <v>2250707801021</v>
      </c>
      <c r="K899" s="1" t="s">
        <v>19</v>
      </c>
      <c r="L899" s="4" t="s">
        <v>3213</v>
      </c>
    </row>
    <row r="900">
      <c r="A900" s="1" t="s">
        <v>12</v>
      </c>
      <c r="B900" s="1" t="s">
        <v>3214</v>
      </c>
      <c r="C900" s="1" t="s">
        <v>3201</v>
      </c>
      <c r="D900" s="1" t="s">
        <v>1610</v>
      </c>
      <c r="E900" s="2">
        <v>36537.0</v>
      </c>
      <c r="F900" s="1" t="s">
        <v>53</v>
      </c>
      <c r="G900" s="1" t="s">
        <v>17</v>
      </c>
      <c r="H900" s="1" t="s">
        <v>18</v>
      </c>
      <c r="I900" s="3">
        <f>+2250777973667</f>
        <v>2250777973667</v>
      </c>
      <c r="J900" s="3">
        <f>+2250554026098</f>
        <v>2250554026098</v>
      </c>
      <c r="K900" s="1" t="s">
        <v>19</v>
      </c>
      <c r="L900" s="4" t="s">
        <v>3215</v>
      </c>
    </row>
    <row r="901">
      <c r="A901" s="1" t="s">
        <v>12</v>
      </c>
      <c r="B901" s="1" t="s">
        <v>3216</v>
      </c>
      <c r="C901" s="1" t="s">
        <v>3201</v>
      </c>
      <c r="D901" s="1" t="s">
        <v>3217</v>
      </c>
      <c r="E901" s="5">
        <v>38275.0</v>
      </c>
      <c r="F901" s="1" t="s">
        <v>101</v>
      </c>
      <c r="G901" s="1" t="s">
        <v>31</v>
      </c>
      <c r="H901" s="1" t="s">
        <v>32</v>
      </c>
      <c r="I901" s="3">
        <f t="shared" ref="I901:J901" si="24">+2250778347146</f>
        <v>2250778347146</v>
      </c>
      <c r="J901" s="3">
        <f t="shared" si="24"/>
        <v>2250778347146</v>
      </c>
      <c r="K901" s="1" t="s">
        <v>19</v>
      </c>
      <c r="L901" s="4" t="s">
        <v>3218</v>
      </c>
    </row>
    <row r="902">
      <c r="A902" s="1" t="s">
        <v>12</v>
      </c>
      <c r="B902" s="1" t="s">
        <v>3219</v>
      </c>
      <c r="C902" s="1" t="s">
        <v>3201</v>
      </c>
      <c r="D902" s="1" t="s">
        <v>3220</v>
      </c>
      <c r="E902" s="5">
        <v>37180.0</v>
      </c>
      <c r="F902" s="1" t="s">
        <v>167</v>
      </c>
      <c r="G902" s="1" t="s">
        <v>17</v>
      </c>
      <c r="H902" s="1" t="s">
        <v>18</v>
      </c>
      <c r="I902" s="3">
        <f>+2250759385514</f>
        <v>2250759385514</v>
      </c>
      <c r="J902" s="3">
        <f>+2250707831764</f>
        <v>2250707831764</v>
      </c>
      <c r="K902" s="1" t="s">
        <v>19</v>
      </c>
      <c r="L902" s="4" t="s">
        <v>3221</v>
      </c>
    </row>
    <row r="903">
      <c r="A903" s="1" t="s">
        <v>12</v>
      </c>
      <c r="B903" s="1" t="s">
        <v>3222</v>
      </c>
      <c r="C903" s="1" t="s">
        <v>3201</v>
      </c>
      <c r="D903" s="1" t="s">
        <v>3223</v>
      </c>
      <c r="E903" s="2">
        <v>37454.0</v>
      </c>
      <c r="F903" s="1" t="s">
        <v>110</v>
      </c>
      <c r="G903" s="1" t="s">
        <v>82</v>
      </c>
      <c r="H903" s="1" t="s">
        <v>18</v>
      </c>
      <c r="I903" s="3">
        <f>+2250576420149</f>
        <v>2250576420149</v>
      </c>
      <c r="J903" s="3">
        <f>+2250504293696</f>
        <v>2250504293696</v>
      </c>
      <c r="K903" s="1" t="s">
        <v>19</v>
      </c>
      <c r="L903" s="4" t="s">
        <v>3224</v>
      </c>
    </row>
    <row r="904">
      <c r="A904" s="1" t="s">
        <v>12</v>
      </c>
      <c r="B904" s="1" t="s">
        <v>3225</v>
      </c>
      <c r="C904" s="1" t="s">
        <v>3226</v>
      </c>
      <c r="D904" s="1" t="s">
        <v>3227</v>
      </c>
      <c r="E904" s="2">
        <v>36922.0</v>
      </c>
      <c r="F904" s="1" t="s">
        <v>81</v>
      </c>
      <c r="G904" s="1" t="s">
        <v>38</v>
      </c>
      <c r="H904" s="1" t="s">
        <v>39</v>
      </c>
      <c r="I904" s="3">
        <f>+2250788658941</f>
        <v>2250788658941</v>
      </c>
      <c r="J904" s="3">
        <f>+2250707923584</f>
        <v>2250707923584</v>
      </c>
      <c r="K904" s="1" t="s">
        <v>19</v>
      </c>
      <c r="L904" s="4" t="s">
        <v>3228</v>
      </c>
    </row>
    <row r="905">
      <c r="A905" s="1" t="s">
        <v>12</v>
      </c>
      <c r="B905" s="1" t="s">
        <v>3229</v>
      </c>
      <c r="C905" s="1" t="s">
        <v>3230</v>
      </c>
      <c r="D905" s="1" t="s">
        <v>3231</v>
      </c>
      <c r="E905" s="2">
        <v>37733.0</v>
      </c>
      <c r="F905" s="1" t="s">
        <v>53</v>
      </c>
      <c r="G905" s="1" t="s">
        <v>25</v>
      </c>
      <c r="H905" s="1" t="s">
        <v>18</v>
      </c>
      <c r="I905" s="3">
        <f>+2250103254735</f>
        <v>2250103254735</v>
      </c>
      <c r="J905" s="3">
        <f>+2250101029772</f>
        <v>2250101029772</v>
      </c>
      <c r="K905" s="1" t="s">
        <v>19</v>
      </c>
      <c r="L905" s="4" t="s">
        <v>3232</v>
      </c>
    </row>
    <row r="906">
      <c r="A906" s="1" t="s">
        <v>12</v>
      </c>
      <c r="B906" s="1" t="s">
        <v>3233</v>
      </c>
      <c r="C906" s="1" t="s">
        <v>3234</v>
      </c>
      <c r="D906" s="1" t="s">
        <v>3235</v>
      </c>
      <c r="E906" s="2">
        <v>37870.0</v>
      </c>
      <c r="F906" s="1" t="s">
        <v>155</v>
      </c>
      <c r="G906" s="1" t="s">
        <v>82</v>
      </c>
      <c r="H906" s="1" t="s">
        <v>18</v>
      </c>
      <c r="I906" s="3">
        <f>+2250170988496</f>
        <v>2250170988496</v>
      </c>
      <c r="J906" s="3">
        <f>+2250747969233</f>
        <v>2250747969233</v>
      </c>
      <c r="K906" s="1" t="s">
        <v>19</v>
      </c>
      <c r="L906" s="4" t="s">
        <v>3236</v>
      </c>
    </row>
    <row r="907">
      <c r="A907" s="1" t="s">
        <v>12</v>
      </c>
      <c r="B907" s="1" t="s">
        <v>3237</v>
      </c>
      <c r="C907" s="1" t="s">
        <v>3238</v>
      </c>
      <c r="D907" s="1" t="s">
        <v>3239</v>
      </c>
      <c r="E907" s="2">
        <v>35904.0</v>
      </c>
      <c r="F907" s="1" t="s">
        <v>16</v>
      </c>
      <c r="G907" s="1" t="s">
        <v>82</v>
      </c>
      <c r="H907" s="1" t="s">
        <v>18</v>
      </c>
      <c r="I907" s="3">
        <f>+2250758650560</f>
        <v>2250758650560</v>
      </c>
      <c r="J907" s="3">
        <f>+2250787172893</f>
        <v>2250787172893</v>
      </c>
      <c r="K907" s="1" t="s">
        <v>19</v>
      </c>
      <c r="L907" s="4" t="s">
        <v>3240</v>
      </c>
    </row>
    <row r="908">
      <c r="A908" s="1" t="s">
        <v>12</v>
      </c>
      <c r="B908" s="1" t="s">
        <v>3241</v>
      </c>
      <c r="C908" s="1" t="s">
        <v>3242</v>
      </c>
      <c r="D908" s="1" t="s">
        <v>3243</v>
      </c>
      <c r="E908" s="2">
        <v>37092.0</v>
      </c>
      <c r="F908" s="1" t="s">
        <v>62</v>
      </c>
      <c r="G908" s="1" t="s">
        <v>17</v>
      </c>
      <c r="H908" s="1" t="s">
        <v>18</v>
      </c>
      <c r="I908" s="3">
        <f>+2250555540491</f>
        <v>2250555540491</v>
      </c>
      <c r="J908" s="3">
        <f>+2250740733392</f>
        <v>2250740733392</v>
      </c>
      <c r="K908" s="1" t="s">
        <v>19</v>
      </c>
      <c r="L908" s="4" t="s">
        <v>3244</v>
      </c>
    </row>
    <row r="909">
      <c r="A909" s="1" t="s">
        <v>12</v>
      </c>
      <c r="B909" s="1" t="s">
        <v>3245</v>
      </c>
      <c r="C909" s="1" t="s">
        <v>3246</v>
      </c>
      <c r="D909" s="1" t="s">
        <v>3247</v>
      </c>
      <c r="E909" s="5">
        <v>37600.0</v>
      </c>
      <c r="F909" s="1" t="s">
        <v>138</v>
      </c>
      <c r="G909" s="1" t="s">
        <v>76</v>
      </c>
      <c r="H909" s="1" t="s">
        <v>32</v>
      </c>
      <c r="I909" s="3">
        <f>+2250102776831</f>
        <v>2250102776831</v>
      </c>
      <c r="J909" s="3">
        <f>+2250748215629</f>
        <v>2250748215629</v>
      </c>
      <c r="K909" s="1" t="s">
        <v>19</v>
      </c>
      <c r="L909" s="4" t="s">
        <v>3248</v>
      </c>
    </row>
    <row r="910">
      <c r="A910" s="1" t="s">
        <v>12</v>
      </c>
      <c r="B910" s="1" t="s">
        <v>3249</v>
      </c>
      <c r="C910" s="1" t="s">
        <v>3250</v>
      </c>
      <c r="D910" s="1" t="s">
        <v>3251</v>
      </c>
      <c r="E910" s="2">
        <v>36673.0</v>
      </c>
      <c r="F910" s="1" t="s">
        <v>75</v>
      </c>
      <c r="G910" s="1" t="s">
        <v>82</v>
      </c>
      <c r="H910" s="1" t="s">
        <v>18</v>
      </c>
      <c r="I910" s="3">
        <f>+2250797351914</f>
        <v>2250797351914</v>
      </c>
      <c r="J910" s="3">
        <f>+2250757796881</f>
        <v>2250757796881</v>
      </c>
      <c r="K910" s="1" t="s">
        <v>19</v>
      </c>
      <c r="L910" s="4" t="s">
        <v>3252</v>
      </c>
    </row>
    <row r="911">
      <c r="A911" s="1" t="s">
        <v>12</v>
      </c>
      <c r="B911" s="1" t="s">
        <v>3253</v>
      </c>
      <c r="C911" s="1" t="s">
        <v>3254</v>
      </c>
      <c r="D911" s="1" t="s">
        <v>3255</v>
      </c>
      <c r="E911" s="2">
        <v>38435.0</v>
      </c>
      <c r="F911" s="1" t="s">
        <v>30</v>
      </c>
      <c r="G911" s="1" t="s">
        <v>76</v>
      </c>
      <c r="H911" s="1" t="s">
        <v>32</v>
      </c>
      <c r="I911" s="3">
        <f>+2250701907479</f>
        <v>2250701907479</v>
      </c>
      <c r="J911" s="3">
        <f>+2250759636360</f>
        <v>2250759636360</v>
      </c>
      <c r="K911" s="1" t="s">
        <v>19</v>
      </c>
      <c r="L911" s="4" t="s">
        <v>3256</v>
      </c>
    </row>
    <row r="912">
      <c r="A912" s="1" t="s">
        <v>12</v>
      </c>
      <c r="B912" s="1" t="s">
        <v>3257</v>
      </c>
      <c r="C912" s="1" t="s">
        <v>3258</v>
      </c>
      <c r="D912" s="1" t="s">
        <v>3259</v>
      </c>
      <c r="E912" s="2">
        <v>37401.0</v>
      </c>
      <c r="F912" s="1" t="s">
        <v>16</v>
      </c>
      <c r="G912" s="1" t="s">
        <v>17</v>
      </c>
      <c r="H912" s="1" t="s">
        <v>18</v>
      </c>
      <c r="I912" s="3">
        <f>+2250160129416</f>
        <v>2250160129416</v>
      </c>
      <c r="J912" s="3">
        <f>+2250707308102</f>
        <v>2250707308102</v>
      </c>
      <c r="K912" s="1" t="s">
        <v>19</v>
      </c>
      <c r="L912" s="4" t="s">
        <v>3260</v>
      </c>
    </row>
    <row r="913">
      <c r="A913" s="1" t="s">
        <v>12</v>
      </c>
      <c r="B913" s="1" t="s">
        <v>3261</v>
      </c>
      <c r="C913" s="1" t="s">
        <v>3258</v>
      </c>
      <c r="D913" s="1" t="s">
        <v>3262</v>
      </c>
      <c r="E913" s="5">
        <v>38272.0</v>
      </c>
      <c r="F913" s="1" t="s">
        <v>53</v>
      </c>
      <c r="G913" s="1" t="s">
        <v>25</v>
      </c>
      <c r="H913" s="1" t="s">
        <v>18</v>
      </c>
      <c r="I913" s="3">
        <f>+2250789274232</f>
        <v>2250789274232</v>
      </c>
      <c r="J913" s="3">
        <f>+2250787565800</f>
        <v>2250787565800</v>
      </c>
      <c r="K913" s="1" t="s">
        <v>19</v>
      </c>
      <c r="L913" s="4" t="s">
        <v>3263</v>
      </c>
    </row>
    <row r="914">
      <c r="A914" s="1" t="s">
        <v>12</v>
      </c>
      <c r="B914" s="1" t="s">
        <v>3264</v>
      </c>
      <c r="C914" s="1" t="s">
        <v>3258</v>
      </c>
      <c r="D914" s="1" t="s">
        <v>2806</v>
      </c>
      <c r="E914" s="2">
        <v>38229.0</v>
      </c>
      <c r="F914" s="1" t="s">
        <v>138</v>
      </c>
      <c r="G914" s="1" t="s">
        <v>31</v>
      </c>
      <c r="H914" s="1" t="s">
        <v>32</v>
      </c>
      <c r="I914" s="3">
        <f>+2250141377402</f>
        <v>2250141377402</v>
      </c>
      <c r="J914" s="3">
        <f>+2250544232418</f>
        <v>2250544232418</v>
      </c>
      <c r="K914" s="1" t="s">
        <v>19</v>
      </c>
      <c r="L914" s="4" t="s">
        <v>3265</v>
      </c>
    </row>
    <row r="915">
      <c r="A915" s="1" t="s">
        <v>12</v>
      </c>
      <c r="B915" s="1" t="s">
        <v>3266</v>
      </c>
      <c r="C915" s="1" t="s">
        <v>3258</v>
      </c>
      <c r="D915" s="1" t="s">
        <v>3267</v>
      </c>
      <c r="E915" s="2">
        <v>38197.0</v>
      </c>
      <c r="F915" s="1" t="s">
        <v>53</v>
      </c>
      <c r="G915" s="1" t="s">
        <v>25</v>
      </c>
      <c r="H915" s="1" t="s">
        <v>18</v>
      </c>
      <c r="I915" s="3">
        <f>+2250749984725</f>
        <v>2250749984725</v>
      </c>
      <c r="J915" s="3">
        <f>+2250709721249</f>
        <v>2250709721249</v>
      </c>
      <c r="K915" s="1" t="s">
        <v>19</v>
      </c>
      <c r="L915" s="4" t="s">
        <v>3268</v>
      </c>
    </row>
    <row r="916">
      <c r="A916" s="1" t="s">
        <v>12</v>
      </c>
      <c r="B916" s="1" t="s">
        <v>3269</v>
      </c>
      <c r="C916" s="1" t="s">
        <v>3270</v>
      </c>
      <c r="D916" s="1" t="s">
        <v>2627</v>
      </c>
      <c r="E916" s="2">
        <v>36540.0</v>
      </c>
      <c r="F916" s="1" t="s">
        <v>110</v>
      </c>
      <c r="G916" s="1" t="s">
        <v>82</v>
      </c>
      <c r="H916" s="1" t="s">
        <v>18</v>
      </c>
      <c r="I916" s="3">
        <f>+2250767493130</f>
        <v>2250767493130</v>
      </c>
      <c r="J916" s="3">
        <f>+2250556563330</f>
        <v>2250556563330</v>
      </c>
      <c r="K916" s="1" t="s">
        <v>19</v>
      </c>
      <c r="L916" s="4" t="s">
        <v>3271</v>
      </c>
    </row>
    <row r="917">
      <c r="A917" s="1" t="s">
        <v>12</v>
      </c>
      <c r="B917" s="1" t="s">
        <v>3272</v>
      </c>
      <c r="C917" s="1" t="s">
        <v>3270</v>
      </c>
      <c r="D917" s="1" t="s">
        <v>3273</v>
      </c>
      <c r="E917" s="2">
        <v>37834.0</v>
      </c>
      <c r="F917" s="1" t="s">
        <v>48</v>
      </c>
      <c r="G917" s="1" t="s">
        <v>76</v>
      </c>
      <c r="H917" s="1" t="s">
        <v>32</v>
      </c>
      <c r="I917" s="3">
        <f>+2250747938278</f>
        <v>2250747938278</v>
      </c>
      <c r="J917" s="3">
        <f>+2250707937216</f>
        <v>2250707937216</v>
      </c>
      <c r="K917" s="1" t="s">
        <v>19</v>
      </c>
      <c r="L917" s="4" t="s">
        <v>3274</v>
      </c>
    </row>
    <row r="918">
      <c r="A918" s="1" t="s">
        <v>12</v>
      </c>
      <c r="B918" s="1" t="s">
        <v>3275</v>
      </c>
      <c r="C918" s="1" t="s">
        <v>3270</v>
      </c>
      <c r="D918" s="1" t="s">
        <v>3276</v>
      </c>
      <c r="E918" s="2">
        <v>37467.0</v>
      </c>
      <c r="F918" s="1" t="s">
        <v>16</v>
      </c>
      <c r="G918" s="1" t="s">
        <v>82</v>
      </c>
      <c r="H918" s="1" t="s">
        <v>18</v>
      </c>
      <c r="I918" s="3">
        <f>+2250788828790</f>
        <v>2250788828790</v>
      </c>
      <c r="J918" s="3">
        <f>+2250708856464</f>
        <v>2250708856464</v>
      </c>
      <c r="K918" s="1" t="s">
        <v>19</v>
      </c>
      <c r="L918" s="4" t="s">
        <v>3277</v>
      </c>
    </row>
    <row r="919">
      <c r="A919" s="1" t="s">
        <v>12</v>
      </c>
      <c r="B919" s="1" t="s">
        <v>3278</v>
      </c>
      <c r="C919" s="1" t="s">
        <v>3270</v>
      </c>
      <c r="D919" s="1" t="s">
        <v>3279</v>
      </c>
      <c r="E919" s="2">
        <v>37789.0</v>
      </c>
      <c r="F919" s="1" t="s">
        <v>101</v>
      </c>
      <c r="G919" s="1" t="s">
        <v>76</v>
      </c>
      <c r="H919" s="1" t="s">
        <v>32</v>
      </c>
      <c r="I919" s="3">
        <f>+2250103386900</f>
        <v>2250103386900</v>
      </c>
      <c r="J919" s="3">
        <f>+2250767131333</f>
        <v>2250767131333</v>
      </c>
      <c r="K919" s="1" t="s">
        <v>19</v>
      </c>
      <c r="L919" s="4" t="s">
        <v>3280</v>
      </c>
    </row>
    <row r="920">
      <c r="A920" s="1" t="s">
        <v>12</v>
      </c>
      <c r="B920" s="1" t="s">
        <v>3281</v>
      </c>
      <c r="C920" s="1" t="s">
        <v>3270</v>
      </c>
      <c r="D920" s="1" t="s">
        <v>3282</v>
      </c>
      <c r="E920" s="5">
        <v>38281.0</v>
      </c>
      <c r="F920" s="1" t="s">
        <v>30</v>
      </c>
      <c r="G920" s="1" t="s">
        <v>76</v>
      </c>
      <c r="H920" s="1" t="s">
        <v>32</v>
      </c>
      <c r="I920" s="3">
        <f>+2250703814053</f>
        <v>2250703814053</v>
      </c>
      <c r="J920" s="3">
        <f>+2250748557854</f>
        <v>2250748557854</v>
      </c>
      <c r="K920" s="1" t="s">
        <v>19</v>
      </c>
      <c r="L920" s="4" t="s">
        <v>3283</v>
      </c>
    </row>
    <row r="921">
      <c r="A921" s="1" t="s">
        <v>12</v>
      </c>
      <c r="B921" s="1" t="s">
        <v>3284</v>
      </c>
      <c r="C921" s="1" t="s">
        <v>3270</v>
      </c>
      <c r="D921" s="1" t="s">
        <v>3285</v>
      </c>
      <c r="E921" s="2">
        <v>38475.0</v>
      </c>
      <c r="F921" s="1" t="s">
        <v>155</v>
      </c>
      <c r="G921" s="1" t="s">
        <v>25</v>
      </c>
      <c r="H921" s="1" t="s">
        <v>18</v>
      </c>
      <c r="I921" s="3">
        <f>+2250788274429</f>
        <v>2250788274429</v>
      </c>
      <c r="J921" s="3">
        <f>+2250757526303</f>
        <v>2250757526303</v>
      </c>
      <c r="K921" s="1" t="s">
        <v>19</v>
      </c>
      <c r="L921" s="4" t="s">
        <v>3286</v>
      </c>
    </row>
    <row r="922">
      <c r="A922" s="1" t="s">
        <v>12</v>
      </c>
      <c r="B922" s="1" t="s">
        <v>3287</v>
      </c>
      <c r="C922" s="1" t="s">
        <v>3270</v>
      </c>
      <c r="D922" s="1" t="s">
        <v>3288</v>
      </c>
      <c r="E922" s="2">
        <v>37649.0</v>
      </c>
      <c r="F922" s="1" t="s">
        <v>97</v>
      </c>
      <c r="G922" s="1" t="s">
        <v>82</v>
      </c>
      <c r="H922" s="1" t="s">
        <v>18</v>
      </c>
      <c r="I922" s="3">
        <f>+2250505697597</f>
        <v>2250505697597</v>
      </c>
      <c r="J922" s="3">
        <f>+2250747187555</f>
        <v>2250747187555</v>
      </c>
      <c r="K922" s="1" t="s">
        <v>19</v>
      </c>
      <c r="L922" s="4" t="s">
        <v>3289</v>
      </c>
    </row>
    <row r="923">
      <c r="A923" s="1" t="s">
        <v>12</v>
      </c>
      <c r="B923" s="1" t="s">
        <v>3290</v>
      </c>
      <c r="C923" s="1" t="s">
        <v>3270</v>
      </c>
      <c r="D923" s="1" t="s">
        <v>3291</v>
      </c>
      <c r="E923" s="2">
        <v>37752.0</v>
      </c>
      <c r="F923" s="1" t="s">
        <v>53</v>
      </c>
      <c r="G923" s="1" t="s">
        <v>25</v>
      </c>
      <c r="H923" s="1" t="s">
        <v>18</v>
      </c>
      <c r="I923" s="3">
        <f>+2250505036877</f>
        <v>2250505036877</v>
      </c>
      <c r="J923" s="3">
        <f>+2250707773377</f>
        <v>2250707773377</v>
      </c>
      <c r="K923" s="1" t="s">
        <v>19</v>
      </c>
      <c r="L923" s="4" t="s">
        <v>3292</v>
      </c>
    </row>
    <row r="924">
      <c r="A924" s="1" t="s">
        <v>12</v>
      </c>
      <c r="B924" s="1" t="s">
        <v>3293</v>
      </c>
      <c r="C924" s="1" t="s">
        <v>3270</v>
      </c>
      <c r="D924" s="1" t="s">
        <v>3294</v>
      </c>
      <c r="E924" s="2">
        <v>38688.0</v>
      </c>
      <c r="F924" s="1" t="s">
        <v>351</v>
      </c>
      <c r="G924" s="1" t="s">
        <v>76</v>
      </c>
      <c r="H924" s="1" t="s">
        <v>32</v>
      </c>
      <c r="I924" s="3">
        <f>+2250142427954</f>
        <v>2250142427954</v>
      </c>
      <c r="J924" s="3">
        <f>+2250102206113</f>
        <v>2250102206113</v>
      </c>
      <c r="K924" s="1" t="s">
        <v>19</v>
      </c>
      <c r="L924" s="4" t="s">
        <v>3295</v>
      </c>
    </row>
    <row r="925">
      <c r="A925" s="1" t="s">
        <v>12</v>
      </c>
      <c r="B925" s="1" t="s">
        <v>3296</v>
      </c>
      <c r="C925" s="1" t="s">
        <v>3270</v>
      </c>
      <c r="D925" s="1" t="s">
        <v>3297</v>
      </c>
      <c r="E925" s="2">
        <v>36998.0</v>
      </c>
      <c r="F925" s="1" t="s">
        <v>87</v>
      </c>
      <c r="G925" s="1" t="s">
        <v>31</v>
      </c>
      <c r="H925" s="1" t="s">
        <v>32</v>
      </c>
      <c r="I925" s="3">
        <f>+2250788430138</f>
        <v>2250788430138</v>
      </c>
      <c r="J925" s="3">
        <f>+2250707553207</f>
        <v>2250707553207</v>
      </c>
      <c r="K925" s="1" t="s">
        <v>19</v>
      </c>
      <c r="L925" s="4" t="s">
        <v>3298</v>
      </c>
    </row>
    <row r="926">
      <c r="A926" s="1" t="s">
        <v>12</v>
      </c>
      <c r="B926" s="1" t="s">
        <v>3299</v>
      </c>
      <c r="C926" s="1" t="s">
        <v>3300</v>
      </c>
      <c r="D926" s="1" t="s">
        <v>3301</v>
      </c>
      <c r="E926" s="2">
        <v>37728.0</v>
      </c>
      <c r="F926" s="1" t="s">
        <v>62</v>
      </c>
      <c r="G926" s="1" t="s">
        <v>17</v>
      </c>
      <c r="H926" s="1" t="s">
        <v>18</v>
      </c>
      <c r="I926" s="3">
        <f>+2250748135587</f>
        <v>2250748135587</v>
      </c>
      <c r="J926" s="3">
        <f>+2250709908202</f>
        <v>2250709908202</v>
      </c>
      <c r="K926" s="1" t="s">
        <v>19</v>
      </c>
      <c r="L926" s="4" t="s">
        <v>3302</v>
      </c>
    </row>
    <row r="927">
      <c r="A927" s="1" t="s">
        <v>12</v>
      </c>
      <c r="B927" s="1" t="s">
        <v>3303</v>
      </c>
      <c r="C927" s="1" t="s">
        <v>3300</v>
      </c>
      <c r="D927" s="1" t="s">
        <v>3304</v>
      </c>
      <c r="E927" s="5">
        <v>37619.0</v>
      </c>
      <c r="F927" s="1" t="s">
        <v>62</v>
      </c>
      <c r="G927" s="1" t="s">
        <v>17</v>
      </c>
      <c r="H927" s="1" t="s">
        <v>18</v>
      </c>
      <c r="I927" s="3">
        <f>+2250150058238</f>
        <v>2250150058238</v>
      </c>
      <c r="J927" s="3">
        <f>+2250153300377</f>
        <v>2250153300377</v>
      </c>
      <c r="K927" s="1" t="s">
        <v>19</v>
      </c>
      <c r="L927" s="4" t="s">
        <v>3305</v>
      </c>
    </row>
    <row r="928">
      <c r="A928" s="1" t="s">
        <v>12</v>
      </c>
      <c r="B928" s="1" t="s">
        <v>3306</v>
      </c>
      <c r="C928" s="1" t="s">
        <v>3300</v>
      </c>
      <c r="D928" s="1" t="s">
        <v>3307</v>
      </c>
      <c r="E928" s="2">
        <v>38363.0</v>
      </c>
      <c r="F928" s="1" t="s">
        <v>62</v>
      </c>
      <c r="G928" s="1" t="s">
        <v>17</v>
      </c>
      <c r="H928" s="1" t="s">
        <v>18</v>
      </c>
      <c r="I928" s="3">
        <f>+2250564683391</f>
        <v>2250564683391</v>
      </c>
      <c r="J928" s="3">
        <f>+2250707551331</f>
        <v>2250707551331</v>
      </c>
      <c r="K928" s="1" t="s">
        <v>19</v>
      </c>
      <c r="L928" s="4" t="s">
        <v>3308</v>
      </c>
    </row>
    <row r="929">
      <c r="A929" s="1" t="s">
        <v>12</v>
      </c>
      <c r="B929" s="1" t="s">
        <v>3309</v>
      </c>
      <c r="C929" s="1" t="s">
        <v>3300</v>
      </c>
      <c r="D929" s="1" t="s">
        <v>3282</v>
      </c>
      <c r="E929" s="2">
        <v>37725.0</v>
      </c>
      <c r="F929" s="1" t="s">
        <v>1723</v>
      </c>
      <c r="G929" s="1" t="s">
        <v>82</v>
      </c>
      <c r="H929" s="1" t="s">
        <v>18</v>
      </c>
      <c r="I929" s="3">
        <f>+2250789825220</f>
        <v>2250789825220</v>
      </c>
      <c r="J929" s="3">
        <f>+2250709298803</f>
        <v>2250709298803</v>
      </c>
      <c r="K929" s="1" t="s">
        <v>19</v>
      </c>
      <c r="L929" s="4" t="s">
        <v>3310</v>
      </c>
    </row>
    <row r="930">
      <c r="A930" s="1" t="s">
        <v>12</v>
      </c>
      <c r="B930" s="1" t="s">
        <v>3311</v>
      </c>
      <c r="C930" s="1" t="s">
        <v>3300</v>
      </c>
      <c r="D930" s="1" t="s">
        <v>1774</v>
      </c>
      <c r="E930" s="2">
        <v>38011.0</v>
      </c>
      <c r="F930" s="1" t="s">
        <v>101</v>
      </c>
      <c r="G930" s="1" t="s">
        <v>76</v>
      </c>
      <c r="H930" s="1" t="s">
        <v>32</v>
      </c>
      <c r="I930" s="3">
        <f>+2250749478020</f>
        <v>2250749478020</v>
      </c>
      <c r="J930" s="3">
        <f>+2250103568405</f>
        <v>2250103568405</v>
      </c>
      <c r="K930" s="1" t="s">
        <v>19</v>
      </c>
      <c r="L930" s="4" t="s">
        <v>3312</v>
      </c>
    </row>
    <row r="931">
      <c r="A931" s="1" t="s">
        <v>12</v>
      </c>
      <c r="B931" s="1" t="s">
        <v>3313</v>
      </c>
      <c r="C931" s="1" t="s">
        <v>3314</v>
      </c>
      <c r="D931" s="1" t="s">
        <v>3315</v>
      </c>
      <c r="E931" s="2">
        <v>37492.0</v>
      </c>
      <c r="F931" s="1" t="s">
        <v>62</v>
      </c>
      <c r="G931" s="1" t="s">
        <v>17</v>
      </c>
      <c r="H931" s="1" t="s">
        <v>18</v>
      </c>
      <c r="I931" s="3">
        <f>+2250173035350</f>
        <v>2250173035350</v>
      </c>
      <c r="J931" s="3">
        <f>+2250595361128</f>
        <v>2250595361128</v>
      </c>
      <c r="K931" s="1" t="s">
        <v>19</v>
      </c>
      <c r="L931" s="4" t="s">
        <v>3316</v>
      </c>
    </row>
    <row r="932">
      <c r="A932" s="1" t="s">
        <v>12</v>
      </c>
      <c r="B932" s="1" t="s">
        <v>3317</v>
      </c>
      <c r="C932" s="1" t="s">
        <v>3318</v>
      </c>
      <c r="D932" s="1" t="s">
        <v>3319</v>
      </c>
      <c r="E932" s="2">
        <v>38432.0</v>
      </c>
      <c r="F932" s="1" t="s">
        <v>351</v>
      </c>
      <c r="G932" s="1" t="s">
        <v>76</v>
      </c>
      <c r="H932" s="1" t="s">
        <v>32</v>
      </c>
      <c r="I932" s="3">
        <f>+2250748170258</f>
        <v>2250748170258</v>
      </c>
      <c r="J932" s="3">
        <f>+2250767824728</f>
        <v>2250767824728</v>
      </c>
      <c r="K932" s="1" t="s">
        <v>19</v>
      </c>
      <c r="L932" s="4" t="s">
        <v>3320</v>
      </c>
    </row>
    <row r="933">
      <c r="A933" s="1" t="s">
        <v>12</v>
      </c>
      <c r="B933" s="1" t="s">
        <v>3321</v>
      </c>
      <c r="C933" s="1" t="s">
        <v>3318</v>
      </c>
      <c r="D933" s="1" t="s">
        <v>3322</v>
      </c>
      <c r="E933" s="5">
        <v>37910.0</v>
      </c>
      <c r="F933" s="1" t="s">
        <v>16</v>
      </c>
      <c r="G933" s="1" t="s">
        <v>17</v>
      </c>
      <c r="H933" s="1" t="s">
        <v>18</v>
      </c>
      <c r="I933" s="3">
        <f>+2250556784589</f>
        <v>2250556784589</v>
      </c>
      <c r="J933" s="3">
        <f>+2250707180142</f>
        <v>2250707180142</v>
      </c>
      <c r="K933" s="1" t="s">
        <v>19</v>
      </c>
      <c r="L933" s="4" t="s">
        <v>3323</v>
      </c>
    </row>
    <row r="934">
      <c r="A934" s="1" t="s">
        <v>12</v>
      </c>
      <c r="B934" s="1" t="s">
        <v>3324</v>
      </c>
      <c r="C934" s="1" t="s">
        <v>3318</v>
      </c>
      <c r="D934" s="1" t="s">
        <v>3325</v>
      </c>
      <c r="E934" s="5">
        <v>37244.0</v>
      </c>
      <c r="F934" s="1" t="s">
        <v>101</v>
      </c>
      <c r="G934" s="1" t="s">
        <v>76</v>
      </c>
      <c r="H934" s="1" t="s">
        <v>32</v>
      </c>
      <c r="I934" s="3">
        <f>+2250706685564</f>
        <v>2250706685564</v>
      </c>
      <c r="J934" s="3">
        <f>+2250544435032</f>
        <v>2250544435032</v>
      </c>
      <c r="K934" s="1" t="s">
        <v>19</v>
      </c>
      <c r="L934" s="4" t="s">
        <v>3326</v>
      </c>
    </row>
    <row r="935">
      <c r="A935" s="1" t="s">
        <v>12</v>
      </c>
      <c r="B935" s="1" t="s">
        <v>3327</v>
      </c>
      <c r="C935" s="1" t="s">
        <v>3318</v>
      </c>
      <c r="D935" s="1" t="s">
        <v>178</v>
      </c>
      <c r="E935" s="2">
        <v>38413.0</v>
      </c>
      <c r="F935" s="1" t="s">
        <v>167</v>
      </c>
      <c r="G935" s="1" t="s">
        <v>25</v>
      </c>
      <c r="H935" s="1" t="s">
        <v>18</v>
      </c>
      <c r="I935" s="3">
        <f>+2250502189281</f>
        <v>2250502189281</v>
      </c>
      <c r="J935" s="3">
        <f>+2250505015487</f>
        <v>2250505015487</v>
      </c>
      <c r="K935" s="1" t="s">
        <v>19</v>
      </c>
      <c r="L935" s="4" t="s">
        <v>3328</v>
      </c>
    </row>
    <row r="936">
      <c r="A936" s="1" t="s">
        <v>12</v>
      </c>
      <c r="B936" s="1" t="s">
        <v>3329</v>
      </c>
      <c r="C936" s="1" t="s">
        <v>3318</v>
      </c>
      <c r="D936" s="1" t="s">
        <v>1714</v>
      </c>
      <c r="E936" s="2">
        <v>36944.0</v>
      </c>
      <c r="F936" s="1" t="s">
        <v>101</v>
      </c>
      <c r="G936" s="1" t="s">
        <v>76</v>
      </c>
      <c r="H936" s="1" t="s">
        <v>32</v>
      </c>
      <c r="I936" s="3">
        <f>+2250575103190</f>
        <v>2250575103190</v>
      </c>
      <c r="J936" s="3">
        <f>+2250505627505</f>
        <v>2250505627505</v>
      </c>
      <c r="K936" s="1" t="s">
        <v>19</v>
      </c>
      <c r="L936" s="4" t="s">
        <v>3330</v>
      </c>
    </row>
    <row r="937">
      <c r="A937" s="1" t="s">
        <v>12</v>
      </c>
      <c r="B937" s="1" t="s">
        <v>3331</v>
      </c>
      <c r="C937" s="1" t="s">
        <v>3318</v>
      </c>
      <c r="D937" s="1" t="s">
        <v>1610</v>
      </c>
      <c r="E937" s="2">
        <v>38017.0</v>
      </c>
      <c r="F937" s="1" t="s">
        <v>62</v>
      </c>
      <c r="G937" s="1" t="s">
        <v>17</v>
      </c>
      <c r="H937" s="1" t="s">
        <v>18</v>
      </c>
      <c r="I937" s="3">
        <f>+2250594737241</f>
        <v>2250594737241</v>
      </c>
      <c r="J937" s="3">
        <f>+2250757858252</f>
        <v>2250757858252</v>
      </c>
      <c r="K937" s="1" t="s">
        <v>19</v>
      </c>
      <c r="L937" s="4" t="s">
        <v>3332</v>
      </c>
    </row>
    <row r="938">
      <c r="A938" s="1" t="s">
        <v>12</v>
      </c>
      <c r="B938" s="1" t="s">
        <v>3333</v>
      </c>
      <c r="C938" s="1" t="s">
        <v>3318</v>
      </c>
      <c r="D938" s="1" t="s">
        <v>3334</v>
      </c>
      <c r="E938" s="2">
        <v>36222.0</v>
      </c>
      <c r="F938" s="1" t="s">
        <v>48</v>
      </c>
      <c r="G938" s="1" t="s">
        <v>31</v>
      </c>
      <c r="H938" s="1" t="s">
        <v>32</v>
      </c>
      <c r="I938" s="3">
        <f>+2250148795626</f>
        <v>2250148795626</v>
      </c>
      <c r="J938" s="3">
        <f>+2250103515418</f>
        <v>2250103515418</v>
      </c>
      <c r="K938" s="1" t="s">
        <v>19</v>
      </c>
      <c r="L938" s="4" t="s">
        <v>3335</v>
      </c>
    </row>
    <row r="939">
      <c r="A939" s="1" t="s">
        <v>12</v>
      </c>
      <c r="B939" s="1" t="s">
        <v>3336</v>
      </c>
      <c r="C939" s="1" t="s">
        <v>3337</v>
      </c>
      <c r="D939" s="1" t="s">
        <v>3338</v>
      </c>
      <c r="E939" s="5">
        <v>38311.0</v>
      </c>
      <c r="F939" s="1" t="s">
        <v>53</v>
      </c>
      <c r="G939" s="1" t="s">
        <v>25</v>
      </c>
      <c r="H939" s="1" t="s">
        <v>18</v>
      </c>
      <c r="I939" s="3">
        <f>+2250544376020</f>
        <v>2250544376020</v>
      </c>
      <c r="J939" s="3">
        <f>+2250545291570</f>
        <v>2250545291570</v>
      </c>
      <c r="K939" s="1" t="s">
        <v>19</v>
      </c>
      <c r="L939" s="4" t="s">
        <v>3339</v>
      </c>
    </row>
    <row r="940">
      <c r="A940" s="1" t="s">
        <v>12</v>
      </c>
      <c r="B940" s="1" t="s">
        <v>3340</v>
      </c>
      <c r="C940" s="1" t="s">
        <v>3341</v>
      </c>
      <c r="D940" s="1" t="s">
        <v>3342</v>
      </c>
      <c r="E940" s="2">
        <v>38196.0</v>
      </c>
      <c r="F940" s="1" t="s">
        <v>53</v>
      </c>
      <c r="G940" s="1" t="s">
        <v>17</v>
      </c>
      <c r="H940" s="1" t="s">
        <v>18</v>
      </c>
      <c r="I940" s="3">
        <f>+2250102765647</f>
        <v>2250102765647</v>
      </c>
      <c r="J940" s="3">
        <f>+2250759376681</f>
        <v>2250759376681</v>
      </c>
      <c r="K940" s="1" t="s">
        <v>19</v>
      </c>
      <c r="L940" s="4" t="s">
        <v>3343</v>
      </c>
    </row>
    <row r="941">
      <c r="A941" s="1" t="s">
        <v>12</v>
      </c>
      <c r="B941" s="1" t="s">
        <v>3344</v>
      </c>
      <c r="C941" s="1" t="s">
        <v>3345</v>
      </c>
      <c r="D941" s="1" t="s">
        <v>3346</v>
      </c>
      <c r="E941" s="2">
        <v>38258.0</v>
      </c>
      <c r="F941" s="1" t="s">
        <v>62</v>
      </c>
      <c r="G941" s="1" t="s">
        <v>17</v>
      </c>
      <c r="H941" s="1" t="s">
        <v>18</v>
      </c>
      <c r="I941" s="3">
        <f>+2250151155319</f>
        <v>2250151155319</v>
      </c>
      <c r="J941" s="3">
        <f>+2250555921322</f>
        <v>2250555921322</v>
      </c>
      <c r="K941" s="1" t="s">
        <v>19</v>
      </c>
      <c r="L941" s="4" t="s">
        <v>3347</v>
      </c>
    </row>
    <row r="942">
      <c r="A942" s="1" t="s">
        <v>12</v>
      </c>
      <c r="B942" s="1" t="s">
        <v>3348</v>
      </c>
      <c r="C942" s="1" t="s">
        <v>3345</v>
      </c>
      <c r="D942" s="1" t="s">
        <v>3349</v>
      </c>
      <c r="E942" s="2">
        <v>36372.0</v>
      </c>
      <c r="F942" s="1" t="s">
        <v>48</v>
      </c>
      <c r="G942" s="1" t="s">
        <v>76</v>
      </c>
      <c r="H942" s="1" t="s">
        <v>32</v>
      </c>
      <c r="I942" s="3">
        <f>+2250757356800</f>
        <v>2250757356800</v>
      </c>
      <c r="J942" s="3">
        <f>+2250574278527</f>
        <v>2250574278527</v>
      </c>
      <c r="K942" s="1" t="s">
        <v>19</v>
      </c>
      <c r="L942" s="4" t="s">
        <v>3350</v>
      </c>
    </row>
    <row r="943">
      <c r="A943" s="1" t="s">
        <v>12</v>
      </c>
      <c r="B943" s="1" t="s">
        <v>3351</v>
      </c>
      <c r="C943" s="1" t="s">
        <v>3345</v>
      </c>
      <c r="D943" s="1" t="s">
        <v>2734</v>
      </c>
      <c r="E943" s="2">
        <v>38228.0</v>
      </c>
      <c r="F943" s="1" t="s">
        <v>16</v>
      </c>
      <c r="G943" s="1" t="s">
        <v>17</v>
      </c>
      <c r="H943" s="1" t="s">
        <v>18</v>
      </c>
      <c r="I943" s="3">
        <f>+2250769983831</f>
        <v>2250769983831</v>
      </c>
      <c r="J943" s="3">
        <f>+2250749341120</f>
        <v>2250749341120</v>
      </c>
      <c r="K943" s="1" t="s">
        <v>19</v>
      </c>
      <c r="L943" s="4" t="s">
        <v>3352</v>
      </c>
    </row>
    <row r="944">
      <c r="A944" s="1" t="s">
        <v>12</v>
      </c>
      <c r="B944" s="1" t="s">
        <v>3353</v>
      </c>
      <c r="C944" s="1" t="s">
        <v>3345</v>
      </c>
      <c r="D944" s="1" t="s">
        <v>3354</v>
      </c>
      <c r="E944" s="2">
        <v>36256.0</v>
      </c>
      <c r="F944" s="1" t="s">
        <v>30</v>
      </c>
      <c r="G944" s="1" t="s">
        <v>31</v>
      </c>
      <c r="H944" s="1" t="s">
        <v>32</v>
      </c>
      <c r="I944" s="3">
        <f>+2250170122637</f>
        <v>2250170122637</v>
      </c>
      <c r="J944" s="3">
        <f>+2250574573722</f>
        <v>2250574573722</v>
      </c>
      <c r="K944" s="1" t="s">
        <v>19</v>
      </c>
      <c r="L944" s="4" t="s">
        <v>3355</v>
      </c>
    </row>
    <row r="945">
      <c r="A945" s="1" t="s">
        <v>12</v>
      </c>
      <c r="B945" s="1" t="s">
        <v>3356</v>
      </c>
      <c r="C945" s="1" t="s">
        <v>3345</v>
      </c>
      <c r="D945" s="1" t="s">
        <v>1671</v>
      </c>
      <c r="E945" s="2">
        <v>36651.0</v>
      </c>
      <c r="F945" s="1" t="s">
        <v>24</v>
      </c>
      <c r="G945" s="1" t="s">
        <v>17</v>
      </c>
      <c r="H945" s="1" t="s">
        <v>18</v>
      </c>
      <c r="I945" s="3">
        <f t="shared" ref="I945:J945" si="25">+2250769519527</f>
        <v>2250769519527</v>
      </c>
      <c r="J945" s="3">
        <f t="shared" si="25"/>
        <v>2250769519527</v>
      </c>
      <c r="K945" s="1" t="s">
        <v>19</v>
      </c>
      <c r="L945" s="4" t="s">
        <v>3357</v>
      </c>
    </row>
    <row r="946">
      <c r="A946" s="1" t="s">
        <v>12</v>
      </c>
      <c r="B946" s="1" t="s">
        <v>3358</v>
      </c>
      <c r="C946" s="1" t="s">
        <v>3345</v>
      </c>
      <c r="D946" s="1" t="s">
        <v>3359</v>
      </c>
      <c r="E946" s="5">
        <v>37972.0</v>
      </c>
      <c r="F946" s="1" t="s">
        <v>48</v>
      </c>
      <c r="G946" s="1" t="s">
        <v>31</v>
      </c>
      <c r="H946" s="1" t="s">
        <v>32</v>
      </c>
      <c r="I946" s="3">
        <f>+2250797365298</f>
        <v>2250797365298</v>
      </c>
      <c r="J946" s="3">
        <f>+2250506111267</f>
        <v>2250506111267</v>
      </c>
      <c r="K946" s="1" t="s">
        <v>19</v>
      </c>
      <c r="L946" s="4" t="s">
        <v>3360</v>
      </c>
    </row>
    <row r="947">
      <c r="A947" s="1" t="s">
        <v>12</v>
      </c>
      <c r="B947" s="1" t="s">
        <v>3361</v>
      </c>
      <c r="C947" s="1" t="s">
        <v>3345</v>
      </c>
      <c r="D947" s="1" t="s">
        <v>178</v>
      </c>
      <c r="E947" s="2">
        <v>37313.0</v>
      </c>
      <c r="F947" s="1" t="s">
        <v>24</v>
      </c>
      <c r="G947" s="1" t="s">
        <v>17</v>
      </c>
      <c r="H947" s="1" t="s">
        <v>18</v>
      </c>
      <c r="I947" s="3">
        <f>+2250708771484</f>
        <v>2250708771484</v>
      </c>
      <c r="J947" s="3">
        <f>+2250708780741</f>
        <v>2250708780741</v>
      </c>
      <c r="K947" s="1" t="s">
        <v>19</v>
      </c>
      <c r="L947" s="4" t="s">
        <v>3362</v>
      </c>
    </row>
    <row r="948">
      <c r="A948" s="1" t="s">
        <v>12</v>
      </c>
      <c r="B948" s="1" t="s">
        <v>3363</v>
      </c>
      <c r="C948" s="1" t="s">
        <v>3345</v>
      </c>
      <c r="D948" s="1" t="s">
        <v>3364</v>
      </c>
      <c r="E948" s="2">
        <v>37666.0</v>
      </c>
      <c r="F948" s="1" t="s">
        <v>92</v>
      </c>
      <c r="G948" s="1" t="s">
        <v>31</v>
      </c>
      <c r="H948" s="1" t="s">
        <v>32</v>
      </c>
      <c r="I948" s="3">
        <f>+2250788715309</f>
        <v>2250788715309</v>
      </c>
      <c r="J948" s="3">
        <f>+2250788415362</f>
        <v>2250788415362</v>
      </c>
      <c r="K948" s="1" t="s">
        <v>19</v>
      </c>
      <c r="L948" s="4" t="s">
        <v>3365</v>
      </c>
    </row>
    <row r="949">
      <c r="A949" s="1" t="s">
        <v>12</v>
      </c>
      <c r="B949" s="1" t="s">
        <v>3366</v>
      </c>
      <c r="C949" s="1" t="s">
        <v>3345</v>
      </c>
      <c r="D949" s="1" t="s">
        <v>3367</v>
      </c>
      <c r="E949" s="2">
        <v>36101.0</v>
      </c>
      <c r="F949" s="1" t="s">
        <v>92</v>
      </c>
      <c r="G949" s="1" t="s">
        <v>76</v>
      </c>
      <c r="H949" s="1" t="s">
        <v>32</v>
      </c>
      <c r="I949" s="3">
        <f>+2250710313225</f>
        <v>2250710313225</v>
      </c>
      <c r="J949" s="3">
        <f>+2250708362338</f>
        <v>2250708362338</v>
      </c>
      <c r="K949" s="1" t="s">
        <v>19</v>
      </c>
      <c r="L949" s="4" t="s">
        <v>3368</v>
      </c>
    </row>
    <row r="950">
      <c r="A950" s="1" t="s">
        <v>12</v>
      </c>
      <c r="B950" s="1" t="s">
        <v>3369</v>
      </c>
      <c r="C950" s="1" t="s">
        <v>3345</v>
      </c>
      <c r="D950" s="1" t="s">
        <v>2774</v>
      </c>
      <c r="E950" s="2">
        <v>38408.0</v>
      </c>
      <c r="F950" s="1" t="s">
        <v>48</v>
      </c>
      <c r="G950" s="1" t="s">
        <v>31</v>
      </c>
      <c r="H950" s="1" t="s">
        <v>32</v>
      </c>
      <c r="I950" s="3">
        <f>+2250151998886</f>
        <v>2250151998886</v>
      </c>
      <c r="J950" s="3">
        <f>+2250507302135</f>
        <v>2250507302135</v>
      </c>
      <c r="K950" s="1" t="s">
        <v>19</v>
      </c>
      <c r="L950" s="4" t="s">
        <v>3370</v>
      </c>
    </row>
    <row r="951">
      <c r="A951" s="1" t="s">
        <v>12</v>
      </c>
      <c r="B951" s="1" t="s">
        <v>3371</v>
      </c>
      <c r="C951" s="1" t="s">
        <v>3345</v>
      </c>
      <c r="D951" s="1" t="s">
        <v>3372</v>
      </c>
      <c r="E951" s="5">
        <v>37209.0</v>
      </c>
      <c r="F951" s="1" t="s">
        <v>155</v>
      </c>
      <c r="G951" s="1" t="s">
        <v>76</v>
      </c>
      <c r="H951" s="1" t="s">
        <v>32</v>
      </c>
      <c r="I951" s="3">
        <f>+2250594178955</f>
        <v>2250594178955</v>
      </c>
      <c r="J951" s="3">
        <f>+2250506482555</f>
        <v>2250506482555</v>
      </c>
      <c r="K951" s="1" t="s">
        <v>19</v>
      </c>
      <c r="L951" s="4" t="s">
        <v>3373</v>
      </c>
    </row>
    <row r="952">
      <c r="A952" s="1" t="s">
        <v>12</v>
      </c>
      <c r="B952" s="1" t="s">
        <v>3374</v>
      </c>
      <c r="C952" s="1" t="s">
        <v>3345</v>
      </c>
      <c r="D952" s="1" t="s">
        <v>3375</v>
      </c>
      <c r="E952" s="5">
        <v>37914.0</v>
      </c>
      <c r="F952" s="1" t="s">
        <v>62</v>
      </c>
      <c r="G952" s="1" t="s">
        <v>17</v>
      </c>
      <c r="H952" s="1" t="s">
        <v>18</v>
      </c>
      <c r="I952" s="3">
        <f>+2250778178454</f>
        <v>2250778178454</v>
      </c>
      <c r="J952" s="3">
        <f>+2250556447872</f>
        <v>2250556447872</v>
      </c>
      <c r="K952" s="1" t="s">
        <v>19</v>
      </c>
      <c r="L952" s="4" t="s">
        <v>3376</v>
      </c>
    </row>
    <row r="953">
      <c r="A953" s="1" t="s">
        <v>12</v>
      </c>
      <c r="B953" s="1" t="s">
        <v>3377</v>
      </c>
      <c r="C953" s="1" t="s">
        <v>3345</v>
      </c>
      <c r="D953" s="1" t="s">
        <v>3378</v>
      </c>
      <c r="E953" s="2">
        <v>37376.0</v>
      </c>
      <c r="F953" s="1" t="s">
        <v>53</v>
      </c>
      <c r="G953" s="1" t="s">
        <v>25</v>
      </c>
      <c r="H953" s="1" t="s">
        <v>18</v>
      </c>
      <c r="I953" s="3">
        <f>+2250799610412</f>
        <v>2250799610412</v>
      </c>
      <c r="J953" s="3">
        <f>+2250141744090</f>
        <v>2250141744090</v>
      </c>
      <c r="K953" s="1" t="s">
        <v>19</v>
      </c>
      <c r="L953" s="4" t="s">
        <v>3379</v>
      </c>
    </row>
    <row r="954">
      <c r="A954" s="1" t="s">
        <v>12</v>
      </c>
      <c r="B954" s="1" t="s">
        <v>3380</v>
      </c>
      <c r="C954" s="1" t="s">
        <v>3345</v>
      </c>
      <c r="D954" s="1" t="s">
        <v>3381</v>
      </c>
      <c r="E954" s="2">
        <v>37401.0</v>
      </c>
      <c r="F954" s="1" t="s">
        <v>182</v>
      </c>
      <c r="G954" s="1" t="s">
        <v>82</v>
      </c>
      <c r="H954" s="1" t="s">
        <v>18</v>
      </c>
      <c r="I954" s="3">
        <f>+2250143225204</f>
        <v>2250143225204</v>
      </c>
      <c r="J954" s="3">
        <f>+2250147466796</f>
        <v>2250147466796</v>
      </c>
      <c r="K954" s="1" t="s">
        <v>19</v>
      </c>
      <c r="L954" s="4" t="s">
        <v>3382</v>
      </c>
    </row>
    <row r="955">
      <c r="A955" s="1" t="s">
        <v>12</v>
      </c>
      <c r="B955" s="1" t="s">
        <v>3383</v>
      </c>
      <c r="C955" s="1" t="s">
        <v>3345</v>
      </c>
      <c r="D955" s="1" t="s">
        <v>3384</v>
      </c>
      <c r="E955" s="2">
        <v>38864.0</v>
      </c>
      <c r="F955" s="1" t="s">
        <v>75</v>
      </c>
      <c r="G955" s="1" t="s">
        <v>76</v>
      </c>
      <c r="H955" s="1" t="s">
        <v>32</v>
      </c>
      <c r="I955" s="3">
        <f>+2250564824973</f>
        <v>2250564824973</v>
      </c>
      <c r="J955" s="3">
        <f>+2250566528930</f>
        <v>2250566528930</v>
      </c>
      <c r="K955" s="1" t="s">
        <v>19</v>
      </c>
      <c r="L955" s="4" t="s">
        <v>3385</v>
      </c>
    </row>
    <row r="956">
      <c r="A956" s="1" t="s">
        <v>12</v>
      </c>
      <c r="B956" s="1" t="s">
        <v>3386</v>
      </c>
      <c r="C956" s="1" t="s">
        <v>3345</v>
      </c>
      <c r="D956" s="1" t="s">
        <v>3387</v>
      </c>
      <c r="E956" s="2">
        <v>38195.0</v>
      </c>
      <c r="F956" s="1" t="s">
        <v>30</v>
      </c>
      <c r="G956" s="1" t="s">
        <v>31</v>
      </c>
      <c r="H956" s="1" t="s">
        <v>32</v>
      </c>
      <c r="I956" s="3">
        <f>+2250789102857</f>
        <v>2250789102857</v>
      </c>
      <c r="J956" s="3">
        <f>+2250779700830</f>
        <v>2250779700830</v>
      </c>
      <c r="K956" s="1" t="s">
        <v>19</v>
      </c>
      <c r="L956" s="4" t="s">
        <v>3388</v>
      </c>
    </row>
    <row r="957">
      <c r="A957" s="1" t="s">
        <v>12</v>
      </c>
      <c r="B957" s="1" t="s">
        <v>3389</v>
      </c>
      <c r="C957" s="1" t="s">
        <v>3345</v>
      </c>
      <c r="D957" s="1" t="s">
        <v>3390</v>
      </c>
      <c r="E957" s="2">
        <v>37893.0</v>
      </c>
      <c r="F957" s="1" t="s">
        <v>48</v>
      </c>
      <c r="G957" s="1" t="s">
        <v>76</v>
      </c>
      <c r="H957" s="1" t="s">
        <v>32</v>
      </c>
      <c r="I957" s="3">
        <f>+2250143785985</f>
        <v>2250143785985</v>
      </c>
      <c r="J957" s="3">
        <f>+2250707750701</f>
        <v>2250707750701</v>
      </c>
      <c r="K957" s="1" t="s">
        <v>19</v>
      </c>
      <c r="L957" s="4" t="s">
        <v>3391</v>
      </c>
    </row>
    <row r="958">
      <c r="A958" s="1" t="s">
        <v>12</v>
      </c>
      <c r="B958" s="1" t="s">
        <v>3392</v>
      </c>
      <c r="C958" s="1" t="s">
        <v>3345</v>
      </c>
      <c r="D958" s="1" t="s">
        <v>3393</v>
      </c>
      <c r="E958" s="2">
        <v>36398.0</v>
      </c>
      <c r="F958" s="1" t="s">
        <v>92</v>
      </c>
      <c r="G958" s="1" t="s">
        <v>76</v>
      </c>
      <c r="H958" s="1" t="s">
        <v>32</v>
      </c>
      <c r="I958" s="3">
        <f>+2250747362178</f>
        <v>2250747362178</v>
      </c>
      <c r="J958" s="3" t="str">
        <f>+225077ÇÈ'2774</f>
        <v>#ERROR!</v>
      </c>
      <c r="K958" s="1" t="s">
        <v>19</v>
      </c>
      <c r="L958" s="4" t="s">
        <v>3394</v>
      </c>
    </row>
    <row r="959">
      <c r="A959" s="1" t="s">
        <v>12</v>
      </c>
      <c r="B959" s="1" t="s">
        <v>3395</v>
      </c>
      <c r="C959" s="1" t="s">
        <v>3345</v>
      </c>
      <c r="D959" s="1" t="s">
        <v>1610</v>
      </c>
      <c r="E959" s="2">
        <v>38168.0</v>
      </c>
      <c r="F959" s="1" t="s">
        <v>155</v>
      </c>
      <c r="G959" s="1" t="s">
        <v>76</v>
      </c>
      <c r="H959" s="1" t="s">
        <v>32</v>
      </c>
      <c r="I959" s="3">
        <f>+2250160210496</f>
        <v>2250160210496</v>
      </c>
      <c r="J959" s="3">
        <f>+2250707514956</f>
        <v>2250707514956</v>
      </c>
      <c r="K959" s="1" t="s">
        <v>19</v>
      </c>
      <c r="L959" s="4" t="s">
        <v>3396</v>
      </c>
    </row>
    <row r="960">
      <c r="A960" s="1" t="s">
        <v>12</v>
      </c>
      <c r="B960" s="1" t="s">
        <v>3397</v>
      </c>
      <c r="C960" s="1" t="s">
        <v>3345</v>
      </c>
      <c r="D960" s="1" t="s">
        <v>3398</v>
      </c>
      <c r="E960" s="5">
        <v>37212.0</v>
      </c>
      <c r="F960" s="1" t="s">
        <v>16</v>
      </c>
      <c r="G960" s="1" t="s">
        <v>25</v>
      </c>
      <c r="H960" s="1" t="s">
        <v>18</v>
      </c>
      <c r="I960" s="3">
        <f>+2250150417247</f>
        <v>2250150417247</v>
      </c>
      <c r="J960" s="3">
        <f>+2250554164838</f>
        <v>2250554164838</v>
      </c>
      <c r="K960" s="1" t="s">
        <v>19</v>
      </c>
      <c r="L960" s="4" t="s">
        <v>3399</v>
      </c>
    </row>
    <row r="961">
      <c r="A961" s="1" t="s">
        <v>12</v>
      </c>
      <c r="B961" s="1" t="s">
        <v>3400</v>
      </c>
      <c r="C961" s="1" t="s">
        <v>3345</v>
      </c>
      <c r="D961" s="1" t="s">
        <v>3401</v>
      </c>
      <c r="E961" s="5">
        <v>36880.0</v>
      </c>
      <c r="F961" s="1" t="s">
        <v>101</v>
      </c>
      <c r="G961" s="1" t="s">
        <v>31</v>
      </c>
      <c r="H961" s="1" t="s">
        <v>32</v>
      </c>
      <c r="I961" s="3">
        <f>+2250574634217</f>
        <v>2250574634217</v>
      </c>
      <c r="J961" s="3">
        <f>+2250707470705</f>
        <v>2250707470705</v>
      </c>
      <c r="K961" s="1" t="s">
        <v>19</v>
      </c>
      <c r="L961" s="4" t="s">
        <v>3402</v>
      </c>
    </row>
    <row r="962">
      <c r="A962" s="1" t="s">
        <v>12</v>
      </c>
      <c r="B962" s="1" t="s">
        <v>3403</v>
      </c>
      <c r="C962" s="1" t="s">
        <v>3404</v>
      </c>
      <c r="D962" s="1" t="s">
        <v>3405</v>
      </c>
      <c r="E962" s="2">
        <v>38616.0</v>
      </c>
      <c r="F962" s="1" t="s">
        <v>70</v>
      </c>
      <c r="G962" s="1" t="s">
        <v>76</v>
      </c>
      <c r="H962" s="1" t="s">
        <v>32</v>
      </c>
      <c r="I962" s="3">
        <f>+2250153329645</f>
        <v>2250153329645</v>
      </c>
      <c r="J962" s="3">
        <f>+2250505443141</f>
        <v>2250505443141</v>
      </c>
      <c r="K962" s="1" t="s">
        <v>19</v>
      </c>
      <c r="L962" s="4" t="s">
        <v>3406</v>
      </c>
    </row>
    <row r="963">
      <c r="A963" s="1" t="s">
        <v>12</v>
      </c>
      <c r="B963" s="1" t="s">
        <v>3407</v>
      </c>
      <c r="C963" s="1" t="s">
        <v>3408</v>
      </c>
      <c r="D963" s="1" t="s">
        <v>2686</v>
      </c>
      <c r="E963" s="5">
        <v>37602.0</v>
      </c>
      <c r="F963" s="1" t="s">
        <v>155</v>
      </c>
      <c r="G963" s="1" t="s">
        <v>76</v>
      </c>
      <c r="H963" s="1" t="s">
        <v>32</v>
      </c>
      <c r="I963" s="3">
        <f>+2250564744604</f>
        <v>2250564744604</v>
      </c>
      <c r="J963" s="3">
        <f>+2250504060257</f>
        <v>2250504060257</v>
      </c>
      <c r="K963" s="1" t="s">
        <v>19</v>
      </c>
      <c r="L963" s="4" t="s">
        <v>3409</v>
      </c>
    </row>
    <row r="964">
      <c r="A964" s="1" t="s">
        <v>12</v>
      </c>
      <c r="B964" s="1" t="s">
        <v>3410</v>
      </c>
      <c r="C964" s="1" t="s">
        <v>3408</v>
      </c>
      <c r="D964" s="1" t="s">
        <v>3411</v>
      </c>
      <c r="E964" s="2">
        <v>36987.0</v>
      </c>
      <c r="F964" s="1" t="s">
        <v>48</v>
      </c>
      <c r="G964" s="1" t="s">
        <v>31</v>
      </c>
      <c r="H964" s="1" t="s">
        <v>32</v>
      </c>
      <c r="I964" s="3">
        <f>+2250575436970</f>
        <v>2250575436970</v>
      </c>
      <c r="J964" s="3">
        <f>+2250758637556</f>
        <v>2250758637556</v>
      </c>
      <c r="K964" s="1" t="s">
        <v>19</v>
      </c>
      <c r="L964" s="4" t="s">
        <v>3412</v>
      </c>
    </row>
    <row r="965">
      <c r="A965" s="1" t="s">
        <v>12</v>
      </c>
      <c r="B965" s="1" t="s">
        <v>3413</v>
      </c>
      <c r="C965" s="1" t="s">
        <v>3408</v>
      </c>
      <c r="D965" s="1" t="s">
        <v>3414</v>
      </c>
      <c r="E965" s="2">
        <v>36660.0</v>
      </c>
      <c r="F965" s="1" t="s">
        <v>62</v>
      </c>
      <c r="G965" s="1" t="s">
        <v>17</v>
      </c>
      <c r="H965" s="1" t="s">
        <v>18</v>
      </c>
      <c r="I965" s="3">
        <f>+2250702899444</f>
        <v>2250702899444</v>
      </c>
      <c r="J965" s="3">
        <f>+2250745255138</f>
        <v>2250745255138</v>
      </c>
      <c r="K965" s="1" t="s">
        <v>19</v>
      </c>
      <c r="L965" s="4" t="s">
        <v>3415</v>
      </c>
    </row>
    <row r="966">
      <c r="A966" s="1" t="s">
        <v>12</v>
      </c>
      <c r="B966" s="1" t="s">
        <v>3416</v>
      </c>
      <c r="C966" s="1" t="s">
        <v>3417</v>
      </c>
      <c r="D966" s="1" t="s">
        <v>2642</v>
      </c>
      <c r="E966" s="5">
        <v>37189.0</v>
      </c>
      <c r="F966" s="1" t="s">
        <v>182</v>
      </c>
      <c r="G966" s="1" t="s">
        <v>82</v>
      </c>
      <c r="H966" s="1" t="s">
        <v>18</v>
      </c>
      <c r="I966" s="3">
        <f>+2250769895983</f>
        <v>2250769895983</v>
      </c>
      <c r="J966" s="3">
        <f>+2250505049190</f>
        <v>2250505049190</v>
      </c>
      <c r="K966" s="1" t="s">
        <v>19</v>
      </c>
      <c r="L966" s="4" t="s">
        <v>3418</v>
      </c>
    </row>
    <row r="967">
      <c r="A967" s="1" t="s">
        <v>12</v>
      </c>
      <c r="B967" s="1" t="s">
        <v>3419</v>
      </c>
      <c r="C967" s="1" t="s">
        <v>3420</v>
      </c>
      <c r="D967" s="1" t="s">
        <v>3421</v>
      </c>
      <c r="E967" s="5">
        <v>37974.0</v>
      </c>
      <c r="F967" s="1" t="s">
        <v>101</v>
      </c>
      <c r="G967" s="1" t="s">
        <v>31</v>
      </c>
      <c r="H967" s="1" t="s">
        <v>32</v>
      </c>
      <c r="I967" s="3">
        <f>+2250767179363</f>
        <v>2250767179363</v>
      </c>
      <c r="J967" s="3">
        <f>+2250556154841</f>
        <v>2250556154841</v>
      </c>
      <c r="K967" s="1" t="s">
        <v>19</v>
      </c>
      <c r="L967" s="4" t="s">
        <v>3422</v>
      </c>
    </row>
    <row r="968">
      <c r="A968" s="1" t="s">
        <v>12</v>
      </c>
      <c r="B968" s="1" t="s">
        <v>3423</v>
      </c>
      <c r="C968" s="1" t="s">
        <v>3420</v>
      </c>
      <c r="D968" s="1" t="s">
        <v>2642</v>
      </c>
      <c r="E968" s="2">
        <v>38106.0</v>
      </c>
      <c r="F968" s="1" t="s">
        <v>16</v>
      </c>
      <c r="G968" s="1" t="s">
        <v>17</v>
      </c>
      <c r="H968" s="1" t="s">
        <v>18</v>
      </c>
      <c r="I968" s="3">
        <f>+2250586074210</f>
        <v>2250586074210</v>
      </c>
      <c r="J968" s="3">
        <f>+2250506639776</f>
        <v>2250506639776</v>
      </c>
      <c r="K968" s="1" t="s">
        <v>19</v>
      </c>
      <c r="L968" s="4" t="s">
        <v>3424</v>
      </c>
    </row>
    <row r="969">
      <c r="A969" s="1" t="s">
        <v>12</v>
      </c>
      <c r="B969" s="1" t="s">
        <v>3425</v>
      </c>
      <c r="C969" s="1" t="s">
        <v>3420</v>
      </c>
      <c r="D969" s="1" t="s">
        <v>3426</v>
      </c>
      <c r="E969" s="2">
        <v>38851.0</v>
      </c>
      <c r="F969" s="1" t="s">
        <v>147</v>
      </c>
      <c r="G969" s="1" t="s">
        <v>25</v>
      </c>
      <c r="H969" s="1" t="s">
        <v>18</v>
      </c>
      <c r="I969" s="3">
        <f>+2250777179515</f>
        <v>2250777179515</v>
      </c>
      <c r="J969" s="3">
        <f>+2250707611667</f>
        <v>2250707611667</v>
      </c>
      <c r="K969" s="1" t="s">
        <v>19</v>
      </c>
      <c r="L969" s="4" t="s">
        <v>3427</v>
      </c>
    </row>
    <row r="970">
      <c r="A970" s="1" t="s">
        <v>12</v>
      </c>
      <c r="B970" s="1" t="s">
        <v>3428</v>
      </c>
      <c r="C970" s="1" t="s">
        <v>3420</v>
      </c>
      <c r="D970" s="1" t="s">
        <v>3429</v>
      </c>
      <c r="E970" s="2">
        <v>38246.0</v>
      </c>
      <c r="F970" s="1" t="s">
        <v>92</v>
      </c>
      <c r="G970" s="1" t="s">
        <v>76</v>
      </c>
      <c r="H970" s="1" t="s">
        <v>32</v>
      </c>
      <c r="I970" s="3">
        <f>+2250710183175</f>
        <v>2250710183175</v>
      </c>
      <c r="J970" s="3">
        <f>+2250759110127</f>
        <v>2250759110127</v>
      </c>
      <c r="K970" s="1" t="s">
        <v>19</v>
      </c>
      <c r="L970" s="4" t="s">
        <v>3430</v>
      </c>
    </row>
    <row r="971">
      <c r="A971" s="1" t="s">
        <v>12</v>
      </c>
      <c r="B971" s="1" t="s">
        <v>3431</v>
      </c>
      <c r="C971" s="1" t="s">
        <v>3420</v>
      </c>
      <c r="D971" s="1" t="s">
        <v>3282</v>
      </c>
      <c r="E971" s="2">
        <v>37987.0</v>
      </c>
      <c r="F971" s="1" t="s">
        <v>16</v>
      </c>
      <c r="G971" s="1" t="s">
        <v>25</v>
      </c>
      <c r="H971" s="1" t="s">
        <v>18</v>
      </c>
      <c r="I971" s="3">
        <f>+2250564696276</f>
        <v>2250564696276</v>
      </c>
      <c r="J971" s="3">
        <f>+2250707790643</f>
        <v>2250707790643</v>
      </c>
      <c r="K971" s="1" t="s">
        <v>19</v>
      </c>
      <c r="L971" s="4" t="s">
        <v>3432</v>
      </c>
    </row>
    <row r="972">
      <c r="A972" s="1" t="s">
        <v>12</v>
      </c>
      <c r="B972" s="1" t="s">
        <v>3433</v>
      </c>
      <c r="C972" s="1" t="s">
        <v>3420</v>
      </c>
      <c r="D972" s="1" t="s">
        <v>3434</v>
      </c>
      <c r="E972" s="2">
        <v>38107.0</v>
      </c>
      <c r="F972" s="1" t="s">
        <v>30</v>
      </c>
      <c r="G972" s="1" t="s">
        <v>76</v>
      </c>
      <c r="H972" s="1" t="s">
        <v>32</v>
      </c>
      <c r="I972" s="3">
        <f>+2250747825844</f>
        <v>2250747825844</v>
      </c>
      <c r="J972" s="3">
        <f>+2250707348705</f>
        <v>2250707348705</v>
      </c>
      <c r="K972" s="1" t="s">
        <v>19</v>
      </c>
      <c r="L972" s="4" t="s">
        <v>3435</v>
      </c>
    </row>
    <row r="973">
      <c r="A973" s="1" t="s">
        <v>12</v>
      </c>
      <c r="B973" s="1" t="s">
        <v>3436</v>
      </c>
      <c r="C973" s="1" t="s">
        <v>3420</v>
      </c>
      <c r="D973" s="1" t="s">
        <v>3437</v>
      </c>
      <c r="E973" s="2">
        <v>36923.0</v>
      </c>
      <c r="F973" s="1" t="s">
        <v>62</v>
      </c>
      <c r="G973" s="1" t="s">
        <v>17</v>
      </c>
      <c r="H973" s="1" t="s">
        <v>18</v>
      </c>
      <c r="I973" s="3">
        <f>+2250545302065</f>
        <v>2250545302065</v>
      </c>
      <c r="J973" s="3">
        <f>+2250707097837</f>
        <v>2250707097837</v>
      </c>
      <c r="K973" s="1" t="s">
        <v>19</v>
      </c>
      <c r="L973" s="4" t="s">
        <v>3438</v>
      </c>
    </row>
    <row r="974">
      <c r="A974" s="1" t="s">
        <v>12</v>
      </c>
      <c r="B974" s="1" t="s">
        <v>3439</v>
      </c>
      <c r="C974" s="1" t="s">
        <v>3420</v>
      </c>
      <c r="D974" s="1" t="s">
        <v>3440</v>
      </c>
      <c r="E974" s="5">
        <v>37542.0</v>
      </c>
      <c r="F974" s="1" t="s">
        <v>167</v>
      </c>
      <c r="G974" s="1" t="s">
        <v>25</v>
      </c>
      <c r="H974" s="1" t="s">
        <v>18</v>
      </c>
      <c r="I974" s="3">
        <f>+2250758904581</f>
        <v>2250758904581</v>
      </c>
      <c r="J974" s="3">
        <f>+2250545128400</f>
        <v>2250545128400</v>
      </c>
      <c r="K974" s="1" t="s">
        <v>19</v>
      </c>
      <c r="L974" s="4" t="s">
        <v>3441</v>
      </c>
    </row>
    <row r="975">
      <c r="A975" s="1" t="s">
        <v>12</v>
      </c>
      <c r="B975" s="1" t="s">
        <v>3442</v>
      </c>
      <c r="C975" s="1" t="s">
        <v>3420</v>
      </c>
      <c r="D975" s="1" t="s">
        <v>3443</v>
      </c>
      <c r="E975" s="2">
        <v>37533.0</v>
      </c>
      <c r="F975" s="1" t="s">
        <v>62</v>
      </c>
      <c r="G975" s="1" t="s">
        <v>17</v>
      </c>
      <c r="H975" s="1" t="s">
        <v>18</v>
      </c>
      <c r="I975" s="3">
        <f>+2250171488458</f>
        <v>2250171488458</v>
      </c>
      <c r="J975" s="3">
        <f>+2250708740002</f>
        <v>2250708740002</v>
      </c>
      <c r="K975" s="1" t="s">
        <v>19</v>
      </c>
      <c r="L975" s="4" t="s">
        <v>3444</v>
      </c>
    </row>
    <row r="976">
      <c r="A976" s="1" t="s">
        <v>12</v>
      </c>
      <c r="B976" s="1" t="s">
        <v>3445</v>
      </c>
      <c r="C976" s="1" t="s">
        <v>3420</v>
      </c>
      <c r="D976" s="1" t="s">
        <v>3446</v>
      </c>
      <c r="E976" s="2">
        <v>38443.0</v>
      </c>
      <c r="F976" s="1" t="s">
        <v>62</v>
      </c>
      <c r="G976" s="1" t="s">
        <v>25</v>
      </c>
      <c r="H976" s="1" t="s">
        <v>18</v>
      </c>
      <c r="I976" s="3">
        <f>+2250503722959</f>
        <v>2250503722959</v>
      </c>
      <c r="J976" s="3">
        <f>+2250555933764</f>
        <v>2250555933764</v>
      </c>
      <c r="K976" s="1" t="s">
        <v>19</v>
      </c>
      <c r="L976" s="4" t="s">
        <v>3447</v>
      </c>
    </row>
    <row r="977">
      <c r="A977" s="1" t="s">
        <v>12</v>
      </c>
      <c r="B977" s="1" t="s">
        <v>3448</v>
      </c>
      <c r="C977" s="1" t="s">
        <v>3449</v>
      </c>
      <c r="D977" s="1" t="s">
        <v>1753</v>
      </c>
      <c r="E977" s="2">
        <v>36909.0</v>
      </c>
      <c r="F977" s="1" t="s">
        <v>75</v>
      </c>
      <c r="G977" s="1" t="s">
        <v>76</v>
      </c>
      <c r="H977" s="1" t="s">
        <v>32</v>
      </c>
      <c r="I977" s="3">
        <f>+2250769096561</f>
        <v>2250769096561</v>
      </c>
      <c r="J977" s="3">
        <f>+2250708089431</f>
        <v>2250708089431</v>
      </c>
      <c r="K977" s="1" t="s">
        <v>19</v>
      </c>
      <c r="L977" s="4" t="s">
        <v>3450</v>
      </c>
    </row>
    <row r="978">
      <c r="A978" s="1" t="s">
        <v>12</v>
      </c>
      <c r="B978" s="1" t="s">
        <v>3451</v>
      </c>
      <c r="C978" s="1" t="s">
        <v>3452</v>
      </c>
      <c r="D978" s="1" t="s">
        <v>2734</v>
      </c>
      <c r="E978" s="5">
        <v>37222.0</v>
      </c>
      <c r="F978" s="1" t="s">
        <v>101</v>
      </c>
      <c r="G978" s="1" t="s">
        <v>31</v>
      </c>
      <c r="H978" s="1" t="s">
        <v>32</v>
      </c>
      <c r="I978" s="3">
        <f>+2250789686931</f>
        <v>2250789686931</v>
      </c>
      <c r="J978" s="3">
        <f>+2250709698864</f>
        <v>2250709698864</v>
      </c>
      <c r="K978" s="1" t="s">
        <v>19</v>
      </c>
      <c r="L978" s="4" t="s">
        <v>3453</v>
      </c>
    </row>
    <row r="979">
      <c r="A979" s="1" t="s">
        <v>12</v>
      </c>
      <c r="B979" s="1" t="s">
        <v>3454</v>
      </c>
      <c r="C979" s="1" t="s">
        <v>3452</v>
      </c>
      <c r="D979" s="1" t="s">
        <v>3455</v>
      </c>
      <c r="E979" s="2">
        <v>37628.0</v>
      </c>
      <c r="F979" s="1" t="s">
        <v>62</v>
      </c>
      <c r="G979" s="1" t="s">
        <v>25</v>
      </c>
      <c r="H979" s="1" t="s">
        <v>18</v>
      </c>
      <c r="I979" s="3">
        <f>+2250767694205</f>
        <v>2250767694205</v>
      </c>
      <c r="J979" s="3">
        <f>+2250170840464</f>
        <v>2250170840464</v>
      </c>
      <c r="K979" s="1" t="s">
        <v>19</v>
      </c>
      <c r="L979" s="4" t="s">
        <v>3456</v>
      </c>
    </row>
    <row r="980">
      <c r="A980" s="1" t="s">
        <v>12</v>
      </c>
      <c r="B980" s="1" t="s">
        <v>3457</v>
      </c>
      <c r="C980" s="1" t="s">
        <v>3452</v>
      </c>
      <c r="D980" s="1" t="s">
        <v>3458</v>
      </c>
      <c r="E980" s="2">
        <v>38240.0</v>
      </c>
      <c r="F980" s="1" t="s">
        <v>288</v>
      </c>
      <c r="G980" s="1" t="s">
        <v>76</v>
      </c>
      <c r="H980" s="1" t="s">
        <v>32</v>
      </c>
      <c r="I980" s="3">
        <f>+2250172211129</f>
        <v>2250172211129</v>
      </c>
      <c r="J980" s="3">
        <f>+2250500365676</f>
        <v>2250500365676</v>
      </c>
      <c r="K980" s="1" t="s">
        <v>19</v>
      </c>
      <c r="L980" s="4" t="s">
        <v>3459</v>
      </c>
    </row>
    <row r="981">
      <c r="A981" s="1" t="s">
        <v>12</v>
      </c>
      <c r="B981" s="1" t="s">
        <v>3460</v>
      </c>
      <c r="C981" s="1" t="s">
        <v>3452</v>
      </c>
      <c r="D981" s="1" t="s">
        <v>3461</v>
      </c>
      <c r="E981" s="2">
        <v>38517.0</v>
      </c>
      <c r="F981" s="1" t="s">
        <v>70</v>
      </c>
      <c r="G981" s="1" t="s">
        <v>76</v>
      </c>
      <c r="H981" s="1" t="s">
        <v>32</v>
      </c>
      <c r="I981" s="3">
        <f>+2250555110842</f>
        <v>2250555110842</v>
      </c>
      <c r="J981" s="3">
        <f>+2250506327852</f>
        <v>2250506327852</v>
      </c>
      <c r="K981" s="1" t="s">
        <v>19</v>
      </c>
      <c r="L981" s="4" t="s">
        <v>3462</v>
      </c>
    </row>
    <row r="982">
      <c r="A982" s="1" t="s">
        <v>12</v>
      </c>
      <c r="B982" s="1" t="s">
        <v>3463</v>
      </c>
      <c r="C982" s="1" t="s">
        <v>3452</v>
      </c>
      <c r="D982" s="1" t="s">
        <v>3464</v>
      </c>
      <c r="E982" s="2">
        <v>38353.0</v>
      </c>
      <c r="F982" s="1" t="s">
        <v>53</v>
      </c>
      <c r="G982" s="1" t="s">
        <v>25</v>
      </c>
      <c r="H982" s="1" t="s">
        <v>18</v>
      </c>
      <c r="I982" s="3">
        <f>+2250102861542</f>
        <v>2250102861542</v>
      </c>
      <c r="J982" s="3">
        <f>+2250707578053</f>
        <v>2250707578053</v>
      </c>
      <c r="K982" s="1" t="s">
        <v>19</v>
      </c>
      <c r="L982" s="4" t="s">
        <v>3465</v>
      </c>
    </row>
    <row r="983">
      <c r="A983" s="1" t="s">
        <v>12</v>
      </c>
      <c r="B983" s="1" t="s">
        <v>3466</v>
      </c>
      <c r="C983" s="1" t="s">
        <v>3452</v>
      </c>
      <c r="D983" s="1" t="s">
        <v>3467</v>
      </c>
      <c r="E983" s="2">
        <v>36938.0</v>
      </c>
      <c r="F983" s="1" t="s">
        <v>155</v>
      </c>
      <c r="G983" s="1" t="s">
        <v>76</v>
      </c>
      <c r="H983" s="1" t="s">
        <v>32</v>
      </c>
      <c r="I983" s="3">
        <f>+2250789960696</f>
        <v>2250789960696</v>
      </c>
      <c r="J983" s="3">
        <f>+2250575707805</f>
        <v>2250575707805</v>
      </c>
      <c r="K983" s="1" t="s">
        <v>19</v>
      </c>
      <c r="L983" s="4" t="s">
        <v>3468</v>
      </c>
    </row>
    <row r="984">
      <c r="A984" s="1" t="s">
        <v>12</v>
      </c>
      <c r="B984" s="1" t="s">
        <v>3469</v>
      </c>
      <c r="C984" s="1" t="s">
        <v>3470</v>
      </c>
      <c r="D984" s="1" t="s">
        <v>1774</v>
      </c>
      <c r="E984" s="5">
        <v>37918.0</v>
      </c>
      <c r="F984" s="1" t="s">
        <v>92</v>
      </c>
      <c r="G984" s="1" t="s">
        <v>76</v>
      </c>
      <c r="H984" s="1" t="s">
        <v>32</v>
      </c>
      <c r="I984" s="3">
        <f>+2250701620305</f>
        <v>2250701620305</v>
      </c>
      <c r="J984" s="3">
        <f>+2250707059842</f>
        <v>2250707059842</v>
      </c>
      <c r="K984" s="1" t="s">
        <v>19</v>
      </c>
      <c r="L984" s="4" t="s">
        <v>3471</v>
      </c>
    </row>
    <row r="985">
      <c r="A985" s="1" t="s">
        <v>12</v>
      </c>
      <c r="B985" s="1" t="s">
        <v>3472</v>
      </c>
      <c r="C985" s="1" t="s">
        <v>3473</v>
      </c>
      <c r="D985" s="1" t="s">
        <v>1876</v>
      </c>
      <c r="E985" s="2">
        <v>36561.0</v>
      </c>
      <c r="F985" s="1" t="s">
        <v>62</v>
      </c>
      <c r="G985" s="1" t="s">
        <v>17</v>
      </c>
      <c r="H985" s="1" t="s">
        <v>18</v>
      </c>
      <c r="I985" s="3">
        <f>+2250788297270</f>
        <v>2250788297270</v>
      </c>
      <c r="J985" s="3">
        <f>+2250707307375</f>
        <v>2250707307375</v>
      </c>
      <c r="K985" s="1" t="s">
        <v>19</v>
      </c>
      <c r="L985" s="4" t="s">
        <v>3474</v>
      </c>
    </row>
    <row r="986">
      <c r="A986" s="1" t="s">
        <v>12</v>
      </c>
      <c r="B986" s="1" t="s">
        <v>3475</v>
      </c>
      <c r="C986" s="1" t="s">
        <v>3476</v>
      </c>
      <c r="D986" s="1" t="s">
        <v>3477</v>
      </c>
      <c r="E986" s="2">
        <v>33827.0</v>
      </c>
      <c r="F986" s="1" t="s">
        <v>1723</v>
      </c>
      <c r="G986" s="1" t="s">
        <v>82</v>
      </c>
      <c r="H986" s="1" t="s">
        <v>18</v>
      </c>
      <c r="I986" s="3">
        <f>+2250707613851</f>
        <v>2250707613851</v>
      </c>
      <c r="J986" s="3">
        <f>+2250709305925</f>
        <v>2250709305925</v>
      </c>
      <c r="K986" s="1" t="s">
        <v>19</v>
      </c>
      <c r="L986" s="4" t="s">
        <v>3478</v>
      </c>
    </row>
    <row r="987">
      <c r="A987" s="1" t="s">
        <v>12</v>
      </c>
      <c r="B987" s="1" t="s">
        <v>3479</v>
      </c>
      <c r="C987" s="1" t="s">
        <v>3476</v>
      </c>
      <c r="D987" s="1" t="s">
        <v>3480</v>
      </c>
      <c r="E987" s="2">
        <v>37663.0</v>
      </c>
      <c r="F987" s="1" t="s">
        <v>16</v>
      </c>
      <c r="G987" s="1" t="s">
        <v>17</v>
      </c>
      <c r="H987" s="1" t="s">
        <v>18</v>
      </c>
      <c r="I987" s="3">
        <f>+2250703131927</f>
        <v>2250703131927</v>
      </c>
      <c r="J987" s="3">
        <f>+2250141753812</f>
        <v>2250141753812</v>
      </c>
      <c r="K987" s="1" t="s">
        <v>19</v>
      </c>
      <c r="L987" s="4" t="s">
        <v>3481</v>
      </c>
    </row>
    <row r="988">
      <c r="A988" s="1" t="s">
        <v>12</v>
      </c>
      <c r="B988" s="1" t="s">
        <v>3482</v>
      </c>
      <c r="C988" s="1" t="s">
        <v>3476</v>
      </c>
      <c r="D988" s="1" t="s">
        <v>3483</v>
      </c>
      <c r="E988" s="2">
        <v>38240.0</v>
      </c>
      <c r="F988" s="1" t="s">
        <v>342</v>
      </c>
      <c r="G988" s="1" t="s">
        <v>82</v>
      </c>
      <c r="H988" s="1" t="s">
        <v>18</v>
      </c>
      <c r="I988" s="3">
        <f>+2250769617143</f>
        <v>2250769617143</v>
      </c>
      <c r="J988" s="3">
        <f>+2250707198618</f>
        <v>2250707198618</v>
      </c>
      <c r="K988" s="1" t="s">
        <v>19</v>
      </c>
      <c r="L988" s="4" t="s">
        <v>3484</v>
      </c>
    </row>
    <row r="989">
      <c r="A989" s="1" t="s">
        <v>12</v>
      </c>
      <c r="B989" s="1" t="s">
        <v>3485</v>
      </c>
      <c r="C989" s="1" t="s">
        <v>3486</v>
      </c>
      <c r="D989" s="1" t="s">
        <v>3487</v>
      </c>
      <c r="E989" s="2">
        <v>37518.0</v>
      </c>
      <c r="F989" s="1" t="s">
        <v>101</v>
      </c>
      <c r="G989" s="1" t="s">
        <v>31</v>
      </c>
      <c r="H989" s="1" t="s">
        <v>32</v>
      </c>
      <c r="I989" s="3">
        <f>+2250701960835</f>
        <v>2250701960835</v>
      </c>
      <c r="J989" s="3">
        <f>+2250778680755</f>
        <v>2250778680755</v>
      </c>
      <c r="K989" s="1" t="s">
        <v>19</v>
      </c>
      <c r="L989" s="4" t="s">
        <v>3488</v>
      </c>
    </row>
    <row r="990">
      <c r="A990" s="1" t="s">
        <v>12</v>
      </c>
      <c r="B990" s="1" t="s">
        <v>3489</v>
      </c>
      <c r="C990" s="1" t="s">
        <v>3490</v>
      </c>
      <c r="D990" s="1" t="s">
        <v>3491</v>
      </c>
      <c r="E990" s="2">
        <v>37662.0</v>
      </c>
      <c r="F990" s="1" t="s">
        <v>288</v>
      </c>
      <c r="G990" s="1" t="s">
        <v>31</v>
      </c>
      <c r="H990" s="1" t="s">
        <v>32</v>
      </c>
      <c r="I990" s="3">
        <f>+2250767602100</f>
        <v>2250767602100</v>
      </c>
      <c r="J990" s="3">
        <f>+2250757212563</f>
        <v>2250757212563</v>
      </c>
      <c r="K990" s="1" t="s">
        <v>19</v>
      </c>
      <c r="L990" s="4" t="s">
        <v>3492</v>
      </c>
    </row>
    <row r="991">
      <c r="A991" s="1" t="s">
        <v>12</v>
      </c>
      <c r="B991" s="1" t="s">
        <v>3493</v>
      </c>
      <c r="C991" s="1" t="s">
        <v>3490</v>
      </c>
      <c r="D991" s="1" t="s">
        <v>3494</v>
      </c>
      <c r="E991" s="5">
        <v>36889.0</v>
      </c>
      <c r="F991" s="1" t="s">
        <v>138</v>
      </c>
      <c r="G991" s="1" t="s">
        <v>76</v>
      </c>
      <c r="H991" s="1" t="s">
        <v>32</v>
      </c>
      <c r="I991" s="3">
        <f>+2250778756598</f>
        <v>2250778756598</v>
      </c>
      <c r="J991" s="3">
        <f>+2250757046728</f>
        <v>2250757046728</v>
      </c>
      <c r="K991" s="1" t="s">
        <v>19</v>
      </c>
      <c r="L991" s="4" t="s">
        <v>3495</v>
      </c>
    </row>
    <row r="992">
      <c r="A992" s="1" t="s">
        <v>12</v>
      </c>
      <c r="B992" s="1" t="s">
        <v>3496</v>
      </c>
      <c r="C992" s="1" t="s">
        <v>3497</v>
      </c>
      <c r="D992" s="1" t="s">
        <v>3498</v>
      </c>
      <c r="E992" s="2">
        <v>34534.0</v>
      </c>
      <c r="F992" s="1" t="s">
        <v>155</v>
      </c>
      <c r="G992" s="1" t="s">
        <v>82</v>
      </c>
      <c r="H992" s="1" t="s">
        <v>18</v>
      </c>
      <c r="I992" s="3">
        <f>+2250747199005</f>
        <v>2250747199005</v>
      </c>
      <c r="J992" s="3">
        <f>+2250748579208</f>
        <v>2250748579208</v>
      </c>
      <c r="K992" s="1" t="s">
        <v>19</v>
      </c>
      <c r="L992" s="4" t="s">
        <v>3499</v>
      </c>
    </row>
    <row r="993">
      <c r="A993" s="1" t="s">
        <v>12</v>
      </c>
      <c r="B993" s="1" t="s">
        <v>3500</v>
      </c>
      <c r="C993" s="1" t="s">
        <v>3501</v>
      </c>
      <c r="D993" s="1" t="s">
        <v>3502</v>
      </c>
      <c r="E993" s="5">
        <v>39367.0</v>
      </c>
      <c r="F993" s="1" t="s">
        <v>62</v>
      </c>
      <c r="G993" s="1" t="s">
        <v>25</v>
      </c>
      <c r="H993" s="1" t="s">
        <v>18</v>
      </c>
      <c r="I993" s="3">
        <f>+2250779850112</f>
        <v>2250779850112</v>
      </c>
      <c r="J993" s="3">
        <f>+2250748375538</f>
        <v>2250748375538</v>
      </c>
      <c r="K993" s="1" t="s">
        <v>19</v>
      </c>
      <c r="L993" s="4" t="s">
        <v>3503</v>
      </c>
    </row>
    <row r="994">
      <c r="A994" s="1" t="s">
        <v>12</v>
      </c>
      <c r="B994" s="1" t="s">
        <v>3504</v>
      </c>
      <c r="C994" s="1" t="s">
        <v>3501</v>
      </c>
      <c r="D994" s="1" t="s">
        <v>3505</v>
      </c>
      <c r="E994" s="5">
        <v>37544.0</v>
      </c>
      <c r="F994" s="1" t="s">
        <v>62</v>
      </c>
      <c r="G994" s="1" t="s">
        <v>17</v>
      </c>
      <c r="H994" s="1" t="s">
        <v>18</v>
      </c>
      <c r="I994" s="3">
        <f>+2250748229430</f>
        <v>2250748229430</v>
      </c>
      <c r="J994" s="3">
        <f>+2250707812830</f>
        <v>2250707812830</v>
      </c>
      <c r="K994" s="1" t="s">
        <v>19</v>
      </c>
      <c r="L994" s="4" t="s">
        <v>3506</v>
      </c>
    </row>
    <row r="995">
      <c r="A995" s="1" t="s">
        <v>12</v>
      </c>
      <c r="B995" s="1" t="s">
        <v>3507</v>
      </c>
      <c r="C995" s="1" t="s">
        <v>3508</v>
      </c>
      <c r="D995" s="1" t="s">
        <v>3509</v>
      </c>
      <c r="E995" s="2">
        <v>37753.0</v>
      </c>
      <c r="F995" s="1" t="s">
        <v>30</v>
      </c>
      <c r="G995" s="1" t="s">
        <v>31</v>
      </c>
      <c r="H995" s="1" t="s">
        <v>32</v>
      </c>
      <c r="I995" s="3">
        <f>+2250153090407</f>
        <v>2250153090407</v>
      </c>
      <c r="J995" s="3">
        <f>+2250747709451</f>
        <v>2250747709451</v>
      </c>
      <c r="K995" s="1" t="s">
        <v>19</v>
      </c>
      <c r="L995" s="4" t="s">
        <v>3510</v>
      </c>
    </row>
    <row r="996">
      <c r="A996" s="1" t="s">
        <v>12</v>
      </c>
      <c r="B996" s="1" t="s">
        <v>3511</v>
      </c>
      <c r="C996" s="1" t="s">
        <v>3512</v>
      </c>
      <c r="D996" s="1" t="s">
        <v>3513</v>
      </c>
      <c r="E996" s="5">
        <v>36482.0</v>
      </c>
      <c r="F996" s="1" t="s">
        <v>92</v>
      </c>
      <c r="G996" s="1" t="s">
        <v>31</v>
      </c>
      <c r="H996" s="1" t="s">
        <v>32</v>
      </c>
      <c r="I996" s="3">
        <f>+2250161559425</f>
        <v>2250161559425</v>
      </c>
      <c r="J996" s="3">
        <f>+2250708193448</f>
        <v>2250708193448</v>
      </c>
      <c r="K996" s="1" t="s">
        <v>19</v>
      </c>
      <c r="L996" s="4" t="s">
        <v>3514</v>
      </c>
    </row>
    <row r="997">
      <c r="A997" s="1" t="s">
        <v>12</v>
      </c>
      <c r="B997" s="1" t="s">
        <v>3515</v>
      </c>
      <c r="C997" s="1" t="s">
        <v>3516</v>
      </c>
      <c r="D997" s="1" t="s">
        <v>3517</v>
      </c>
      <c r="E997" s="2">
        <v>36409.0</v>
      </c>
      <c r="F997" s="1" t="s">
        <v>70</v>
      </c>
      <c r="G997" s="1" t="s">
        <v>31</v>
      </c>
      <c r="H997" s="1" t="s">
        <v>32</v>
      </c>
      <c r="I997" s="3">
        <f>+2250747299634</f>
        <v>2250747299634</v>
      </c>
      <c r="J997" s="3">
        <f>+2250707179256</f>
        <v>2250707179256</v>
      </c>
      <c r="K997" s="1" t="s">
        <v>19</v>
      </c>
      <c r="L997" s="4" t="s">
        <v>3518</v>
      </c>
    </row>
    <row r="998">
      <c r="A998" s="1" t="s">
        <v>12</v>
      </c>
      <c r="B998" s="1" t="s">
        <v>3519</v>
      </c>
      <c r="C998" s="1" t="s">
        <v>3520</v>
      </c>
      <c r="D998" s="1" t="s">
        <v>3521</v>
      </c>
      <c r="E998" s="2">
        <v>38066.0</v>
      </c>
      <c r="F998" s="1" t="s">
        <v>416</v>
      </c>
      <c r="G998" s="1" t="s">
        <v>76</v>
      </c>
      <c r="H998" s="1" t="s">
        <v>32</v>
      </c>
      <c r="I998" s="3">
        <f t="shared" ref="I998:J998" si="26">+2250505056627</f>
        <v>2250505056627</v>
      </c>
      <c r="J998" s="3">
        <f t="shared" si="26"/>
        <v>2250505056627</v>
      </c>
      <c r="K998" s="1" t="s">
        <v>19</v>
      </c>
      <c r="L998" s="4" t="s">
        <v>3522</v>
      </c>
    </row>
    <row r="999">
      <c r="A999" s="1" t="s">
        <v>12</v>
      </c>
      <c r="B999" s="1" t="s">
        <v>3523</v>
      </c>
      <c r="C999" s="1" t="s">
        <v>3524</v>
      </c>
      <c r="D999" s="1" t="s">
        <v>3525</v>
      </c>
      <c r="E999" s="2">
        <v>38985.0</v>
      </c>
      <c r="F999" s="1" t="s">
        <v>62</v>
      </c>
      <c r="G999" s="1" t="s">
        <v>25</v>
      </c>
      <c r="H999" s="1" t="s">
        <v>18</v>
      </c>
      <c r="I999" s="3">
        <f>+2250798873454</f>
        <v>2250798873454</v>
      </c>
      <c r="J999" s="3">
        <f>+2250757522239</f>
        <v>2250757522239</v>
      </c>
      <c r="K999" s="1" t="s">
        <v>19</v>
      </c>
      <c r="L999" s="4" t="s">
        <v>3526</v>
      </c>
    </row>
    <row r="1000">
      <c r="A1000" s="1" t="s">
        <v>12</v>
      </c>
      <c r="B1000" s="1" t="s">
        <v>3527</v>
      </c>
      <c r="C1000" s="1" t="s">
        <v>3528</v>
      </c>
      <c r="D1000" s="1" t="s">
        <v>3529</v>
      </c>
      <c r="E1000" s="2">
        <v>37708.0</v>
      </c>
      <c r="F1000" s="1" t="s">
        <v>167</v>
      </c>
      <c r="G1000" s="1" t="s">
        <v>82</v>
      </c>
      <c r="H1000" s="1" t="s">
        <v>18</v>
      </c>
      <c r="I1000" s="3">
        <f>+2250778046894</f>
        <v>2250778046894</v>
      </c>
      <c r="J1000" s="3">
        <f>+2250140427002</f>
        <v>2250140427002</v>
      </c>
      <c r="K1000" s="1" t="s">
        <v>19</v>
      </c>
      <c r="L1000" s="4" t="s">
        <v>3530</v>
      </c>
    </row>
    <row r="1001">
      <c r="A1001" s="1" t="s">
        <v>12</v>
      </c>
      <c r="B1001" s="1" t="s">
        <v>3531</v>
      </c>
      <c r="C1001" s="1" t="s">
        <v>3532</v>
      </c>
      <c r="D1001" s="1" t="s">
        <v>3533</v>
      </c>
      <c r="E1001" s="2">
        <v>36659.0</v>
      </c>
      <c r="F1001" s="1" t="s">
        <v>62</v>
      </c>
      <c r="G1001" s="1" t="s">
        <v>17</v>
      </c>
      <c r="H1001" s="1" t="s">
        <v>18</v>
      </c>
      <c r="I1001" s="3">
        <f>+2250170565968</f>
        <v>2250170565968</v>
      </c>
      <c r="J1001" s="3">
        <f>+2250171612164</f>
        <v>2250171612164</v>
      </c>
      <c r="K1001" s="1" t="s">
        <v>19</v>
      </c>
      <c r="L1001" s="4" t="s">
        <v>3534</v>
      </c>
    </row>
    <row r="1002">
      <c r="A1002" s="1" t="s">
        <v>12</v>
      </c>
      <c r="B1002" s="1" t="s">
        <v>3535</v>
      </c>
      <c r="C1002" s="1" t="s">
        <v>3536</v>
      </c>
      <c r="D1002" s="1" t="s">
        <v>3537</v>
      </c>
      <c r="E1002" s="2">
        <v>37695.0</v>
      </c>
      <c r="F1002" s="1" t="s">
        <v>62</v>
      </c>
      <c r="G1002" s="1" t="s">
        <v>17</v>
      </c>
      <c r="H1002" s="1" t="s">
        <v>18</v>
      </c>
      <c r="I1002" s="3">
        <f>+2250777759120</f>
        <v>2250777759120</v>
      </c>
      <c r="J1002" s="3">
        <f>+2250707581822</f>
        <v>2250707581822</v>
      </c>
      <c r="K1002" s="1" t="s">
        <v>19</v>
      </c>
      <c r="L1002" s="4" t="s">
        <v>3538</v>
      </c>
    </row>
    <row r="1003">
      <c r="A1003" s="1" t="s">
        <v>12</v>
      </c>
      <c r="B1003" s="1" t="s">
        <v>3539</v>
      </c>
      <c r="C1003" s="1" t="s">
        <v>3540</v>
      </c>
      <c r="D1003" s="1" t="s">
        <v>1053</v>
      </c>
      <c r="E1003" s="5">
        <v>37614.0</v>
      </c>
      <c r="F1003" s="1" t="s">
        <v>101</v>
      </c>
      <c r="G1003" s="1" t="s">
        <v>31</v>
      </c>
      <c r="H1003" s="1" t="s">
        <v>32</v>
      </c>
      <c r="I1003" s="3">
        <f>+2250708180139</f>
        <v>2250708180139</v>
      </c>
      <c r="J1003" s="3">
        <f>+2250708668211</f>
        <v>2250708668211</v>
      </c>
      <c r="K1003" s="1" t="s">
        <v>19</v>
      </c>
      <c r="L1003" s="4" t="s">
        <v>3541</v>
      </c>
    </row>
    <row r="1004">
      <c r="A1004" s="1" t="s">
        <v>12</v>
      </c>
      <c r="B1004" s="1" t="s">
        <v>3542</v>
      </c>
      <c r="C1004" s="1" t="s">
        <v>3540</v>
      </c>
      <c r="D1004" s="1" t="s">
        <v>3543</v>
      </c>
      <c r="E1004" s="2">
        <v>38539.0</v>
      </c>
      <c r="F1004" s="1" t="s">
        <v>62</v>
      </c>
      <c r="G1004" s="1" t="s">
        <v>17</v>
      </c>
      <c r="H1004" s="1" t="s">
        <v>18</v>
      </c>
      <c r="I1004" s="3">
        <f>+2250153800201</f>
        <v>2250153800201</v>
      </c>
      <c r="J1004" s="3">
        <f>+2250709533543</f>
        <v>2250709533543</v>
      </c>
      <c r="K1004" s="1" t="s">
        <v>19</v>
      </c>
      <c r="L1004" s="4" t="s">
        <v>3544</v>
      </c>
    </row>
    <row r="1005">
      <c r="A1005" s="1" t="s">
        <v>12</v>
      </c>
      <c r="B1005" s="1" t="s">
        <v>3545</v>
      </c>
      <c r="C1005" s="1" t="s">
        <v>3540</v>
      </c>
      <c r="D1005" s="1" t="s">
        <v>3546</v>
      </c>
      <c r="E1005" s="5">
        <v>37611.0</v>
      </c>
      <c r="F1005" s="1" t="s">
        <v>16</v>
      </c>
      <c r="G1005" s="1" t="s">
        <v>25</v>
      </c>
      <c r="H1005" s="1" t="s">
        <v>18</v>
      </c>
      <c r="I1005" s="3">
        <f>+2250554016188</f>
        <v>2250554016188</v>
      </c>
      <c r="J1005" s="3">
        <f>+2250707510421</f>
        <v>2250707510421</v>
      </c>
      <c r="K1005" s="1" t="s">
        <v>19</v>
      </c>
      <c r="L1005" s="4" t="s">
        <v>3547</v>
      </c>
    </row>
    <row r="1006">
      <c r="A1006" s="1" t="s">
        <v>12</v>
      </c>
      <c r="B1006" s="1" t="s">
        <v>3548</v>
      </c>
      <c r="C1006" s="1" t="s">
        <v>3540</v>
      </c>
      <c r="D1006" s="1" t="s">
        <v>3549</v>
      </c>
      <c r="E1006" s="2">
        <v>37886.0</v>
      </c>
      <c r="F1006" s="1" t="s">
        <v>48</v>
      </c>
      <c r="G1006" s="1" t="s">
        <v>76</v>
      </c>
      <c r="H1006" s="1" t="s">
        <v>32</v>
      </c>
      <c r="I1006" s="3">
        <f>+2250143082927</f>
        <v>2250143082927</v>
      </c>
      <c r="J1006" s="3">
        <f>+2250707311447</f>
        <v>2250707311447</v>
      </c>
      <c r="K1006" s="1" t="s">
        <v>19</v>
      </c>
      <c r="L1006" s="4" t="s">
        <v>3550</v>
      </c>
    </row>
    <row r="1007">
      <c r="A1007" s="1" t="s">
        <v>12</v>
      </c>
      <c r="B1007" s="1" t="s">
        <v>3551</v>
      </c>
      <c r="C1007" s="1" t="s">
        <v>3540</v>
      </c>
      <c r="D1007" s="1" t="s">
        <v>3552</v>
      </c>
      <c r="E1007" s="2">
        <v>38479.0</v>
      </c>
      <c r="F1007" s="1" t="s">
        <v>62</v>
      </c>
      <c r="G1007" s="1" t="s">
        <v>25</v>
      </c>
      <c r="H1007" s="1" t="s">
        <v>18</v>
      </c>
      <c r="I1007" s="3">
        <f>+2250769289976</f>
        <v>2250769289976</v>
      </c>
      <c r="J1007" s="3">
        <f>+2250748960882</f>
        <v>2250748960882</v>
      </c>
      <c r="K1007" s="1" t="s">
        <v>19</v>
      </c>
      <c r="L1007" s="4" t="s">
        <v>3553</v>
      </c>
    </row>
    <row r="1008">
      <c r="A1008" s="1" t="s">
        <v>12</v>
      </c>
      <c r="B1008" s="1" t="s">
        <v>3554</v>
      </c>
      <c r="C1008" s="1" t="s">
        <v>3540</v>
      </c>
      <c r="D1008" s="1" t="s">
        <v>3555</v>
      </c>
      <c r="E1008" s="5">
        <v>38703.0</v>
      </c>
      <c r="F1008" s="1" t="s">
        <v>24</v>
      </c>
      <c r="G1008" s="1" t="s">
        <v>82</v>
      </c>
      <c r="H1008" s="1" t="s">
        <v>18</v>
      </c>
      <c r="I1008" s="3">
        <f>+2250575119089</f>
        <v>2250575119089</v>
      </c>
      <c r="J1008" s="3">
        <f>+2250759913161</f>
        <v>2250759913161</v>
      </c>
      <c r="K1008" s="1" t="s">
        <v>19</v>
      </c>
      <c r="L1008" s="4" t="s">
        <v>3556</v>
      </c>
    </row>
    <row r="1009">
      <c r="A1009" s="1" t="s">
        <v>12</v>
      </c>
      <c r="B1009" s="1" t="s">
        <v>3557</v>
      </c>
      <c r="C1009" s="1" t="s">
        <v>3540</v>
      </c>
      <c r="D1009" s="1" t="s">
        <v>3558</v>
      </c>
      <c r="E1009" s="2">
        <v>38244.0</v>
      </c>
      <c r="F1009" s="1" t="s">
        <v>138</v>
      </c>
      <c r="G1009" s="1" t="s">
        <v>31</v>
      </c>
      <c r="H1009" s="1" t="s">
        <v>32</v>
      </c>
      <c r="I1009" s="3">
        <f>+225050643084</f>
        <v>225050643084</v>
      </c>
      <c r="J1009" s="3">
        <f>+2250544193768</f>
        <v>2250544193768</v>
      </c>
      <c r="K1009" s="1" t="s">
        <v>19</v>
      </c>
      <c r="L1009" s="4" t="s">
        <v>3559</v>
      </c>
    </row>
    <row r="1010">
      <c r="A1010" s="1" t="s">
        <v>12</v>
      </c>
      <c r="B1010" s="1" t="s">
        <v>3560</v>
      </c>
      <c r="C1010" s="1" t="s">
        <v>3540</v>
      </c>
      <c r="D1010" s="1" t="s">
        <v>3561</v>
      </c>
      <c r="E1010" s="2">
        <v>36655.0</v>
      </c>
      <c r="F1010" s="1" t="s">
        <v>147</v>
      </c>
      <c r="G1010" s="1" t="s">
        <v>17</v>
      </c>
      <c r="H1010" s="1" t="s">
        <v>18</v>
      </c>
      <c r="I1010" s="3">
        <f>+2250707538069</f>
        <v>2250707538069</v>
      </c>
      <c r="J1010" s="3">
        <f>+2250504212261</f>
        <v>2250504212261</v>
      </c>
      <c r="K1010" s="1" t="s">
        <v>19</v>
      </c>
      <c r="L1010" s="4" t="s">
        <v>3562</v>
      </c>
    </row>
    <row r="1011">
      <c r="A1011" s="1" t="s">
        <v>12</v>
      </c>
      <c r="B1011" s="1" t="s">
        <v>3563</v>
      </c>
      <c r="C1011" s="1" t="s">
        <v>3540</v>
      </c>
      <c r="D1011" s="1" t="s">
        <v>3564</v>
      </c>
      <c r="E1011" s="5">
        <v>37250.0</v>
      </c>
      <c r="F1011" s="1" t="s">
        <v>16</v>
      </c>
      <c r="G1011" s="1" t="s">
        <v>17</v>
      </c>
      <c r="H1011" s="1" t="s">
        <v>18</v>
      </c>
      <c r="I1011" s="3">
        <f>+2250102595636</f>
        <v>2250102595636</v>
      </c>
      <c r="J1011" s="3">
        <f>+2250101294776</f>
        <v>2250101294776</v>
      </c>
      <c r="K1011" s="1" t="s">
        <v>19</v>
      </c>
      <c r="L1011" s="4" t="s">
        <v>3565</v>
      </c>
    </row>
    <row r="1012">
      <c r="A1012" s="1" t="s">
        <v>12</v>
      </c>
      <c r="B1012" s="1" t="s">
        <v>3566</v>
      </c>
      <c r="C1012" s="1" t="s">
        <v>3540</v>
      </c>
      <c r="D1012" s="1" t="s">
        <v>1774</v>
      </c>
      <c r="E1012" s="5">
        <v>38652.0</v>
      </c>
      <c r="F1012" s="1" t="s">
        <v>138</v>
      </c>
      <c r="G1012" s="1" t="s">
        <v>76</v>
      </c>
      <c r="H1012" s="1" t="s">
        <v>32</v>
      </c>
      <c r="I1012" s="3">
        <f>+2250797023964</f>
        <v>2250797023964</v>
      </c>
      <c r="J1012" s="3">
        <f>+2250789436929</f>
        <v>2250789436929</v>
      </c>
      <c r="K1012" s="1" t="s">
        <v>19</v>
      </c>
      <c r="L1012" s="4" t="s">
        <v>3567</v>
      </c>
    </row>
    <row r="1013">
      <c r="A1013" s="1" t="s">
        <v>12</v>
      </c>
      <c r="B1013" s="1" t="s">
        <v>3568</v>
      </c>
      <c r="C1013" s="1" t="s">
        <v>3540</v>
      </c>
      <c r="D1013" s="1" t="s">
        <v>1976</v>
      </c>
      <c r="E1013" s="2">
        <v>37267.0</v>
      </c>
      <c r="F1013" s="1" t="s">
        <v>110</v>
      </c>
      <c r="G1013" s="1" t="s">
        <v>3569</v>
      </c>
      <c r="H1013" s="1" t="s">
        <v>39</v>
      </c>
      <c r="I1013" s="3">
        <f>+2250788925233</f>
        <v>2250788925233</v>
      </c>
      <c r="J1013" s="3">
        <f>+2250749577549</f>
        <v>2250749577549</v>
      </c>
      <c r="K1013" s="1" t="s">
        <v>19</v>
      </c>
      <c r="L1013" s="4" t="s">
        <v>3570</v>
      </c>
    </row>
    <row r="1014">
      <c r="A1014" s="1" t="s">
        <v>12</v>
      </c>
      <c r="B1014" s="1" t="s">
        <v>3571</v>
      </c>
      <c r="C1014" s="1" t="s">
        <v>3540</v>
      </c>
      <c r="D1014" s="1" t="s">
        <v>3572</v>
      </c>
      <c r="E1014" s="2">
        <v>36530.0</v>
      </c>
      <c r="F1014" s="1" t="s">
        <v>53</v>
      </c>
      <c r="G1014" s="1" t="s">
        <v>25</v>
      </c>
      <c r="H1014" s="1" t="s">
        <v>18</v>
      </c>
      <c r="I1014" s="3">
        <f>+2250556625436</f>
        <v>2250556625436</v>
      </c>
      <c r="J1014" s="3">
        <f>+2250545450368</f>
        <v>2250545450368</v>
      </c>
      <c r="K1014" s="1" t="s">
        <v>19</v>
      </c>
      <c r="L1014" s="4" t="s">
        <v>3573</v>
      </c>
    </row>
    <row r="1015">
      <c r="A1015" s="1" t="s">
        <v>12</v>
      </c>
      <c r="B1015" s="1" t="s">
        <v>3574</v>
      </c>
      <c r="C1015" s="1" t="s">
        <v>3540</v>
      </c>
      <c r="D1015" s="1" t="s">
        <v>3575</v>
      </c>
      <c r="E1015" s="5">
        <v>37969.0</v>
      </c>
      <c r="F1015" s="1" t="s">
        <v>92</v>
      </c>
      <c r="G1015" s="1" t="s">
        <v>31</v>
      </c>
      <c r="H1015" s="1" t="s">
        <v>32</v>
      </c>
      <c r="I1015" s="3">
        <f>+2250702675794</f>
        <v>2250702675794</v>
      </c>
      <c r="J1015" s="3">
        <f>+2250505171949</f>
        <v>2250505171949</v>
      </c>
      <c r="K1015" s="1" t="s">
        <v>19</v>
      </c>
      <c r="L1015" s="4" t="s">
        <v>3576</v>
      </c>
    </row>
    <row r="1016">
      <c r="A1016" s="1" t="s">
        <v>12</v>
      </c>
      <c r="B1016" s="1" t="s">
        <v>3577</v>
      </c>
      <c r="C1016" s="1" t="s">
        <v>3540</v>
      </c>
      <c r="D1016" s="1" t="s">
        <v>3578</v>
      </c>
      <c r="E1016" s="5">
        <v>37608.0</v>
      </c>
      <c r="F1016" s="1" t="s">
        <v>182</v>
      </c>
      <c r="G1016" s="1" t="s">
        <v>82</v>
      </c>
      <c r="H1016" s="1" t="s">
        <v>18</v>
      </c>
      <c r="I1016" s="3">
        <f>+2250143969521</f>
        <v>2250143969521</v>
      </c>
      <c r="J1016" s="3">
        <f>+2250707521111</f>
        <v>2250707521111</v>
      </c>
      <c r="K1016" s="1" t="s">
        <v>19</v>
      </c>
      <c r="L1016" s="4" t="s">
        <v>3579</v>
      </c>
    </row>
    <row r="1017">
      <c r="A1017" s="1" t="s">
        <v>12</v>
      </c>
      <c r="B1017" s="1" t="s">
        <v>3580</v>
      </c>
      <c r="C1017" s="1" t="s">
        <v>3540</v>
      </c>
      <c r="D1017" s="1" t="s">
        <v>3581</v>
      </c>
      <c r="E1017" s="2">
        <v>38399.0</v>
      </c>
      <c r="F1017" s="1" t="s">
        <v>62</v>
      </c>
      <c r="G1017" s="1" t="s">
        <v>25</v>
      </c>
      <c r="H1017" s="1" t="s">
        <v>18</v>
      </c>
      <c r="I1017" s="3">
        <f>+2250701365591</f>
        <v>2250701365591</v>
      </c>
      <c r="J1017" s="3">
        <f>+2250778393959</f>
        <v>2250778393959</v>
      </c>
      <c r="K1017" s="1" t="s">
        <v>19</v>
      </c>
      <c r="L1017" s="4" t="s">
        <v>3582</v>
      </c>
    </row>
    <row r="1018">
      <c r="A1018" s="1" t="s">
        <v>12</v>
      </c>
      <c r="B1018" s="1" t="s">
        <v>3583</v>
      </c>
      <c r="C1018" s="1" t="s">
        <v>3540</v>
      </c>
      <c r="D1018" s="1" t="s">
        <v>3584</v>
      </c>
      <c r="E1018" s="2">
        <v>37460.0</v>
      </c>
      <c r="F1018" s="1" t="s">
        <v>110</v>
      </c>
      <c r="G1018" s="1" t="s">
        <v>82</v>
      </c>
      <c r="H1018" s="1" t="s">
        <v>18</v>
      </c>
      <c r="I1018" s="3">
        <f>+2250757508366</f>
        <v>2250757508366</v>
      </c>
      <c r="J1018" s="3">
        <f>+2250757826965</f>
        <v>2250757826965</v>
      </c>
      <c r="K1018" s="1" t="s">
        <v>19</v>
      </c>
      <c r="L1018" s="4" t="s">
        <v>3585</v>
      </c>
    </row>
    <row r="1019">
      <c r="A1019" s="1" t="s">
        <v>12</v>
      </c>
      <c r="B1019" s="1" t="s">
        <v>3586</v>
      </c>
      <c r="C1019" s="1" t="s">
        <v>3540</v>
      </c>
      <c r="D1019" s="1" t="s">
        <v>1732</v>
      </c>
      <c r="E1019" s="2">
        <v>38105.0</v>
      </c>
      <c r="F1019" s="1" t="s">
        <v>53</v>
      </c>
      <c r="G1019" s="1" t="s">
        <v>17</v>
      </c>
      <c r="H1019" s="1" t="s">
        <v>18</v>
      </c>
      <c r="I1019" s="3">
        <f>+2250710102914</f>
        <v>2250710102914</v>
      </c>
      <c r="J1019" s="3">
        <f>+2250778146266</f>
        <v>2250778146266</v>
      </c>
      <c r="K1019" s="1" t="s">
        <v>19</v>
      </c>
      <c r="L1019" s="4" t="s">
        <v>3587</v>
      </c>
    </row>
    <row r="1020">
      <c r="A1020" s="1" t="s">
        <v>12</v>
      </c>
      <c r="B1020" s="1" t="s">
        <v>3588</v>
      </c>
      <c r="C1020" s="1" t="s">
        <v>3540</v>
      </c>
      <c r="D1020" s="1" t="s">
        <v>1876</v>
      </c>
      <c r="E1020" s="2">
        <v>37528.0</v>
      </c>
      <c r="F1020" s="1" t="s">
        <v>48</v>
      </c>
      <c r="G1020" s="1" t="s">
        <v>76</v>
      </c>
      <c r="H1020" s="1" t="s">
        <v>32</v>
      </c>
      <c r="I1020" s="3">
        <f>+2250102448845</f>
        <v>2250102448845</v>
      </c>
      <c r="J1020" s="3">
        <f>+2250709480476</f>
        <v>2250709480476</v>
      </c>
      <c r="K1020" s="1" t="s">
        <v>19</v>
      </c>
      <c r="L1020" s="4" t="s">
        <v>3589</v>
      </c>
    </row>
    <row r="1021">
      <c r="A1021" s="1" t="s">
        <v>12</v>
      </c>
      <c r="B1021" s="1" t="s">
        <v>3590</v>
      </c>
      <c r="C1021" s="1" t="s">
        <v>3540</v>
      </c>
      <c r="D1021" s="1" t="s">
        <v>3591</v>
      </c>
      <c r="E1021" s="5">
        <v>38704.0</v>
      </c>
      <c r="F1021" s="1" t="s">
        <v>110</v>
      </c>
      <c r="G1021" s="1" t="s">
        <v>82</v>
      </c>
      <c r="H1021" s="1" t="s">
        <v>18</v>
      </c>
      <c r="I1021" s="3">
        <f>+2250584314532</f>
        <v>2250584314532</v>
      </c>
      <c r="J1021" s="3">
        <f>+2250747431249</f>
        <v>2250747431249</v>
      </c>
      <c r="K1021" s="1" t="s">
        <v>19</v>
      </c>
      <c r="L1021" s="4" t="s">
        <v>3592</v>
      </c>
    </row>
    <row r="1022">
      <c r="A1022" s="1" t="s">
        <v>12</v>
      </c>
      <c r="B1022" s="1" t="s">
        <v>3593</v>
      </c>
      <c r="C1022" s="1" t="s">
        <v>3540</v>
      </c>
      <c r="D1022" s="1" t="s">
        <v>3594</v>
      </c>
      <c r="E1022" s="2">
        <v>37847.0</v>
      </c>
      <c r="F1022" s="1" t="s">
        <v>30</v>
      </c>
      <c r="G1022" s="1" t="s">
        <v>31</v>
      </c>
      <c r="H1022" s="1" t="s">
        <v>32</v>
      </c>
      <c r="I1022" s="3">
        <f>+2250574414656</f>
        <v>2250574414656</v>
      </c>
      <c r="J1022" s="3">
        <f>+2250777000913</f>
        <v>2250777000913</v>
      </c>
      <c r="K1022" s="1" t="s">
        <v>19</v>
      </c>
      <c r="L1022" s="4" t="s">
        <v>3595</v>
      </c>
    </row>
    <row r="1023">
      <c r="A1023" s="1" t="s">
        <v>12</v>
      </c>
      <c r="B1023" s="1" t="s">
        <v>3596</v>
      </c>
      <c r="C1023" s="1" t="s">
        <v>3540</v>
      </c>
      <c r="D1023" s="1" t="s">
        <v>3398</v>
      </c>
      <c r="E1023" s="2">
        <v>37886.0</v>
      </c>
      <c r="F1023" s="1" t="s">
        <v>101</v>
      </c>
      <c r="G1023" s="1" t="s">
        <v>76</v>
      </c>
      <c r="H1023" s="1" t="s">
        <v>32</v>
      </c>
      <c r="I1023" s="3">
        <f>+2250778757820</f>
        <v>2250778757820</v>
      </c>
      <c r="J1023" s="3">
        <f>+2250544622703</f>
        <v>2250544622703</v>
      </c>
      <c r="K1023" s="1" t="s">
        <v>19</v>
      </c>
      <c r="L1023" s="4" t="s">
        <v>3597</v>
      </c>
    </row>
    <row r="1024">
      <c r="A1024" s="1" t="s">
        <v>12</v>
      </c>
      <c r="B1024" s="1" t="s">
        <v>3598</v>
      </c>
      <c r="C1024" s="1" t="s">
        <v>3540</v>
      </c>
      <c r="D1024" s="1" t="s">
        <v>3599</v>
      </c>
      <c r="E1024" s="2">
        <v>36225.0</v>
      </c>
      <c r="F1024" s="1" t="s">
        <v>155</v>
      </c>
      <c r="G1024" s="1" t="s">
        <v>31</v>
      </c>
      <c r="H1024" s="1" t="s">
        <v>32</v>
      </c>
      <c r="I1024" s="3">
        <f>+2250708527069</f>
        <v>2250708527069</v>
      </c>
      <c r="J1024" s="3">
        <f>+2250504210344</f>
        <v>2250504210344</v>
      </c>
      <c r="K1024" s="1" t="s">
        <v>19</v>
      </c>
      <c r="L1024" s="4" t="s">
        <v>3600</v>
      </c>
    </row>
    <row r="1025">
      <c r="A1025" s="1" t="s">
        <v>12</v>
      </c>
      <c r="B1025" s="1" t="s">
        <v>3601</v>
      </c>
      <c r="C1025" s="1" t="s">
        <v>3602</v>
      </c>
      <c r="D1025" s="1" t="s">
        <v>3603</v>
      </c>
      <c r="E1025" s="2">
        <v>37353.0</v>
      </c>
      <c r="F1025" s="1" t="s">
        <v>92</v>
      </c>
      <c r="G1025" s="1" t="s">
        <v>76</v>
      </c>
      <c r="H1025" s="1" t="s">
        <v>32</v>
      </c>
      <c r="I1025" s="3">
        <f>+2250101104148</f>
        <v>2250101104148</v>
      </c>
      <c r="J1025" s="3">
        <f>+2250707464142</f>
        <v>2250707464142</v>
      </c>
      <c r="K1025" s="1" t="s">
        <v>19</v>
      </c>
      <c r="L1025" s="4" t="s">
        <v>3604</v>
      </c>
    </row>
    <row r="1026">
      <c r="A1026" s="1" t="s">
        <v>12</v>
      </c>
      <c r="B1026" s="1" t="s">
        <v>3605</v>
      </c>
      <c r="C1026" s="1" t="s">
        <v>3606</v>
      </c>
      <c r="D1026" s="1" t="s">
        <v>3607</v>
      </c>
      <c r="E1026" s="5">
        <v>39031.0</v>
      </c>
      <c r="F1026" s="1" t="s">
        <v>30</v>
      </c>
      <c r="G1026" s="1" t="s">
        <v>76</v>
      </c>
      <c r="H1026" s="1" t="s">
        <v>32</v>
      </c>
      <c r="I1026" s="3">
        <f>+2250507348784</f>
        <v>2250507348784</v>
      </c>
      <c r="J1026" s="3">
        <f>+2250505871413</f>
        <v>2250505871413</v>
      </c>
      <c r="K1026" s="1" t="s">
        <v>19</v>
      </c>
      <c r="L1026" s="4" t="s">
        <v>3608</v>
      </c>
    </row>
    <row r="1027">
      <c r="A1027" s="1" t="s">
        <v>12</v>
      </c>
      <c r="B1027" s="1" t="s">
        <v>3609</v>
      </c>
      <c r="C1027" s="1" t="s">
        <v>3610</v>
      </c>
      <c r="D1027" s="1" t="s">
        <v>3611</v>
      </c>
      <c r="E1027" s="5">
        <v>38280.0</v>
      </c>
      <c r="F1027" s="1" t="s">
        <v>62</v>
      </c>
      <c r="G1027" s="1" t="s">
        <v>17</v>
      </c>
      <c r="H1027" s="1" t="s">
        <v>18</v>
      </c>
      <c r="I1027" s="3">
        <f>+2250140816199</f>
        <v>2250140816199</v>
      </c>
      <c r="J1027" s="3">
        <f>+2250708205430</f>
        <v>2250708205430</v>
      </c>
      <c r="K1027" s="1" t="s">
        <v>19</v>
      </c>
      <c r="L1027" s="4" t="s">
        <v>3612</v>
      </c>
    </row>
    <row r="1028">
      <c r="A1028" s="1" t="s">
        <v>12</v>
      </c>
      <c r="B1028" s="1" t="s">
        <v>3613</v>
      </c>
      <c r="C1028" s="1" t="s">
        <v>3614</v>
      </c>
      <c r="D1028" s="1" t="s">
        <v>3615</v>
      </c>
      <c r="E1028" s="2">
        <v>37423.0</v>
      </c>
      <c r="F1028" s="1" t="s">
        <v>92</v>
      </c>
      <c r="G1028" s="1" t="s">
        <v>76</v>
      </c>
      <c r="H1028" s="1" t="s">
        <v>32</v>
      </c>
      <c r="I1028" s="3">
        <f>+2250143217469</f>
        <v>2250143217469</v>
      </c>
      <c r="J1028" s="3">
        <f>+2250758904333</f>
        <v>2250758904333</v>
      </c>
      <c r="K1028" s="1" t="s">
        <v>19</v>
      </c>
      <c r="L1028" s="4" t="s">
        <v>3616</v>
      </c>
    </row>
    <row r="1029">
      <c r="A1029" s="1" t="s">
        <v>12</v>
      </c>
      <c r="B1029" s="1" t="s">
        <v>3617</v>
      </c>
      <c r="C1029" s="1" t="s">
        <v>3618</v>
      </c>
      <c r="D1029" s="1" t="s">
        <v>3619</v>
      </c>
      <c r="E1029" s="2">
        <v>37626.0</v>
      </c>
      <c r="F1029" s="1" t="s">
        <v>48</v>
      </c>
      <c r="G1029" s="1" t="s">
        <v>76</v>
      </c>
      <c r="H1029" s="1" t="s">
        <v>32</v>
      </c>
      <c r="I1029" s="3">
        <f>+2250502457747</f>
        <v>2250502457747</v>
      </c>
      <c r="J1029" s="3">
        <f>+2250767271625</f>
        <v>2250767271625</v>
      </c>
      <c r="K1029" s="1" t="s">
        <v>19</v>
      </c>
      <c r="L1029" s="4" t="s">
        <v>3620</v>
      </c>
    </row>
    <row r="1030">
      <c r="A1030" s="1" t="s">
        <v>12</v>
      </c>
      <c r="B1030" s="1" t="s">
        <v>3621</v>
      </c>
      <c r="C1030" s="1" t="s">
        <v>3622</v>
      </c>
      <c r="D1030" s="1" t="s">
        <v>3623</v>
      </c>
      <c r="E1030" s="2">
        <v>38848.0</v>
      </c>
      <c r="F1030" s="1" t="s">
        <v>48</v>
      </c>
      <c r="G1030" s="1" t="s">
        <v>76</v>
      </c>
      <c r="H1030" s="1" t="s">
        <v>32</v>
      </c>
      <c r="I1030" s="3">
        <f>+2250585632772</f>
        <v>2250585632772</v>
      </c>
      <c r="J1030" s="3">
        <f>+2250747850009</f>
        <v>2250747850009</v>
      </c>
      <c r="K1030" s="1" t="s">
        <v>19</v>
      </c>
      <c r="L1030" s="4" t="s">
        <v>3624</v>
      </c>
    </row>
    <row r="1031">
      <c r="A1031" s="1" t="s">
        <v>12</v>
      </c>
      <c r="B1031" s="1" t="s">
        <v>3625</v>
      </c>
      <c r="C1031" s="1" t="s">
        <v>3626</v>
      </c>
      <c r="D1031" s="1" t="s">
        <v>3627</v>
      </c>
      <c r="E1031" s="2">
        <v>36526.0</v>
      </c>
      <c r="F1031" s="1" t="s">
        <v>1723</v>
      </c>
      <c r="G1031" s="1" t="s">
        <v>38</v>
      </c>
      <c r="H1031" s="1" t="s">
        <v>39</v>
      </c>
      <c r="I1031" s="3">
        <f>+2250777338537</f>
        <v>2250777338537</v>
      </c>
      <c r="J1031" s="3">
        <f>+2250707269916</f>
        <v>2250707269916</v>
      </c>
      <c r="K1031" s="1" t="s">
        <v>19</v>
      </c>
      <c r="L1031" s="4" t="s">
        <v>3628</v>
      </c>
    </row>
    <row r="1032">
      <c r="A1032" s="1" t="s">
        <v>12</v>
      </c>
      <c r="B1032" s="1" t="s">
        <v>3629</v>
      </c>
      <c r="C1032" s="1" t="s">
        <v>3630</v>
      </c>
      <c r="D1032" s="1" t="s">
        <v>3631</v>
      </c>
      <c r="E1032" s="2">
        <v>36074.0</v>
      </c>
      <c r="F1032" s="1" t="s">
        <v>87</v>
      </c>
      <c r="G1032" s="1" t="s">
        <v>31</v>
      </c>
      <c r="H1032" s="1" t="s">
        <v>32</v>
      </c>
      <c r="I1032" s="3">
        <f>+2250789173873</f>
        <v>2250789173873</v>
      </c>
      <c r="J1032" s="3">
        <f>+2250709951818</f>
        <v>2250709951818</v>
      </c>
      <c r="K1032" s="1" t="s">
        <v>19</v>
      </c>
      <c r="L1032" s="4" t="s">
        <v>3632</v>
      </c>
    </row>
    <row r="1033">
      <c r="A1033" s="1" t="s">
        <v>12</v>
      </c>
      <c r="B1033" s="1" t="s">
        <v>3633</v>
      </c>
      <c r="C1033" s="1" t="s">
        <v>3634</v>
      </c>
      <c r="D1033" s="1" t="s">
        <v>3635</v>
      </c>
      <c r="E1033" s="5">
        <v>38682.0</v>
      </c>
      <c r="F1033" s="1" t="s">
        <v>75</v>
      </c>
      <c r="G1033" s="1" t="s">
        <v>31</v>
      </c>
      <c r="H1033" s="1" t="s">
        <v>32</v>
      </c>
      <c r="I1033" s="3">
        <f>+2250778661437</f>
        <v>2250778661437</v>
      </c>
      <c r="J1033" s="3">
        <f>+2250747255122</f>
        <v>2250747255122</v>
      </c>
      <c r="K1033" s="1" t="s">
        <v>19</v>
      </c>
      <c r="L1033" s="4" t="s">
        <v>3636</v>
      </c>
    </row>
    <row r="1034">
      <c r="A1034" s="1" t="s">
        <v>12</v>
      </c>
      <c r="B1034" s="1" t="s">
        <v>3637</v>
      </c>
      <c r="C1034" s="1" t="s">
        <v>3638</v>
      </c>
      <c r="D1034" s="1" t="s">
        <v>3639</v>
      </c>
      <c r="E1034" s="5">
        <v>37610.0</v>
      </c>
      <c r="F1034" s="1" t="s">
        <v>48</v>
      </c>
      <c r="G1034" s="1" t="s">
        <v>31</v>
      </c>
      <c r="H1034" s="1" t="s">
        <v>32</v>
      </c>
      <c r="I1034" s="3">
        <f>+2250767653548</f>
        <v>2250767653548</v>
      </c>
      <c r="J1034" s="3">
        <f>+2250505766598</f>
        <v>2250505766598</v>
      </c>
      <c r="K1034" s="1" t="s">
        <v>19</v>
      </c>
      <c r="L1034" s="4" t="s">
        <v>3640</v>
      </c>
    </row>
    <row r="1035">
      <c r="A1035" s="1" t="s">
        <v>12</v>
      </c>
      <c r="B1035" s="1" t="s">
        <v>3641</v>
      </c>
      <c r="C1035" s="1" t="s">
        <v>3642</v>
      </c>
      <c r="D1035" s="1" t="s">
        <v>3643</v>
      </c>
      <c r="E1035" s="2">
        <v>37516.0</v>
      </c>
      <c r="F1035" s="1" t="s">
        <v>110</v>
      </c>
      <c r="G1035" s="1" t="s">
        <v>82</v>
      </c>
      <c r="H1035" s="1" t="s">
        <v>18</v>
      </c>
      <c r="I1035" s="3">
        <f>+2250700762964</f>
        <v>2250700762964</v>
      </c>
      <c r="J1035" s="3">
        <f>+2250708670439</f>
        <v>2250708670439</v>
      </c>
      <c r="K1035" s="1" t="s">
        <v>19</v>
      </c>
      <c r="L1035" s="4" t="s">
        <v>3644</v>
      </c>
    </row>
    <row r="1036">
      <c r="A1036" s="1" t="s">
        <v>12</v>
      </c>
      <c r="B1036" s="1" t="s">
        <v>3645</v>
      </c>
      <c r="C1036" s="1" t="s">
        <v>3646</v>
      </c>
      <c r="D1036" s="1" t="s">
        <v>3647</v>
      </c>
      <c r="E1036" s="5">
        <v>37573.0</v>
      </c>
      <c r="F1036" s="1" t="s">
        <v>48</v>
      </c>
      <c r="G1036" s="1" t="s">
        <v>82</v>
      </c>
      <c r="H1036" s="1" t="s">
        <v>18</v>
      </c>
      <c r="I1036" s="3">
        <f>+2250703020283</f>
        <v>2250703020283</v>
      </c>
      <c r="J1036" s="3">
        <f>+2250749015433</f>
        <v>2250749015433</v>
      </c>
      <c r="K1036" s="1" t="s">
        <v>19</v>
      </c>
      <c r="L1036" s="4" t="s">
        <v>3648</v>
      </c>
    </row>
    <row r="1037">
      <c r="A1037" s="1" t="s">
        <v>12</v>
      </c>
      <c r="B1037" s="1" t="s">
        <v>3649</v>
      </c>
      <c r="C1037" s="1" t="s">
        <v>3646</v>
      </c>
      <c r="D1037" s="1" t="s">
        <v>3650</v>
      </c>
      <c r="E1037" s="2">
        <v>37060.0</v>
      </c>
      <c r="F1037" s="1" t="s">
        <v>16</v>
      </c>
      <c r="G1037" s="1" t="s">
        <v>17</v>
      </c>
      <c r="H1037" s="1" t="s">
        <v>18</v>
      </c>
      <c r="I1037" s="3">
        <f>+2250757841748</f>
        <v>2250757841748</v>
      </c>
      <c r="J1037" s="3">
        <f>+2250705229257</f>
        <v>2250705229257</v>
      </c>
      <c r="K1037" s="1" t="s">
        <v>19</v>
      </c>
      <c r="L1037" s="4" t="s">
        <v>3651</v>
      </c>
    </row>
    <row r="1038">
      <c r="A1038" s="1" t="s">
        <v>12</v>
      </c>
      <c r="B1038" s="1" t="s">
        <v>3652</v>
      </c>
      <c r="C1038" s="1" t="s">
        <v>3653</v>
      </c>
      <c r="D1038" s="1" t="s">
        <v>3654</v>
      </c>
      <c r="E1038" s="5">
        <v>37541.0</v>
      </c>
      <c r="F1038" s="1" t="s">
        <v>87</v>
      </c>
      <c r="G1038" s="1" t="s">
        <v>76</v>
      </c>
      <c r="H1038" s="1" t="s">
        <v>32</v>
      </c>
      <c r="I1038" s="3">
        <f>+2250173062681</f>
        <v>2250173062681</v>
      </c>
      <c r="J1038" s="3">
        <f>+2250777416008</f>
        <v>2250777416008</v>
      </c>
      <c r="K1038" s="1" t="s">
        <v>19</v>
      </c>
      <c r="L1038" s="4" t="s">
        <v>3655</v>
      </c>
    </row>
    <row r="1039">
      <c r="A1039" s="1" t="s">
        <v>12</v>
      </c>
      <c r="B1039" s="1" t="s">
        <v>3656</v>
      </c>
      <c r="C1039" s="1" t="s">
        <v>3657</v>
      </c>
      <c r="D1039" s="1" t="s">
        <v>3658</v>
      </c>
      <c r="E1039" s="2">
        <v>38603.0</v>
      </c>
      <c r="F1039" s="1" t="s">
        <v>53</v>
      </c>
      <c r="G1039" s="1" t="s">
        <v>25</v>
      </c>
      <c r="H1039" s="1" t="s">
        <v>18</v>
      </c>
      <c r="I1039" s="3">
        <f>+2250709584281</f>
        <v>2250709584281</v>
      </c>
      <c r="J1039" s="3">
        <f>+2250788918138</f>
        <v>2250788918138</v>
      </c>
      <c r="K1039" s="1" t="s">
        <v>19</v>
      </c>
      <c r="L1039" s="4" t="s">
        <v>3659</v>
      </c>
    </row>
    <row r="1040">
      <c r="A1040" s="1" t="s">
        <v>12</v>
      </c>
      <c r="B1040" s="1" t="s">
        <v>3660</v>
      </c>
      <c r="C1040" s="1" t="s">
        <v>3661</v>
      </c>
      <c r="D1040" s="1" t="s">
        <v>3662</v>
      </c>
      <c r="E1040" s="5">
        <v>38285.0</v>
      </c>
      <c r="F1040" s="1" t="s">
        <v>48</v>
      </c>
      <c r="G1040" s="1" t="s">
        <v>31</v>
      </c>
      <c r="H1040" s="1" t="s">
        <v>32</v>
      </c>
      <c r="I1040" s="3">
        <f>+2250768613687</f>
        <v>2250768613687</v>
      </c>
      <c r="J1040" s="3">
        <f>+2250779538713</f>
        <v>2250779538713</v>
      </c>
      <c r="K1040" s="1" t="s">
        <v>19</v>
      </c>
      <c r="L1040" s="4" t="s">
        <v>3663</v>
      </c>
    </row>
    <row r="1041">
      <c r="A1041" s="1" t="s">
        <v>12</v>
      </c>
      <c r="B1041" s="1" t="s">
        <v>3664</v>
      </c>
      <c r="C1041" s="1" t="s">
        <v>3665</v>
      </c>
      <c r="D1041" s="1" t="s">
        <v>3666</v>
      </c>
      <c r="E1041" s="5">
        <v>37912.0</v>
      </c>
      <c r="F1041" s="1" t="s">
        <v>16</v>
      </c>
      <c r="G1041" s="1" t="s">
        <v>25</v>
      </c>
      <c r="H1041" s="1" t="s">
        <v>18</v>
      </c>
      <c r="I1041" s="3">
        <f>+2250574410996</f>
        <v>2250574410996</v>
      </c>
      <c r="J1041" s="3">
        <f>+2250707553530</f>
        <v>2250707553530</v>
      </c>
      <c r="K1041" s="1" t="s">
        <v>19</v>
      </c>
      <c r="L1041" s="4" t="s">
        <v>3667</v>
      </c>
    </row>
    <row r="1042">
      <c r="A1042" s="1" t="s">
        <v>12</v>
      </c>
      <c r="B1042" s="1" t="s">
        <v>3668</v>
      </c>
      <c r="C1042" s="1" t="s">
        <v>3669</v>
      </c>
      <c r="D1042" s="1" t="s">
        <v>3670</v>
      </c>
      <c r="E1042" s="2">
        <v>36164.0</v>
      </c>
      <c r="F1042" s="1" t="s">
        <v>62</v>
      </c>
      <c r="G1042" s="1" t="s">
        <v>17</v>
      </c>
      <c r="H1042" s="1" t="s">
        <v>18</v>
      </c>
      <c r="I1042" s="3">
        <f>+2250749728456</f>
        <v>2250749728456</v>
      </c>
      <c r="J1042" s="3">
        <f>+2250141973242</f>
        <v>2250141973242</v>
      </c>
      <c r="K1042" s="1" t="s">
        <v>19</v>
      </c>
      <c r="L1042" s="4" t="s">
        <v>3671</v>
      </c>
    </row>
    <row r="1043">
      <c r="A1043" s="1" t="s">
        <v>12</v>
      </c>
      <c r="B1043" s="1" t="s">
        <v>3672</v>
      </c>
      <c r="C1043" s="1" t="s">
        <v>3673</v>
      </c>
      <c r="D1043" s="1" t="s">
        <v>3674</v>
      </c>
      <c r="E1043" s="2">
        <v>36991.0</v>
      </c>
      <c r="F1043" s="1" t="s">
        <v>30</v>
      </c>
      <c r="G1043" s="1" t="s">
        <v>31</v>
      </c>
      <c r="H1043" s="1" t="s">
        <v>32</v>
      </c>
      <c r="I1043" s="3">
        <f>+2250171773124</f>
        <v>2250171773124</v>
      </c>
      <c r="J1043" s="3">
        <f>+2250140607545</f>
        <v>2250140607545</v>
      </c>
      <c r="K1043" s="1" t="s">
        <v>19</v>
      </c>
      <c r="L1043" s="4" t="s">
        <v>3675</v>
      </c>
    </row>
    <row r="1044">
      <c r="A1044" s="1" t="s">
        <v>12</v>
      </c>
      <c r="B1044" s="1" t="s">
        <v>3676</v>
      </c>
      <c r="C1044" s="1" t="s">
        <v>3673</v>
      </c>
      <c r="D1044" s="1" t="s">
        <v>3677</v>
      </c>
      <c r="E1044" s="5">
        <v>38676.0</v>
      </c>
      <c r="F1044" s="1" t="s">
        <v>288</v>
      </c>
      <c r="G1044" s="1" t="s">
        <v>31</v>
      </c>
      <c r="H1044" s="1" t="s">
        <v>32</v>
      </c>
      <c r="I1044" s="3">
        <f>+2250704312533</f>
        <v>2250704312533</v>
      </c>
      <c r="J1044" s="3">
        <f>+2250747653036</f>
        <v>2250747653036</v>
      </c>
      <c r="K1044" s="1" t="s">
        <v>19</v>
      </c>
      <c r="L1044" s="4" t="s">
        <v>3678</v>
      </c>
    </row>
    <row r="1045">
      <c r="A1045" s="1" t="s">
        <v>12</v>
      </c>
      <c r="B1045" s="1" t="s">
        <v>3679</v>
      </c>
      <c r="C1045" s="1" t="s">
        <v>3673</v>
      </c>
      <c r="D1045" s="1" t="s">
        <v>3680</v>
      </c>
      <c r="E1045" s="2">
        <v>36526.0</v>
      </c>
      <c r="F1045" s="1" t="s">
        <v>16</v>
      </c>
      <c r="G1045" s="1" t="s">
        <v>25</v>
      </c>
      <c r="H1045" s="1" t="s">
        <v>18</v>
      </c>
      <c r="I1045" s="3">
        <f>+2250502437880</f>
        <v>2250502437880</v>
      </c>
      <c r="J1045" s="3">
        <f>+2250707543355</f>
        <v>2250707543355</v>
      </c>
      <c r="K1045" s="1" t="s">
        <v>19</v>
      </c>
      <c r="L1045" s="4" t="s">
        <v>3681</v>
      </c>
    </row>
    <row r="1046">
      <c r="A1046" s="1" t="s">
        <v>12</v>
      </c>
      <c r="B1046" s="1" t="s">
        <v>3682</v>
      </c>
      <c r="C1046" s="1" t="s">
        <v>3673</v>
      </c>
      <c r="D1046" s="1" t="s">
        <v>3683</v>
      </c>
      <c r="E1046" s="2">
        <v>36806.0</v>
      </c>
      <c r="F1046" s="1" t="s">
        <v>92</v>
      </c>
      <c r="G1046" s="1" t="s">
        <v>76</v>
      </c>
      <c r="H1046" s="1" t="s">
        <v>32</v>
      </c>
      <c r="I1046" s="3">
        <f>+2250747828789</f>
        <v>2250747828789</v>
      </c>
      <c r="J1046" s="3">
        <f>+2250103717635</f>
        <v>2250103717635</v>
      </c>
      <c r="K1046" s="1" t="s">
        <v>19</v>
      </c>
      <c r="L1046" s="4" t="s">
        <v>3684</v>
      </c>
    </row>
    <row r="1047">
      <c r="A1047" s="1" t="s">
        <v>12</v>
      </c>
      <c r="B1047" s="1" t="s">
        <v>3685</v>
      </c>
      <c r="C1047" s="1" t="s">
        <v>3673</v>
      </c>
      <c r="D1047" s="1" t="s">
        <v>3686</v>
      </c>
      <c r="E1047" s="2">
        <v>38356.0</v>
      </c>
      <c r="F1047" s="1" t="s">
        <v>167</v>
      </c>
      <c r="G1047" s="1" t="s">
        <v>17</v>
      </c>
      <c r="H1047" s="1" t="s">
        <v>18</v>
      </c>
      <c r="I1047" s="3">
        <f>+2250566499904</f>
        <v>2250566499904</v>
      </c>
      <c r="J1047" s="3">
        <f>+2250777225991</f>
        <v>2250777225991</v>
      </c>
      <c r="K1047" s="1" t="s">
        <v>19</v>
      </c>
      <c r="L1047" s="4" t="s">
        <v>3687</v>
      </c>
    </row>
    <row r="1048">
      <c r="A1048" s="1" t="s">
        <v>12</v>
      </c>
      <c r="B1048" s="1" t="s">
        <v>3688</v>
      </c>
      <c r="C1048" s="1" t="s">
        <v>3673</v>
      </c>
      <c r="D1048" s="1" t="s">
        <v>3689</v>
      </c>
      <c r="E1048" s="2">
        <v>38879.0</v>
      </c>
      <c r="F1048" s="1" t="s">
        <v>48</v>
      </c>
      <c r="G1048" s="1" t="s">
        <v>76</v>
      </c>
      <c r="H1048" s="1" t="s">
        <v>32</v>
      </c>
      <c r="I1048" s="3">
        <f>+2250170356649</f>
        <v>2250170356649</v>
      </c>
      <c r="J1048" s="3">
        <f>+2250103425741</f>
        <v>2250103425741</v>
      </c>
      <c r="K1048" s="1" t="s">
        <v>19</v>
      </c>
      <c r="L1048" s="4" t="s">
        <v>3690</v>
      </c>
    </row>
    <row r="1049">
      <c r="A1049" s="1" t="s">
        <v>12</v>
      </c>
      <c r="B1049" s="1" t="s">
        <v>3691</v>
      </c>
      <c r="C1049" s="1" t="s">
        <v>3692</v>
      </c>
      <c r="D1049" s="1" t="s">
        <v>3693</v>
      </c>
      <c r="E1049" s="2">
        <v>37430.0</v>
      </c>
      <c r="F1049" s="1" t="s">
        <v>110</v>
      </c>
      <c r="G1049" s="1" t="s">
        <v>82</v>
      </c>
      <c r="H1049" s="1" t="s">
        <v>18</v>
      </c>
      <c r="I1049" s="3">
        <f>+2250704319690</f>
        <v>2250704319690</v>
      </c>
      <c r="J1049" s="3">
        <f>+2250141501594</f>
        <v>2250141501594</v>
      </c>
      <c r="K1049" s="1" t="s">
        <v>19</v>
      </c>
      <c r="L1049" s="4" t="s">
        <v>3694</v>
      </c>
    </row>
    <row r="1050">
      <c r="A1050" s="1" t="s">
        <v>12</v>
      </c>
      <c r="B1050" s="1" t="s">
        <v>3695</v>
      </c>
      <c r="C1050" s="1" t="s">
        <v>3696</v>
      </c>
      <c r="D1050" s="1" t="s">
        <v>3697</v>
      </c>
      <c r="E1050" s="2">
        <v>37865.0</v>
      </c>
      <c r="F1050" s="1" t="s">
        <v>53</v>
      </c>
      <c r="G1050" s="1" t="s">
        <v>25</v>
      </c>
      <c r="H1050" s="1" t="s">
        <v>18</v>
      </c>
      <c r="I1050" s="3">
        <f>+2250151908256</f>
        <v>2250151908256</v>
      </c>
      <c r="J1050" s="3">
        <f>+2250748819549</f>
        <v>2250748819549</v>
      </c>
      <c r="K1050" s="1" t="s">
        <v>19</v>
      </c>
      <c r="L1050" s="4" t="s">
        <v>3698</v>
      </c>
    </row>
    <row r="1051">
      <c r="A1051" s="1" t="s">
        <v>12</v>
      </c>
      <c r="B1051" s="1" t="s">
        <v>3699</v>
      </c>
      <c r="C1051" s="1" t="s">
        <v>3696</v>
      </c>
      <c r="D1051" s="1" t="s">
        <v>3700</v>
      </c>
      <c r="E1051" s="2">
        <v>38265.0</v>
      </c>
      <c r="F1051" s="1" t="s">
        <v>48</v>
      </c>
      <c r="G1051" s="1" t="s">
        <v>76</v>
      </c>
      <c r="H1051" s="1" t="s">
        <v>32</v>
      </c>
      <c r="I1051" s="3">
        <f>+2250503279753</f>
        <v>2250503279753</v>
      </c>
      <c r="J1051" s="3">
        <f>+2250102848989</f>
        <v>2250102848989</v>
      </c>
      <c r="K1051" s="1" t="s">
        <v>19</v>
      </c>
      <c r="L1051" s="4" t="s">
        <v>3701</v>
      </c>
    </row>
    <row r="1052">
      <c r="A1052" s="1" t="s">
        <v>12</v>
      </c>
      <c r="B1052" s="1" t="s">
        <v>3702</v>
      </c>
      <c r="C1052" s="1" t="s">
        <v>3703</v>
      </c>
      <c r="D1052" s="1" t="s">
        <v>3704</v>
      </c>
      <c r="E1052" s="2">
        <v>38065.0</v>
      </c>
      <c r="F1052" s="1" t="s">
        <v>16</v>
      </c>
      <c r="G1052" s="1" t="s">
        <v>82</v>
      </c>
      <c r="H1052" s="1" t="s">
        <v>18</v>
      </c>
      <c r="I1052" s="3">
        <f>+2250705303464</f>
        <v>2250705303464</v>
      </c>
      <c r="J1052" s="3">
        <f>+2250705287961</f>
        <v>2250705287961</v>
      </c>
      <c r="K1052" s="1" t="s">
        <v>19</v>
      </c>
      <c r="L1052" s="4" t="s">
        <v>3705</v>
      </c>
    </row>
    <row r="1053">
      <c r="A1053" s="1" t="s">
        <v>12</v>
      </c>
      <c r="B1053" s="1" t="s">
        <v>3706</v>
      </c>
      <c r="C1053" s="1" t="s">
        <v>3707</v>
      </c>
      <c r="D1053" s="1" t="s">
        <v>3708</v>
      </c>
      <c r="E1053" s="2">
        <v>37844.0</v>
      </c>
      <c r="F1053" s="1" t="s">
        <v>62</v>
      </c>
      <c r="G1053" s="1" t="s">
        <v>17</v>
      </c>
      <c r="H1053" s="1" t="s">
        <v>18</v>
      </c>
      <c r="I1053" s="3">
        <f>+2250173091335</f>
        <v>2250173091335</v>
      </c>
      <c r="J1053" s="3">
        <f>+2250708928570</f>
        <v>2250708928570</v>
      </c>
      <c r="K1053" s="1" t="s">
        <v>19</v>
      </c>
      <c r="L1053" s="4" t="s">
        <v>3709</v>
      </c>
    </row>
    <row r="1054">
      <c r="A1054" s="1" t="s">
        <v>12</v>
      </c>
      <c r="B1054" s="1" t="s">
        <v>3710</v>
      </c>
      <c r="C1054" s="1" t="s">
        <v>3711</v>
      </c>
      <c r="D1054" s="1" t="s">
        <v>3712</v>
      </c>
      <c r="E1054" s="5">
        <v>38682.0</v>
      </c>
      <c r="F1054" s="1" t="s">
        <v>53</v>
      </c>
      <c r="G1054" s="1" t="s">
        <v>25</v>
      </c>
      <c r="H1054" s="1" t="s">
        <v>18</v>
      </c>
      <c r="I1054" s="3">
        <f>+2250503801511</f>
        <v>2250503801511</v>
      </c>
      <c r="J1054" s="3">
        <f>+2250759917464</f>
        <v>2250759917464</v>
      </c>
      <c r="K1054" s="1" t="s">
        <v>19</v>
      </c>
      <c r="L1054" s="4" t="s">
        <v>3713</v>
      </c>
    </row>
    <row r="1055">
      <c r="A1055" s="1" t="s">
        <v>12</v>
      </c>
      <c r="B1055" s="1" t="s">
        <v>3714</v>
      </c>
      <c r="C1055" s="1" t="s">
        <v>3715</v>
      </c>
      <c r="D1055" s="1" t="s">
        <v>3716</v>
      </c>
      <c r="E1055" s="2">
        <v>38144.0</v>
      </c>
      <c r="F1055" s="1" t="s">
        <v>138</v>
      </c>
      <c r="G1055" s="1" t="s">
        <v>31</v>
      </c>
      <c r="H1055" s="1" t="s">
        <v>32</v>
      </c>
      <c r="I1055" s="3">
        <f>+2250503757726</f>
        <v>2250503757726</v>
      </c>
      <c r="J1055" s="3">
        <f>+2250554818088</f>
        <v>2250554818088</v>
      </c>
      <c r="K1055" s="1" t="s">
        <v>19</v>
      </c>
      <c r="L1055" s="4" t="s">
        <v>3717</v>
      </c>
    </row>
    <row r="1056">
      <c r="A1056" s="1" t="s">
        <v>12</v>
      </c>
      <c r="B1056" s="1" t="s">
        <v>3718</v>
      </c>
      <c r="C1056" s="1" t="s">
        <v>3715</v>
      </c>
      <c r="D1056" s="1" t="s">
        <v>3719</v>
      </c>
      <c r="E1056" s="2">
        <v>38183.0</v>
      </c>
      <c r="F1056" s="1" t="s">
        <v>62</v>
      </c>
      <c r="G1056" s="1" t="s">
        <v>17</v>
      </c>
      <c r="H1056" s="1" t="s">
        <v>18</v>
      </c>
      <c r="I1056" s="3">
        <f>+2250799244710</f>
        <v>2250799244710</v>
      </c>
      <c r="J1056" s="3">
        <f>+2250102588887</f>
        <v>2250102588887</v>
      </c>
      <c r="K1056" s="1" t="s">
        <v>19</v>
      </c>
      <c r="L1056" s="4" t="s">
        <v>3720</v>
      </c>
    </row>
    <row r="1057">
      <c r="A1057" s="1" t="s">
        <v>12</v>
      </c>
      <c r="B1057" s="1" t="s">
        <v>3721</v>
      </c>
      <c r="C1057" s="1" t="s">
        <v>3715</v>
      </c>
      <c r="D1057" s="1" t="s">
        <v>3722</v>
      </c>
      <c r="E1057" s="5">
        <v>37983.0</v>
      </c>
      <c r="F1057" s="1" t="s">
        <v>24</v>
      </c>
      <c r="G1057" s="1" t="s">
        <v>82</v>
      </c>
      <c r="H1057" s="1" t="s">
        <v>18</v>
      </c>
      <c r="I1057" s="3">
        <f>+2250710524948</f>
        <v>2250710524948</v>
      </c>
      <c r="J1057" s="3">
        <f>+2250502741387</f>
        <v>2250502741387</v>
      </c>
      <c r="K1057" s="1" t="s">
        <v>19</v>
      </c>
      <c r="L1057" s="4" t="s">
        <v>3723</v>
      </c>
    </row>
    <row r="1058">
      <c r="A1058" s="1" t="s">
        <v>12</v>
      </c>
      <c r="B1058" s="1" t="s">
        <v>3724</v>
      </c>
      <c r="C1058" s="1" t="s">
        <v>3715</v>
      </c>
      <c r="D1058" s="1" t="s">
        <v>3725</v>
      </c>
      <c r="E1058" s="2">
        <v>37797.0</v>
      </c>
      <c r="F1058" s="1" t="s">
        <v>48</v>
      </c>
      <c r="G1058" s="1" t="s">
        <v>31</v>
      </c>
      <c r="H1058" s="1" t="s">
        <v>32</v>
      </c>
      <c r="I1058" s="3">
        <f>+2250546940141</f>
        <v>2250546940141</v>
      </c>
      <c r="J1058" s="3">
        <f t="shared" ref="J1058:J1059" si="27">+2250505300055</f>
        <v>2250505300055</v>
      </c>
      <c r="K1058" s="1" t="s">
        <v>19</v>
      </c>
      <c r="L1058" s="4" t="s">
        <v>3726</v>
      </c>
    </row>
    <row r="1059">
      <c r="A1059" s="1" t="s">
        <v>12</v>
      </c>
      <c r="B1059" s="1" t="s">
        <v>3727</v>
      </c>
      <c r="C1059" s="1" t="s">
        <v>3715</v>
      </c>
      <c r="D1059" s="1" t="s">
        <v>3728</v>
      </c>
      <c r="E1059" s="2">
        <v>37723.0</v>
      </c>
      <c r="F1059" s="1" t="s">
        <v>62</v>
      </c>
      <c r="G1059" s="1" t="s">
        <v>17</v>
      </c>
      <c r="H1059" s="1" t="s">
        <v>18</v>
      </c>
      <c r="I1059" s="3">
        <f>+2250102935767</f>
        <v>2250102935767</v>
      </c>
      <c r="J1059" s="3">
        <f t="shared" si="27"/>
        <v>2250505300055</v>
      </c>
      <c r="K1059" s="1" t="s">
        <v>19</v>
      </c>
      <c r="L1059" s="4" t="s">
        <v>3729</v>
      </c>
    </row>
    <row r="1060">
      <c r="A1060" s="1" t="s">
        <v>12</v>
      </c>
      <c r="B1060" s="1" t="s">
        <v>3730</v>
      </c>
      <c r="C1060" s="1" t="s">
        <v>3715</v>
      </c>
      <c r="D1060" s="1" t="s">
        <v>3731</v>
      </c>
      <c r="E1060" s="2">
        <v>38525.0</v>
      </c>
      <c r="F1060" s="1" t="s">
        <v>48</v>
      </c>
      <c r="G1060" s="1" t="s">
        <v>31</v>
      </c>
      <c r="H1060" s="1" t="s">
        <v>32</v>
      </c>
      <c r="I1060" s="3">
        <f>+2250140763675</f>
        <v>2250140763675</v>
      </c>
      <c r="J1060" s="3">
        <f>+2250707108730</f>
        <v>2250707108730</v>
      </c>
      <c r="K1060" s="1" t="s">
        <v>19</v>
      </c>
      <c r="L1060" s="4" t="s">
        <v>3732</v>
      </c>
    </row>
    <row r="1061">
      <c r="A1061" s="1" t="s">
        <v>12</v>
      </c>
      <c r="B1061" s="1" t="s">
        <v>3733</v>
      </c>
      <c r="C1061" s="1" t="s">
        <v>3734</v>
      </c>
      <c r="D1061" s="1" t="s">
        <v>3735</v>
      </c>
      <c r="E1061" s="2">
        <v>37729.0</v>
      </c>
      <c r="F1061" s="1" t="s">
        <v>16</v>
      </c>
      <c r="G1061" s="1" t="s">
        <v>25</v>
      </c>
      <c r="H1061" s="1" t="s">
        <v>18</v>
      </c>
      <c r="I1061" s="3">
        <f>+2250595900083</f>
        <v>2250595900083</v>
      </c>
      <c r="J1061" s="3">
        <f>+2250707797572</f>
        <v>2250707797572</v>
      </c>
      <c r="K1061" s="1" t="s">
        <v>19</v>
      </c>
      <c r="L1061" s="4" t="s">
        <v>3736</v>
      </c>
    </row>
    <row r="1062">
      <c r="A1062" s="1" t="s">
        <v>12</v>
      </c>
      <c r="B1062" s="1" t="s">
        <v>3737</v>
      </c>
      <c r="C1062" s="1" t="s">
        <v>3738</v>
      </c>
      <c r="D1062" s="1" t="s">
        <v>3739</v>
      </c>
      <c r="E1062" s="2">
        <v>38510.0</v>
      </c>
      <c r="F1062" s="1" t="s">
        <v>62</v>
      </c>
      <c r="G1062" s="1" t="s">
        <v>25</v>
      </c>
      <c r="H1062" s="1" t="s">
        <v>18</v>
      </c>
      <c r="I1062" s="3">
        <f>+2250759416642</f>
        <v>2250759416642</v>
      </c>
      <c r="J1062" s="3">
        <f>+225014097797</f>
        <v>225014097797</v>
      </c>
      <c r="K1062" s="1" t="s">
        <v>19</v>
      </c>
      <c r="L1062" s="4" t="s">
        <v>3740</v>
      </c>
    </row>
    <row r="1063">
      <c r="A1063" s="1" t="s">
        <v>12</v>
      </c>
      <c r="B1063" s="1" t="s">
        <v>3741</v>
      </c>
      <c r="C1063" s="1" t="s">
        <v>3742</v>
      </c>
      <c r="D1063" s="1" t="s">
        <v>3743</v>
      </c>
      <c r="E1063" s="2">
        <v>37527.0</v>
      </c>
      <c r="F1063" s="1" t="s">
        <v>92</v>
      </c>
      <c r="G1063" s="1" t="s">
        <v>76</v>
      </c>
      <c r="H1063" s="1" t="s">
        <v>32</v>
      </c>
      <c r="I1063" s="3">
        <f>+2250555261562</f>
        <v>2250555261562</v>
      </c>
      <c r="J1063" s="3">
        <f>+2250505181666</f>
        <v>2250505181666</v>
      </c>
      <c r="K1063" s="1" t="s">
        <v>19</v>
      </c>
      <c r="L1063" s="4" t="s">
        <v>3744</v>
      </c>
    </row>
    <row r="1064">
      <c r="A1064" s="1" t="s">
        <v>12</v>
      </c>
      <c r="B1064" s="1" t="s">
        <v>3745</v>
      </c>
      <c r="C1064" s="1" t="s">
        <v>3742</v>
      </c>
      <c r="D1064" s="1" t="s">
        <v>3746</v>
      </c>
      <c r="E1064" s="2">
        <v>36863.0</v>
      </c>
      <c r="F1064" s="1" t="s">
        <v>75</v>
      </c>
      <c r="G1064" s="1" t="s">
        <v>76</v>
      </c>
      <c r="H1064" s="1" t="s">
        <v>32</v>
      </c>
      <c r="I1064" s="3">
        <f>+2250758584508</f>
        <v>2250758584508</v>
      </c>
      <c r="J1064" s="3">
        <f>+2250757880922</f>
        <v>2250757880922</v>
      </c>
      <c r="K1064" s="1" t="s">
        <v>19</v>
      </c>
      <c r="L1064" s="4" t="s">
        <v>3747</v>
      </c>
    </row>
    <row r="1065">
      <c r="A1065" s="1" t="s">
        <v>12</v>
      </c>
      <c r="B1065" s="1" t="s">
        <v>3748</v>
      </c>
      <c r="C1065" s="1" t="s">
        <v>3742</v>
      </c>
      <c r="D1065" s="1" t="s">
        <v>3749</v>
      </c>
      <c r="E1065" s="2">
        <v>37733.0</v>
      </c>
      <c r="F1065" s="1" t="s">
        <v>30</v>
      </c>
      <c r="G1065" s="1" t="s">
        <v>31</v>
      </c>
      <c r="H1065" s="1" t="s">
        <v>32</v>
      </c>
      <c r="I1065" s="3">
        <f>+2250705516267</f>
        <v>2250705516267</v>
      </c>
      <c r="J1065" s="3">
        <f>+2250101500484</f>
        <v>2250101500484</v>
      </c>
      <c r="K1065" s="1" t="s">
        <v>19</v>
      </c>
      <c r="L1065" s="4" t="s">
        <v>3750</v>
      </c>
    </row>
    <row r="1066">
      <c r="A1066" s="1" t="s">
        <v>12</v>
      </c>
      <c r="B1066" s="1" t="s">
        <v>3751</v>
      </c>
      <c r="C1066" s="1" t="s">
        <v>3742</v>
      </c>
      <c r="D1066" s="1" t="s">
        <v>3752</v>
      </c>
      <c r="E1066" s="2">
        <v>38384.0</v>
      </c>
      <c r="F1066" s="1" t="s">
        <v>16</v>
      </c>
      <c r="G1066" s="1" t="s">
        <v>17</v>
      </c>
      <c r="H1066" s="1" t="s">
        <v>18</v>
      </c>
      <c r="I1066" s="3">
        <f>+2250704055954</f>
        <v>2250704055954</v>
      </c>
      <c r="J1066" s="3">
        <f>+2250749806626</f>
        <v>2250749806626</v>
      </c>
      <c r="K1066" s="1" t="s">
        <v>19</v>
      </c>
      <c r="L1066" s="4" t="s">
        <v>3753</v>
      </c>
    </row>
    <row r="1067">
      <c r="A1067" s="1" t="s">
        <v>12</v>
      </c>
      <c r="B1067" s="1" t="s">
        <v>3754</v>
      </c>
      <c r="C1067" s="1" t="s">
        <v>3742</v>
      </c>
      <c r="D1067" s="1" t="s">
        <v>3755</v>
      </c>
      <c r="E1067" s="5">
        <v>37549.0</v>
      </c>
      <c r="F1067" s="1" t="s">
        <v>16</v>
      </c>
      <c r="G1067" s="1" t="s">
        <v>25</v>
      </c>
      <c r="H1067" s="1" t="s">
        <v>18</v>
      </c>
      <c r="I1067" s="3">
        <f>+2250151881258</f>
        <v>2250151881258</v>
      </c>
      <c r="J1067" s="3">
        <f>+2250140544424</f>
        <v>2250140544424</v>
      </c>
      <c r="K1067" s="1" t="s">
        <v>19</v>
      </c>
      <c r="L1067" s="4" t="s">
        <v>3756</v>
      </c>
    </row>
    <row r="1068">
      <c r="A1068" s="1" t="s">
        <v>12</v>
      </c>
      <c r="B1068" s="1" t="s">
        <v>3757</v>
      </c>
      <c r="C1068" s="1" t="s">
        <v>3742</v>
      </c>
      <c r="D1068" s="1" t="s">
        <v>3758</v>
      </c>
      <c r="E1068" s="5">
        <v>37981.0</v>
      </c>
      <c r="F1068" s="1" t="s">
        <v>92</v>
      </c>
      <c r="G1068" s="1" t="s">
        <v>31</v>
      </c>
      <c r="H1068" s="1" t="s">
        <v>32</v>
      </c>
      <c r="I1068" s="3">
        <f>+2250701336424</f>
        <v>2250701336424</v>
      </c>
      <c r="J1068" s="3">
        <f>+2250748123920</f>
        <v>2250748123920</v>
      </c>
      <c r="K1068" s="1" t="s">
        <v>19</v>
      </c>
      <c r="L1068" s="4" t="s">
        <v>3759</v>
      </c>
    </row>
    <row r="1069">
      <c r="A1069" s="1" t="s">
        <v>12</v>
      </c>
      <c r="B1069" s="1" t="s">
        <v>3760</v>
      </c>
      <c r="C1069" s="1" t="s">
        <v>3761</v>
      </c>
      <c r="D1069" s="1" t="s">
        <v>3762</v>
      </c>
      <c r="E1069" s="2">
        <v>37656.0</v>
      </c>
      <c r="F1069" s="1" t="s">
        <v>1219</v>
      </c>
      <c r="G1069" s="1" t="s">
        <v>82</v>
      </c>
      <c r="H1069" s="1" t="s">
        <v>18</v>
      </c>
      <c r="I1069" s="3">
        <f>+2250151456427</f>
        <v>2250151456427</v>
      </c>
      <c r="J1069" s="3">
        <f>+2250707654327</f>
        <v>2250707654327</v>
      </c>
      <c r="K1069" s="1" t="s">
        <v>19</v>
      </c>
      <c r="L1069" s="4" t="s">
        <v>3763</v>
      </c>
    </row>
    <row r="1070">
      <c r="A1070" s="1" t="s">
        <v>12</v>
      </c>
      <c r="B1070" s="1" t="s">
        <v>3764</v>
      </c>
      <c r="C1070" s="1" t="s">
        <v>3765</v>
      </c>
      <c r="D1070" s="1" t="s">
        <v>3766</v>
      </c>
      <c r="E1070" s="2">
        <v>37520.0</v>
      </c>
      <c r="F1070" s="1" t="s">
        <v>110</v>
      </c>
      <c r="G1070" s="1" t="s">
        <v>82</v>
      </c>
      <c r="H1070" s="1" t="s">
        <v>18</v>
      </c>
      <c r="I1070" s="3">
        <f>+2250172567099</f>
        <v>2250172567099</v>
      </c>
      <c r="J1070" s="3">
        <f>+2250101536001</f>
        <v>2250101536001</v>
      </c>
      <c r="K1070" s="1" t="s">
        <v>19</v>
      </c>
      <c r="L1070" s="4" t="s">
        <v>3767</v>
      </c>
    </row>
    <row r="1071">
      <c r="A1071" s="1" t="s">
        <v>12</v>
      </c>
      <c r="B1071" s="1" t="s">
        <v>3768</v>
      </c>
      <c r="C1071" s="1" t="s">
        <v>3769</v>
      </c>
      <c r="D1071" s="1" t="s">
        <v>3770</v>
      </c>
      <c r="E1071" s="2">
        <v>38463.0</v>
      </c>
      <c r="F1071" s="1" t="s">
        <v>53</v>
      </c>
      <c r="G1071" s="1" t="s">
        <v>17</v>
      </c>
      <c r="H1071" s="1" t="s">
        <v>18</v>
      </c>
      <c r="I1071" s="3">
        <f>+2250151210529</f>
        <v>2250151210529</v>
      </c>
      <c r="J1071" s="3">
        <f>+2250545979128</f>
        <v>2250545979128</v>
      </c>
      <c r="K1071" s="1" t="s">
        <v>19</v>
      </c>
      <c r="L1071" s="4" t="s">
        <v>3771</v>
      </c>
    </row>
    <row r="1072">
      <c r="A1072" s="1" t="s">
        <v>12</v>
      </c>
      <c r="B1072" s="1" t="s">
        <v>3772</v>
      </c>
      <c r="C1072" s="1" t="s">
        <v>3773</v>
      </c>
      <c r="D1072" s="1" t="s">
        <v>3774</v>
      </c>
      <c r="E1072" s="2">
        <v>36503.0</v>
      </c>
      <c r="F1072" s="1" t="s">
        <v>16</v>
      </c>
      <c r="G1072" s="1" t="s">
        <v>17</v>
      </c>
      <c r="H1072" s="1" t="s">
        <v>18</v>
      </c>
      <c r="I1072" s="3">
        <f>+2250140471818</f>
        <v>2250140471818</v>
      </c>
      <c r="J1072" s="3">
        <f>+2250101912504</f>
        <v>2250101912504</v>
      </c>
      <c r="K1072" s="1" t="s">
        <v>19</v>
      </c>
      <c r="L1072" s="4" t="s">
        <v>3775</v>
      </c>
    </row>
    <row r="1073">
      <c r="A1073" s="1" t="s">
        <v>12</v>
      </c>
      <c r="B1073" s="1" t="s">
        <v>3776</v>
      </c>
      <c r="C1073" s="1" t="s">
        <v>3777</v>
      </c>
      <c r="D1073" s="1" t="s">
        <v>3778</v>
      </c>
      <c r="E1073" s="2">
        <v>36792.0</v>
      </c>
      <c r="F1073" s="1" t="s">
        <v>16</v>
      </c>
      <c r="G1073" s="1" t="s">
        <v>82</v>
      </c>
      <c r="H1073" s="1" t="s">
        <v>18</v>
      </c>
      <c r="I1073" s="3">
        <f>+2250747578104</f>
        <v>2250747578104</v>
      </c>
      <c r="J1073" s="3">
        <f>+2250747043693</f>
        <v>2250747043693</v>
      </c>
      <c r="K1073" s="1" t="s">
        <v>19</v>
      </c>
      <c r="L1073" s="4" t="s">
        <v>3779</v>
      </c>
    </row>
    <row r="1074">
      <c r="A1074" s="1" t="s">
        <v>12</v>
      </c>
      <c r="B1074" s="1" t="s">
        <v>3780</v>
      </c>
      <c r="C1074" s="1" t="s">
        <v>3781</v>
      </c>
      <c r="D1074" s="1" t="s">
        <v>3782</v>
      </c>
      <c r="E1074" s="2">
        <v>38232.0</v>
      </c>
      <c r="F1074" s="1" t="s">
        <v>16</v>
      </c>
      <c r="G1074" s="1" t="s">
        <v>25</v>
      </c>
      <c r="H1074" s="1" t="s">
        <v>18</v>
      </c>
      <c r="I1074" s="3">
        <f>+2250172073640</f>
        <v>2250172073640</v>
      </c>
      <c r="J1074" s="3">
        <f>+2250757744259</f>
        <v>2250757744259</v>
      </c>
      <c r="K1074" s="1" t="s">
        <v>19</v>
      </c>
      <c r="L1074" s="4" t="s">
        <v>3783</v>
      </c>
    </row>
    <row r="1075">
      <c r="A1075" s="1" t="s">
        <v>12</v>
      </c>
      <c r="B1075" s="1" t="s">
        <v>3784</v>
      </c>
      <c r="C1075" s="1" t="s">
        <v>3785</v>
      </c>
      <c r="D1075" s="1" t="s">
        <v>3786</v>
      </c>
      <c r="E1075" s="5">
        <v>37968.0</v>
      </c>
      <c r="F1075" s="1" t="s">
        <v>16</v>
      </c>
      <c r="G1075" s="1" t="s">
        <v>25</v>
      </c>
      <c r="H1075" s="1" t="s">
        <v>18</v>
      </c>
      <c r="I1075" s="3">
        <f>+2250172148023</f>
        <v>2250172148023</v>
      </c>
      <c r="J1075" s="3">
        <f>+2250103142508</f>
        <v>2250103142508</v>
      </c>
      <c r="K1075" s="1" t="s">
        <v>19</v>
      </c>
      <c r="L1075" s="4" t="s">
        <v>3787</v>
      </c>
    </row>
    <row r="1076">
      <c r="A1076" s="1" t="s">
        <v>12</v>
      </c>
      <c r="B1076" s="1" t="s">
        <v>3788</v>
      </c>
      <c r="C1076" s="1" t="s">
        <v>3789</v>
      </c>
      <c r="D1076" s="1" t="s">
        <v>3790</v>
      </c>
      <c r="E1076" s="2">
        <v>37691.0</v>
      </c>
      <c r="F1076" s="1" t="s">
        <v>92</v>
      </c>
      <c r="G1076" s="1" t="s">
        <v>76</v>
      </c>
      <c r="H1076" s="1" t="s">
        <v>32</v>
      </c>
      <c r="I1076" s="3">
        <f>+2250759851341</f>
        <v>2250759851341</v>
      </c>
      <c r="J1076" s="3">
        <f>+2250506246800</f>
        <v>2250506246800</v>
      </c>
      <c r="K1076" s="1" t="s">
        <v>19</v>
      </c>
      <c r="L1076" s="4" t="s">
        <v>3791</v>
      </c>
    </row>
    <row r="1077">
      <c r="A1077" s="1" t="s">
        <v>12</v>
      </c>
      <c r="B1077" s="1" t="s">
        <v>3792</v>
      </c>
      <c r="C1077" s="1" t="s">
        <v>3793</v>
      </c>
      <c r="D1077" s="1" t="s">
        <v>3794</v>
      </c>
      <c r="E1077" s="2">
        <v>38207.0</v>
      </c>
      <c r="F1077" s="1" t="s">
        <v>87</v>
      </c>
      <c r="G1077" s="1" t="s">
        <v>76</v>
      </c>
      <c r="H1077" s="1" t="s">
        <v>32</v>
      </c>
      <c r="I1077" s="3">
        <f>+2250142316169</f>
        <v>2250142316169</v>
      </c>
      <c r="J1077" s="3">
        <f>+2250709995738</f>
        <v>2250709995738</v>
      </c>
      <c r="K1077" s="1" t="s">
        <v>19</v>
      </c>
      <c r="L1077" s="4" t="s">
        <v>3795</v>
      </c>
    </row>
    <row r="1078">
      <c r="A1078" s="1" t="s">
        <v>12</v>
      </c>
      <c r="B1078" s="1" t="s">
        <v>3796</v>
      </c>
      <c r="C1078" s="1" t="s">
        <v>3797</v>
      </c>
      <c r="D1078" s="1" t="s">
        <v>3798</v>
      </c>
      <c r="E1078" s="2">
        <v>37567.0</v>
      </c>
      <c r="F1078" s="1" t="s">
        <v>182</v>
      </c>
      <c r="G1078" s="1" t="s">
        <v>82</v>
      </c>
      <c r="H1078" s="1" t="s">
        <v>18</v>
      </c>
      <c r="I1078" s="3">
        <f>+2250102449903</f>
        <v>2250102449903</v>
      </c>
      <c r="J1078" s="3">
        <f>+2250779846786</f>
        <v>2250779846786</v>
      </c>
      <c r="K1078" s="1" t="s">
        <v>19</v>
      </c>
      <c r="L1078" s="4" t="s">
        <v>3799</v>
      </c>
    </row>
    <row r="1079">
      <c r="A1079" s="1" t="s">
        <v>12</v>
      </c>
      <c r="B1079" s="1" t="s">
        <v>3800</v>
      </c>
      <c r="C1079" s="1" t="s">
        <v>3801</v>
      </c>
      <c r="D1079" s="1" t="s">
        <v>2806</v>
      </c>
      <c r="E1079" s="2">
        <v>37429.0</v>
      </c>
      <c r="F1079" s="1" t="s">
        <v>53</v>
      </c>
      <c r="G1079" s="1" t="s">
        <v>17</v>
      </c>
      <c r="H1079" s="1" t="s">
        <v>18</v>
      </c>
      <c r="I1079" s="3">
        <f>+2250789896577</f>
        <v>2250789896577</v>
      </c>
      <c r="J1079" s="3">
        <f>+2250709102815</f>
        <v>2250709102815</v>
      </c>
      <c r="K1079" s="1" t="s">
        <v>19</v>
      </c>
      <c r="L1079" s="4" t="s">
        <v>3802</v>
      </c>
    </row>
    <row r="1080">
      <c r="A1080" s="1" t="s">
        <v>12</v>
      </c>
      <c r="B1080" s="1" t="s">
        <v>3803</v>
      </c>
      <c r="C1080" s="1" t="s">
        <v>3804</v>
      </c>
      <c r="D1080" s="1" t="s">
        <v>3805</v>
      </c>
      <c r="E1080" s="2">
        <v>38997.0</v>
      </c>
      <c r="F1080" s="1" t="s">
        <v>101</v>
      </c>
      <c r="G1080" s="1" t="s">
        <v>76</v>
      </c>
      <c r="H1080" s="1" t="s">
        <v>32</v>
      </c>
      <c r="I1080" s="3">
        <f>+2250507455095</f>
        <v>2250507455095</v>
      </c>
      <c r="J1080" s="3">
        <f>+2250160751856</f>
        <v>2250160751856</v>
      </c>
      <c r="K1080" s="1" t="s">
        <v>19</v>
      </c>
      <c r="L1080" s="4" t="s">
        <v>3806</v>
      </c>
    </row>
    <row r="1081">
      <c r="A1081" s="1" t="s">
        <v>12</v>
      </c>
      <c r="B1081" s="1" t="s">
        <v>3807</v>
      </c>
      <c r="C1081" s="1" t="s">
        <v>3808</v>
      </c>
      <c r="D1081" s="1" t="s">
        <v>3809</v>
      </c>
      <c r="E1081" s="5">
        <v>38282.0</v>
      </c>
      <c r="F1081" s="1" t="s">
        <v>30</v>
      </c>
      <c r="G1081" s="1" t="s">
        <v>31</v>
      </c>
      <c r="H1081" s="1" t="s">
        <v>32</v>
      </c>
      <c r="I1081" s="3">
        <f>+2250769566686</f>
        <v>2250769566686</v>
      </c>
      <c r="J1081" s="3">
        <f>+2250707512987</f>
        <v>2250707512987</v>
      </c>
      <c r="K1081" s="1" t="s">
        <v>19</v>
      </c>
      <c r="L1081" s="4" t="s">
        <v>3810</v>
      </c>
    </row>
    <row r="1082">
      <c r="A1082" s="1" t="s">
        <v>12</v>
      </c>
      <c r="B1082" s="1" t="s">
        <v>3811</v>
      </c>
      <c r="C1082" s="1" t="s">
        <v>3812</v>
      </c>
      <c r="D1082" s="1" t="s">
        <v>3813</v>
      </c>
      <c r="E1082" s="5">
        <v>38345.0</v>
      </c>
      <c r="F1082" s="1" t="s">
        <v>62</v>
      </c>
      <c r="G1082" s="1" t="s">
        <v>17</v>
      </c>
      <c r="H1082" s="1" t="s">
        <v>18</v>
      </c>
      <c r="I1082" s="3">
        <f>+2250576140010</f>
        <v>2250576140010</v>
      </c>
      <c r="J1082" s="3">
        <f>+2250102774451</f>
        <v>2250102774451</v>
      </c>
      <c r="K1082" s="1" t="s">
        <v>19</v>
      </c>
      <c r="L1082" s="4" t="s">
        <v>3814</v>
      </c>
    </row>
    <row r="1083">
      <c r="A1083" s="1" t="s">
        <v>12</v>
      </c>
      <c r="B1083" s="1" t="s">
        <v>3815</v>
      </c>
      <c r="C1083" s="1" t="s">
        <v>3816</v>
      </c>
      <c r="D1083" s="1" t="s">
        <v>3817</v>
      </c>
      <c r="E1083" s="2">
        <v>37690.0</v>
      </c>
      <c r="F1083" s="1" t="s">
        <v>155</v>
      </c>
      <c r="G1083" s="1" t="s">
        <v>76</v>
      </c>
      <c r="H1083" s="1" t="s">
        <v>32</v>
      </c>
      <c r="I1083" s="3">
        <f>+2250152691821</f>
        <v>2250152691821</v>
      </c>
      <c r="J1083" s="3">
        <f>+2250506785069</f>
        <v>2250506785069</v>
      </c>
      <c r="K1083" s="1" t="s">
        <v>19</v>
      </c>
      <c r="L1083" s="4" t="s">
        <v>3818</v>
      </c>
    </row>
    <row r="1084">
      <c r="A1084" s="1" t="s">
        <v>12</v>
      </c>
      <c r="B1084" s="1" t="s">
        <v>3819</v>
      </c>
      <c r="C1084" s="1" t="s">
        <v>3820</v>
      </c>
      <c r="D1084" s="1" t="s">
        <v>3821</v>
      </c>
      <c r="E1084" s="2">
        <v>37709.0</v>
      </c>
      <c r="F1084" s="1" t="s">
        <v>92</v>
      </c>
      <c r="G1084" s="1" t="s">
        <v>31</v>
      </c>
      <c r="H1084" s="1" t="s">
        <v>32</v>
      </c>
      <c r="I1084" s="3">
        <f>+2250141390982</f>
        <v>2250141390982</v>
      </c>
      <c r="J1084" s="3">
        <f>+2250102487100</f>
        <v>2250102487100</v>
      </c>
      <c r="K1084" s="1" t="s">
        <v>19</v>
      </c>
      <c r="L1084" s="4" t="s">
        <v>3822</v>
      </c>
    </row>
    <row r="1085">
      <c r="A1085" s="1" t="s">
        <v>12</v>
      </c>
      <c r="B1085" s="1" t="s">
        <v>3823</v>
      </c>
      <c r="C1085" s="1" t="s">
        <v>3824</v>
      </c>
      <c r="D1085" s="1" t="s">
        <v>3825</v>
      </c>
      <c r="E1085" s="2">
        <v>37707.0</v>
      </c>
      <c r="F1085" s="1" t="s">
        <v>16</v>
      </c>
      <c r="G1085" s="1" t="s">
        <v>17</v>
      </c>
      <c r="H1085" s="1" t="s">
        <v>18</v>
      </c>
      <c r="I1085" s="3">
        <f>+2250595094259</f>
        <v>2250595094259</v>
      </c>
      <c r="J1085" s="3">
        <f>+2250505650579</f>
        <v>2250505650579</v>
      </c>
      <c r="K1085" s="1" t="s">
        <v>19</v>
      </c>
      <c r="L1085" s="4" t="s">
        <v>3826</v>
      </c>
    </row>
    <row r="1086">
      <c r="A1086" s="1" t="s">
        <v>12</v>
      </c>
      <c r="B1086" s="1" t="s">
        <v>3827</v>
      </c>
      <c r="C1086" s="1" t="s">
        <v>3828</v>
      </c>
      <c r="D1086" s="1" t="s">
        <v>3829</v>
      </c>
      <c r="E1086" s="2">
        <v>37634.0</v>
      </c>
      <c r="F1086" s="1" t="s">
        <v>48</v>
      </c>
      <c r="G1086" s="1" t="s">
        <v>31</v>
      </c>
      <c r="H1086" s="1" t="s">
        <v>32</v>
      </c>
      <c r="I1086" s="3">
        <f>+2250749086793</f>
        <v>2250749086793</v>
      </c>
      <c r="J1086" s="3">
        <f>+2250708499838</f>
        <v>2250708499838</v>
      </c>
      <c r="K1086" s="1" t="s">
        <v>19</v>
      </c>
      <c r="L1086" s="4" t="s">
        <v>3830</v>
      </c>
    </row>
    <row r="1087">
      <c r="A1087" s="1" t="s">
        <v>12</v>
      </c>
      <c r="B1087" s="1" t="s">
        <v>3831</v>
      </c>
      <c r="C1087" s="1" t="s">
        <v>3832</v>
      </c>
      <c r="D1087" s="1" t="s">
        <v>3833</v>
      </c>
      <c r="E1087" s="5">
        <v>37607.0</v>
      </c>
      <c r="F1087" s="1" t="s">
        <v>30</v>
      </c>
      <c r="G1087" s="1" t="s">
        <v>76</v>
      </c>
      <c r="H1087" s="1" t="s">
        <v>32</v>
      </c>
      <c r="I1087" s="3">
        <f>+2250556655730</f>
        <v>2250556655730</v>
      </c>
      <c r="J1087" s="3">
        <f>+2250757972229</f>
        <v>2250757972229</v>
      </c>
      <c r="K1087" s="1" t="s">
        <v>19</v>
      </c>
      <c r="L1087" s="4" t="s">
        <v>3834</v>
      </c>
    </row>
    <row r="1088">
      <c r="A1088" s="1" t="s">
        <v>12</v>
      </c>
      <c r="B1088" s="1" t="s">
        <v>3835</v>
      </c>
      <c r="C1088" s="1" t="s">
        <v>3836</v>
      </c>
      <c r="D1088" s="1" t="s">
        <v>3837</v>
      </c>
      <c r="E1088" s="2">
        <v>38479.0</v>
      </c>
      <c r="F1088" s="1" t="s">
        <v>62</v>
      </c>
      <c r="G1088" s="1" t="s">
        <v>25</v>
      </c>
      <c r="H1088" s="1" t="s">
        <v>18</v>
      </c>
      <c r="I1088" s="3">
        <f>+2250141740268</f>
        <v>2250141740268</v>
      </c>
      <c r="J1088" s="3">
        <f>+2250505484835</f>
        <v>2250505484835</v>
      </c>
      <c r="K1088" s="1" t="s">
        <v>19</v>
      </c>
      <c r="L1088" s="4" t="s">
        <v>3838</v>
      </c>
    </row>
    <row r="1089">
      <c r="A1089" s="1" t="s">
        <v>12</v>
      </c>
      <c r="B1089" s="1" t="s">
        <v>3839</v>
      </c>
      <c r="C1089" s="1" t="s">
        <v>3840</v>
      </c>
      <c r="D1089" s="1" t="s">
        <v>3841</v>
      </c>
      <c r="E1089" s="2">
        <v>37987.0</v>
      </c>
      <c r="F1089" s="1" t="s">
        <v>101</v>
      </c>
      <c r="G1089" s="1" t="s">
        <v>76</v>
      </c>
      <c r="H1089" s="1" t="s">
        <v>32</v>
      </c>
      <c r="I1089" s="3">
        <f>+2250779620257</f>
        <v>2250779620257</v>
      </c>
      <c r="J1089" s="3">
        <f>+2250172682968</f>
        <v>2250172682968</v>
      </c>
      <c r="K1089" s="1" t="s">
        <v>19</v>
      </c>
      <c r="L1089" s="4" t="s">
        <v>3842</v>
      </c>
    </row>
    <row r="1090">
      <c r="A1090" s="1" t="s">
        <v>12</v>
      </c>
      <c r="B1090" s="1" t="s">
        <v>3843</v>
      </c>
      <c r="C1090" s="1" t="s">
        <v>3844</v>
      </c>
      <c r="D1090" s="1" t="s">
        <v>3845</v>
      </c>
      <c r="E1090" s="5">
        <v>37574.0</v>
      </c>
      <c r="F1090" s="1" t="s">
        <v>30</v>
      </c>
      <c r="G1090" s="1" t="s">
        <v>17</v>
      </c>
      <c r="H1090" s="1" t="s">
        <v>18</v>
      </c>
      <c r="I1090" s="3">
        <f>+2250778161523</f>
        <v>2250778161523</v>
      </c>
      <c r="J1090" s="3">
        <f>+2250506158973</f>
        <v>2250506158973</v>
      </c>
      <c r="K1090" s="1" t="s">
        <v>19</v>
      </c>
      <c r="L1090" s="4" t="s">
        <v>3846</v>
      </c>
    </row>
    <row r="1091">
      <c r="A1091" s="1" t="s">
        <v>12</v>
      </c>
      <c r="B1091" s="1" t="s">
        <v>3847</v>
      </c>
      <c r="C1091" s="1" t="s">
        <v>3848</v>
      </c>
      <c r="D1091" s="1" t="s">
        <v>3849</v>
      </c>
      <c r="E1091" s="2">
        <v>37900.0</v>
      </c>
      <c r="F1091" s="1" t="s">
        <v>62</v>
      </c>
      <c r="G1091" s="1" t="s">
        <v>25</v>
      </c>
      <c r="H1091" s="1" t="s">
        <v>18</v>
      </c>
      <c r="I1091" s="3">
        <f>+2250501377821</f>
        <v>2250501377821</v>
      </c>
      <c r="J1091" s="3">
        <f>+2250708695948</f>
        <v>2250708695948</v>
      </c>
      <c r="K1091" s="1" t="s">
        <v>19</v>
      </c>
      <c r="L1091" s="4" t="s">
        <v>3850</v>
      </c>
    </row>
    <row r="1092">
      <c r="A1092" s="1" t="s">
        <v>12</v>
      </c>
      <c r="B1092" s="1" t="s">
        <v>3851</v>
      </c>
      <c r="C1092" s="1" t="s">
        <v>3852</v>
      </c>
      <c r="D1092" s="1" t="s">
        <v>3853</v>
      </c>
      <c r="E1092" s="2">
        <v>36623.0</v>
      </c>
      <c r="F1092" s="1" t="s">
        <v>48</v>
      </c>
      <c r="G1092" s="1" t="s">
        <v>76</v>
      </c>
      <c r="H1092" s="1" t="s">
        <v>32</v>
      </c>
      <c r="I1092" s="3">
        <f>+2250545576056</f>
        <v>2250545576056</v>
      </c>
      <c r="J1092" s="3">
        <f>+2250709940145</f>
        <v>2250709940145</v>
      </c>
      <c r="K1092" s="1" t="s">
        <v>19</v>
      </c>
      <c r="L1092" s="4" t="s">
        <v>3854</v>
      </c>
    </row>
    <row r="1093">
      <c r="A1093" s="1" t="s">
        <v>12</v>
      </c>
      <c r="B1093" s="1" t="s">
        <v>3855</v>
      </c>
      <c r="C1093" s="1" t="s">
        <v>3856</v>
      </c>
      <c r="D1093" s="1" t="s">
        <v>3857</v>
      </c>
      <c r="E1093" s="5">
        <v>37612.0</v>
      </c>
      <c r="F1093" s="1" t="s">
        <v>110</v>
      </c>
      <c r="G1093" s="1" t="s">
        <v>82</v>
      </c>
      <c r="H1093" s="1" t="s">
        <v>18</v>
      </c>
      <c r="I1093" s="3">
        <f>+2250787274330</f>
        <v>2250787274330</v>
      </c>
      <c r="J1093" s="3">
        <f>+2250506798599</f>
        <v>2250506798599</v>
      </c>
      <c r="K1093" s="1" t="s">
        <v>19</v>
      </c>
      <c r="L1093" s="4" t="s">
        <v>3858</v>
      </c>
    </row>
    <row r="1094">
      <c r="A1094" s="1" t="s">
        <v>12</v>
      </c>
      <c r="B1094" s="1" t="s">
        <v>3859</v>
      </c>
      <c r="C1094" s="1" t="s">
        <v>3860</v>
      </c>
      <c r="D1094" s="1" t="s">
        <v>3861</v>
      </c>
      <c r="E1094" s="2">
        <v>38121.0</v>
      </c>
      <c r="F1094" s="1" t="s">
        <v>62</v>
      </c>
      <c r="G1094" s="1" t="s">
        <v>17</v>
      </c>
      <c r="H1094" s="1" t="s">
        <v>18</v>
      </c>
      <c r="I1094" s="3">
        <f>+2250574226116</f>
        <v>2250574226116</v>
      </c>
      <c r="J1094" s="3">
        <f>+2250777518657</f>
        <v>2250777518657</v>
      </c>
      <c r="K1094" s="1" t="s">
        <v>19</v>
      </c>
      <c r="L1094" s="4" t="s">
        <v>3862</v>
      </c>
    </row>
    <row r="1095">
      <c r="A1095" s="1" t="s">
        <v>12</v>
      </c>
      <c r="B1095" s="1" t="s">
        <v>3863</v>
      </c>
      <c r="C1095" s="1" t="s">
        <v>3864</v>
      </c>
      <c r="D1095" s="1" t="s">
        <v>3865</v>
      </c>
      <c r="E1095" s="5">
        <v>38286.0</v>
      </c>
      <c r="F1095" s="1" t="s">
        <v>53</v>
      </c>
      <c r="G1095" s="1" t="s">
        <v>17</v>
      </c>
      <c r="H1095" s="1" t="s">
        <v>18</v>
      </c>
      <c r="I1095" s="3">
        <f>+2250153466432</f>
        <v>2250153466432</v>
      </c>
      <c r="J1095" s="3">
        <f>+2250747164942</f>
        <v>2250747164942</v>
      </c>
      <c r="K1095" s="1" t="s">
        <v>19</v>
      </c>
      <c r="L1095" s="4" t="s">
        <v>3866</v>
      </c>
    </row>
    <row r="1096">
      <c r="A1096" s="1" t="s">
        <v>12</v>
      </c>
      <c r="B1096" s="1" t="s">
        <v>3867</v>
      </c>
      <c r="C1096" s="1" t="s">
        <v>3868</v>
      </c>
      <c r="D1096" s="1" t="s">
        <v>3869</v>
      </c>
      <c r="E1096" s="2">
        <v>36672.0</v>
      </c>
      <c r="F1096" s="1" t="s">
        <v>101</v>
      </c>
      <c r="G1096" s="1" t="s">
        <v>31</v>
      </c>
      <c r="H1096" s="1" t="s">
        <v>32</v>
      </c>
      <c r="I1096" s="3">
        <f>+2250566052887</f>
        <v>2250566052887</v>
      </c>
      <c r="J1096" s="3">
        <f>+2250545773308</f>
        <v>2250545773308</v>
      </c>
      <c r="K1096" s="1" t="s">
        <v>19</v>
      </c>
      <c r="L1096" s="4" t="s">
        <v>3870</v>
      </c>
    </row>
    <row r="1097">
      <c r="A1097" s="1" t="s">
        <v>12</v>
      </c>
      <c r="B1097" s="1" t="s">
        <v>3871</v>
      </c>
      <c r="C1097" s="1" t="s">
        <v>3868</v>
      </c>
      <c r="D1097" s="1" t="s">
        <v>3872</v>
      </c>
      <c r="E1097" s="2">
        <v>37390.0</v>
      </c>
      <c r="F1097" s="1" t="s">
        <v>16</v>
      </c>
      <c r="G1097" s="1" t="s">
        <v>17</v>
      </c>
      <c r="H1097" s="1" t="s">
        <v>18</v>
      </c>
      <c r="I1097" s="3">
        <f>+2250584755007</f>
        <v>2250584755007</v>
      </c>
      <c r="J1097" s="3">
        <f>+2250545898862</f>
        <v>2250545898862</v>
      </c>
      <c r="K1097" s="1" t="s">
        <v>19</v>
      </c>
      <c r="L1097" s="4" t="s">
        <v>3873</v>
      </c>
    </row>
    <row r="1098">
      <c r="A1098" s="1" t="s">
        <v>12</v>
      </c>
      <c r="B1098" s="1" t="s">
        <v>3874</v>
      </c>
      <c r="C1098" s="1" t="s">
        <v>3868</v>
      </c>
      <c r="D1098" s="1" t="s">
        <v>3875</v>
      </c>
      <c r="E1098" s="2">
        <v>36673.0</v>
      </c>
      <c r="F1098" s="1" t="s">
        <v>16</v>
      </c>
      <c r="G1098" s="1" t="s">
        <v>17</v>
      </c>
      <c r="H1098" s="1" t="s">
        <v>18</v>
      </c>
      <c r="I1098" s="3">
        <f>+2250778633229</f>
        <v>2250778633229</v>
      </c>
      <c r="J1098" s="3">
        <f>+2250708200809</f>
        <v>2250708200809</v>
      </c>
      <c r="K1098" s="1" t="s">
        <v>19</v>
      </c>
      <c r="L1098" s="4" t="s">
        <v>3876</v>
      </c>
    </row>
    <row r="1099">
      <c r="A1099" s="1" t="s">
        <v>12</v>
      </c>
      <c r="B1099" s="1" t="s">
        <v>3877</v>
      </c>
      <c r="C1099" s="1" t="s">
        <v>3878</v>
      </c>
      <c r="D1099" s="1" t="s">
        <v>3879</v>
      </c>
      <c r="E1099" s="2">
        <v>38056.0</v>
      </c>
      <c r="F1099" s="1" t="s">
        <v>48</v>
      </c>
      <c r="G1099" s="1" t="s">
        <v>76</v>
      </c>
      <c r="H1099" s="1" t="s">
        <v>32</v>
      </c>
      <c r="I1099" s="3">
        <f>+2250565522764</f>
        <v>2250565522764</v>
      </c>
      <c r="J1099" s="3">
        <f>+2250789904383</f>
        <v>2250789904383</v>
      </c>
      <c r="K1099" s="1" t="s">
        <v>19</v>
      </c>
      <c r="L1099" s="4" t="s">
        <v>3880</v>
      </c>
    </row>
    <row r="1100">
      <c r="A1100" s="1" t="s">
        <v>12</v>
      </c>
      <c r="B1100" s="1" t="s">
        <v>3881</v>
      </c>
      <c r="C1100" s="1" t="s">
        <v>3878</v>
      </c>
      <c r="D1100" s="1" t="s">
        <v>3882</v>
      </c>
      <c r="E1100" s="2">
        <v>36974.0</v>
      </c>
      <c r="F1100" s="1" t="s">
        <v>48</v>
      </c>
      <c r="G1100" s="1" t="s">
        <v>76</v>
      </c>
      <c r="H1100" s="1" t="s">
        <v>32</v>
      </c>
      <c r="I1100" s="3">
        <f>+2250101665953</f>
        <v>2250101665953</v>
      </c>
      <c r="J1100" s="3">
        <f>+2250103791523</f>
        <v>2250103791523</v>
      </c>
      <c r="K1100" s="1" t="s">
        <v>19</v>
      </c>
      <c r="L1100" s="4" t="s">
        <v>3883</v>
      </c>
    </row>
    <row r="1101">
      <c r="A1101" s="1" t="s">
        <v>12</v>
      </c>
      <c r="B1101" s="1" t="s">
        <v>3884</v>
      </c>
      <c r="C1101" s="1" t="s">
        <v>3885</v>
      </c>
      <c r="D1101" s="1" t="s">
        <v>3886</v>
      </c>
      <c r="E1101" s="2">
        <v>37442.0</v>
      </c>
      <c r="F1101" s="1" t="s">
        <v>62</v>
      </c>
      <c r="G1101" s="1" t="s">
        <v>17</v>
      </c>
      <c r="H1101" s="1" t="s">
        <v>18</v>
      </c>
      <c r="I1101" s="3">
        <f>+2250797406054</f>
        <v>2250797406054</v>
      </c>
      <c r="J1101" s="3">
        <f>+2250777929694</f>
        <v>2250777929694</v>
      </c>
      <c r="K1101" s="1" t="s">
        <v>19</v>
      </c>
      <c r="L1101" s="4" t="s">
        <v>3887</v>
      </c>
    </row>
    <row r="1102">
      <c r="A1102" s="1" t="s">
        <v>12</v>
      </c>
      <c r="B1102" s="1" t="s">
        <v>3888</v>
      </c>
      <c r="C1102" s="1" t="s">
        <v>3889</v>
      </c>
      <c r="D1102" s="1" t="s">
        <v>3890</v>
      </c>
      <c r="E1102" s="5">
        <v>38279.0</v>
      </c>
      <c r="F1102" s="1" t="s">
        <v>101</v>
      </c>
      <c r="G1102" s="1" t="s">
        <v>76</v>
      </c>
      <c r="H1102" s="1" t="s">
        <v>32</v>
      </c>
      <c r="I1102" s="3">
        <f>+2250778895802</f>
        <v>2250778895802</v>
      </c>
      <c r="J1102" s="3">
        <f>+2250778845802</f>
        <v>2250778845802</v>
      </c>
      <c r="K1102" s="1" t="s">
        <v>19</v>
      </c>
      <c r="L1102" s="4" t="s">
        <v>3891</v>
      </c>
    </row>
    <row r="1103">
      <c r="A1103" s="1" t="s">
        <v>12</v>
      </c>
      <c r="B1103" s="1" t="s">
        <v>3892</v>
      </c>
      <c r="C1103" s="1" t="s">
        <v>3889</v>
      </c>
      <c r="D1103" s="1" t="s">
        <v>3893</v>
      </c>
      <c r="E1103" s="5">
        <v>38666.0</v>
      </c>
      <c r="F1103" s="1" t="s">
        <v>101</v>
      </c>
      <c r="G1103" s="1" t="s">
        <v>76</v>
      </c>
      <c r="H1103" s="1" t="s">
        <v>32</v>
      </c>
      <c r="I1103" s="3">
        <f>+2250798381107</f>
        <v>2250798381107</v>
      </c>
      <c r="J1103" s="3">
        <f>+2250747727331</f>
        <v>2250747727331</v>
      </c>
      <c r="K1103" s="1" t="s">
        <v>19</v>
      </c>
      <c r="L1103" s="4" t="s">
        <v>3894</v>
      </c>
    </row>
    <row r="1104">
      <c r="A1104" s="1" t="s">
        <v>12</v>
      </c>
      <c r="B1104" s="1" t="s">
        <v>3895</v>
      </c>
      <c r="C1104" s="1" t="s">
        <v>3889</v>
      </c>
      <c r="D1104" s="1" t="s">
        <v>3896</v>
      </c>
      <c r="E1104" s="2">
        <v>37282.0</v>
      </c>
      <c r="F1104" s="1" t="s">
        <v>48</v>
      </c>
      <c r="G1104" s="1" t="s">
        <v>31</v>
      </c>
      <c r="H1104" s="1" t="s">
        <v>32</v>
      </c>
      <c r="I1104" s="3">
        <f>+2250711627984</f>
        <v>2250711627984</v>
      </c>
      <c r="J1104" s="3">
        <f>+2250103259990</f>
        <v>2250103259990</v>
      </c>
      <c r="K1104" s="1" t="s">
        <v>19</v>
      </c>
      <c r="L1104" s="4" t="s">
        <v>3897</v>
      </c>
    </row>
    <row r="1105">
      <c r="A1105" s="1" t="s">
        <v>12</v>
      </c>
      <c r="B1105" s="1" t="s">
        <v>3898</v>
      </c>
      <c r="C1105" s="1" t="s">
        <v>3899</v>
      </c>
      <c r="D1105" s="1" t="s">
        <v>3900</v>
      </c>
      <c r="E1105" s="2">
        <v>37820.0</v>
      </c>
      <c r="F1105" s="1" t="s">
        <v>101</v>
      </c>
      <c r="G1105" s="1" t="s">
        <v>76</v>
      </c>
      <c r="H1105" s="1" t="s">
        <v>32</v>
      </c>
      <c r="I1105" s="3">
        <f>+2250705373744</f>
        <v>2250705373744</v>
      </c>
      <c r="J1105" s="3">
        <f>+2250758333771</f>
        <v>2250758333771</v>
      </c>
      <c r="K1105" s="1" t="s">
        <v>19</v>
      </c>
      <c r="L1105" s="4" t="s">
        <v>3901</v>
      </c>
    </row>
    <row r="1106">
      <c r="A1106" s="1" t="s">
        <v>12</v>
      </c>
      <c r="B1106" s="1" t="s">
        <v>3902</v>
      </c>
      <c r="C1106" s="1" t="s">
        <v>3903</v>
      </c>
      <c r="D1106" s="1" t="s">
        <v>3904</v>
      </c>
      <c r="E1106" s="2">
        <v>37266.0</v>
      </c>
      <c r="F1106" s="1" t="s">
        <v>586</v>
      </c>
      <c r="G1106" s="1" t="s">
        <v>82</v>
      </c>
      <c r="H1106" s="1" t="s">
        <v>18</v>
      </c>
      <c r="I1106" s="3">
        <f>+2250704506105</f>
        <v>2250704506105</v>
      </c>
      <c r="J1106" s="3">
        <f>+2250707021829</f>
        <v>2250707021829</v>
      </c>
      <c r="K1106" s="1" t="s">
        <v>19</v>
      </c>
      <c r="L1106" s="4" t="s">
        <v>3905</v>
      </c>
    </row>
    <row r="1107">
      <c r="A1107" s="1" t="s">
        <v>12</v>
      </c>
      <c r="B1107" s="1" t="s">
        <v>3906</v>
      </c>
      <c r="C1107" s="1" t="s">
        <v>3907</v>
      </c>
      <c r="D1107" s="1" t="s">
        <v>3908</v>
      </c>
      <c r="E1107" s="2">
        <v>37402.0</v>
      </c>
      <c r="F1107" s="1" t="s">
        <v>81</v>
      </c>
      <c r="G1107" s="1" t="s">
        <v>38</v>
      </c>
      <c r="H1107" s="1" t="s">
        <v>39</v>
      </c>
      <c r="I1107" s="3">
        <f>+2250768425330</f>
        <v>2250768425330</v>
      </c>
      <c r="J1107" s="3">
        <f>+2250565144610</f>
        <v>2250565144610</v>
      </c>
      <c r="K1107" s="1" t="s">
        <v>19</v>
      </c>
      <c r="L1107" s="4" t="s">
        <v>3909</v>
      </c>
    </row>
    <row r="1108">
      <c r="A1108" s="1" t="s">
        <v>12</v>
      </c>
      <c r="B1108" s="1" t="s">
        <v>3910</v>
      </c>
      <c r="C1108" s="1" t="s">
        <v>3911</v>
      </c>
      <c r="D1108" s="1" t="s">
        <v>3912</v>
      </c>
      <c r="E1108" s="5">
        <v>37914.0</v>
      </c>
      <c r="F1108" s="1" t="s">
        <v>48</v>
      </c>
      <c r="G1108" s="1" t="s">
        <v>31</v>
      </c>
      <c r="H1108" s="1" t="s">
        <v>32</v>
      </c>
      <c r="I1108" s="3">
        <f>+2250707296682</f>
        <v>2250707296682</v>
      </c>
      <c r="J1108" s="3">
        <f>+2250707523510</f>
        <v>2250707523510</v>
      </c>
      <c r="K1108" s="1" t="s">
        <v>19</v>
      </c>
      <c r="L1108" s="4" t="s">
        <v>3913</v>
      </c>
    </row>
    <row r="1109">
      <c r="A1109" s="1" t="s">
        <v>12</v>
      </c>
      <c r="B1109" s="1" t="s">
        <v>3914</v>
      </c>
      <c r="C1109" s="1" t="s">
        <v>3911</v>
      </c>
      <c r="D1109" s="1" t="s">
        <v>3915</v>
      </c>
      <c r="E1109" s="2">
        <v>38576.0</v>
      </c>
      <c r="F1109" s="1" t="s">
        <v>75</v>
      </c>
      <c r="G1109" s="1" t="s">
        <v>76</v>
      </c>
      <c r="H1109" s="1" t="s">
        <v>32</v>
      </c>
      <c r="I1109" s="3">
        <f>+2250545204282</f>
        <v>2250545204282</v>
      </c>
      <c r="J1109" s="3">
        <f>+2250555971152</f>
        <v>2250555971152</v>
      </c>
      <c r="K1109" s="1" t="s">
        <v>19</v>
      </c>
      <c r="L1109" s="4" t="s">
        <v>3916</v>
      </c>
    </row>
    <row r="1110">
      <c r="A1110" s="1" t="s">
        <v>12</v>
      </c>
      <c r="B1110" s="1" t="s">
        <v>3917</v>
      </c>
      <c r="C1110" s="1" t="s">
        <v>3918</v>
      </c>
      <c r="D1110" s="1" t="s">
        <v>3919</v>
      </c>
      <c r="E1110" s="5">
        <v>38707.0</v>
      </c>
      <c r="F1110" s="1" t="s">
        <v>138</v>
      </c>
      <c r="G1110" s="1" t="s">
        <v>76</v>
      </c>
      <c r="H1110" s="1" t="s">
        <v>32</v>
      </c>
      <c r="I1110" s="3">
        <f>+2250101915535</f>
        <v>2250101915535</v>
      </c>
      <c r="J1110" s="3">
        <f>+2250747515981</f>
        <v>2250747515981</v>
      </c>
      <c r="K1110" s="1" t="s">
        <v>19</v>
      </c>
      <c r="L1110" s="4" t="s">
        <v>3920</v>
      </c>
    </row>
    <row r="1111">
      <c r="A1111" s="1" t="s">
        <v>12</v>
      </c>
      <c r="B1111" s="1" t="s">
        <v>3921</v>
      </c>
      <c r="C1111" s="1" t="s">
        <v>3922</v>
      </c>
      <c r="D1111" s="1" t="s">
        <v>3923</v>
      </c>
      <c r="E1111" s="2">
        <v>38039.0</v>
      </c>
      <c r="F1111" s="1" t="s">
        <v>16</v>
      </c>
      <c r="G1111" s="1" t="s">
        <v>25</v>
      </c>
      <c r="H1111" s="1" t="s">
        <v>18</v>
      </c>
      <c r="I1111" s="3">
        <f>+22507017278</f>
        <v>22507017278</v>
      </c>
      <c r="J1111" s="3">
        <f>+2250152164599</f>
        <v>2250152164599</v>
      </c>
      <c r="K1111" s="1" t="s">
        <v>19</v>
      </c>
      <c r="L1111" s="4" t="s">
        <v>3924</v>
      </c>
    </row>
    <row r="1112">
      <c r="A1112" s="1" t="s">
        <v>12</v>
      </c>
      <c r="B1112" s="1" t="s">
        <v>3925</v>
      </c>
      <c r="C1112" s="1" t="s">
        <v>3926</v>
      </c>
      <c r="D1112" s="1" t="s">
        <v>3927</v>
      </c>
      <c r="E1112" s="2">
        <v>37796.0</v>
      </c>
      <c r="F1112" s="1" t="s">
        <v>167</v>
      </c>
      <c r="G1112" s="1" t="s">
        <v>25</v>
      </c>
      <c r="H1112" s="1" t="s">
        <v>18</v>
      </c>
      <c r="I1112" s="3">
        <f>+2250702527110</f>
        <v>2250702527110</v>
      </c>
      <c r="J1112" s="3">
        <f>+2250709424403</f>
        <v>2250709424403</v>
      </c>
      <c r="K1112" s="1" t="s">
        <v>19</v>
      </c>
      <c r="L1112" s="4" t="s">
        <v>3928</v>
      </c>
    </row>
    <row r="1113">
      <c r="A1113" s="1" t="s">
        <v>12</v>
      </c>
      <c r="B1113" s="1" t="s">
        <v>3929</v>
      </c>
      <c r="C1113" s="1" t="s">
        <v>3930</v>
      </c>
      <c r="D1113" s="1" t="s">
        <v>3931</v>
      </c>
      <c r="E1113" s="2">
        <v>37724.0</v>
      </c>
      <c r="F1113" s="1" t="s">
        <v>138</v>
      </c>
      <c r="G1113" s="1" t="s">
        <v>31</v>
      </c>
      <c r="H1113" s="1" t="s">
        <v>32</v>
      </c>
      <c r="I1113" s="3">
        <f>+2250787936827</f>
        <v>2250787936827</v>
      </c>
      <c r="J1113" s="3">
        <f>+2250140814086</f>
        <v>2250140814086</v>
      </c>
      <c r="K1113" s="1" t="s">
        <v>19</v>
      </c>
      <c r="L1113" s="4" t="s">
        <v>3932</v>
      </c>
    </row>
    <row r="1114">
      <c r="A1114" s="1" t="s">
        <v>12</v>
      </c>
      <c r="B1114" s="1" t="s">
        <v>3933</v>
      </c>
      <c r="C1114" s="1" t="s">
        <v>3930</v>
      </c>
      <c r="D1114" s="1" t="s">
        <v>3934</v>
      </c>
      <c r="E1114" s="5">
        <v>37904.0</v>
      </c>
      <c r="F1114" s="1" t="s">
        <v>1850</v>
      </c>
      <c r="G1114" s="1" t="s">
        <v>76</v>
      </c>
      <c r="H1114" s="1" t="s">
        <v>32</v>
      </c>
      <c r="I1114" s="3">
        <f>+2250706526165</f>
        <v>2250706526165</v>
      </c>
      <c r="J1114" s="3">
        <f>+2250152840762</f>
        <v>2250152840762</v>
      </c>
      <c r="K1114" s="1" t="s">
        <v>19</v>
      </c>
      <c r="L1114" s="4" t="s">
        <v>3935</v>
      </c>
    </row>
    <row r="1115">
      <c r="A1115" s="1" t="s">
        <v>12</v>
      </c>
      <c r="B1115" s="1" t="s">
        <v>3936</v>
      </c>
      <c r="C1115" s="1" t="s">
        <v>3930</v>
      </c>
      <c r="D1115" s="1" t="s">
        <v>3937</v>
      </c>
      <c r="E1115" s="5">
        <v>38668.0</v>
      </c>
      <c r="F1115" s="1" t="s">
        <v>30</v>
      </c>
      <c r="G1115" s="1" t="s">
        <v>76</v>
      </c>
      <c r="H1115" s="1" t="s">
        <v>32</v>
      </c>
      <c r="I1115" s="3">
        <f>+2250759089906</f>
        <v>2250759089906</v>
      </c>
      <c r="J1115" s="3">
        <f>+2250758757669</f>
        <v>2250758757669</v>
      </c>
      <c r="K1115" s="1" t="s">
        <v>19</v>
      </c>
      <c r="L1115" s="4" t="s">
        <v>3938</v>
      </c>
    </row>
    <row r="1116">
      <c r="A1116" s="1" t="s">
        <v>12</v>
      </c>
      <c r="B1116" s="1" t="s">
        <v>3939</v>
      </c>
      <c r="C1116" s="1" t="s">
        <v>3940</v>
      </c>
      <c r="D1116" s="1" t="s">
        <v>2642</v>
      </c>
      <c r="E1116" s="5">
        <v>37253.0</v>
      </c>
      <c r="F1116" s="1" t="s">
        <v>155</v>
      </c>
      <c r="G1116" s="1" t="s">
        <v>31</v>
      </c>
      <c r="H1116" s="1" t="s">
        <v>32</v>
      </c>
      <c r="I1116" s="3">
        <f>+2250544014850</f>
        <v>2250544014850</v>
      </c>
      <c r="J1116" s="3">
        <f>+2250505019780</f>
        <v>2250505019780</v>
      </c>
      <c r="K1116" s="1" t="s">
        <v>19</v>
      </c>
      <c r="L1116" s="4" t="s">
        <v>3941</v>
      </c>
    </row>
    <row r="1117">
      <c r="A1117" s="1" t="s">
        <v>12</v>
      </c>
      <c r="B1117" s="1" t="s">
        <v>3942</v>
      </c>
      <c r="C1117" s="1" t="s">
        <v>3940</v>
      </c>
      <c r="D1117" s="1" t="s">
        <v>3943</v>
      </c>
      <c r="E1117" s="2">
        <v>37091.0</v>
      </c>
      <c r="F1117" s="1" t="s">
        <v>16</v>
      </c>
      <c r="G1117" s="1" t="s">
        <v>17</v>
      </c>
      <c r="H1117" s="1" t="s">
        <v>18</v>
      </c>
      <c r="I1117" s="3">
        <f>+2250574374474</f>
        <v>2250574374474</v>
      </c>
      <c r="J1117" s="3">
        <f>+2250545595415</f>
        <v>2250545595415</v>
      </c>
      <c r="K1117" s="1" t="s">
        <v>19</v>
      </c>
      <c r="L1117" s="4" t="s">
        <v>3944</v>
      </c>
    </row>
    <row r="1118">
      <c r="A1118" s="1" t="s">
        <v>12</v>
      </c>
      <c r="B1118" s="1" t="s">
        <v>3945</v>
      </c>
      <c r="C1118" s="1" t="s">
        <v>3940</v>
      </c>
      <c r="D1118" s="1" t="s">
        <v>2806</v>
      </c>
      <c r="E1118" s="2">
        <v>36683.0</v>
      </c>
      <c r="F1118" s="1" t="s">
        <v>37</v>
      </c>
      <c r="G1118" s="1" t="s">
        <v>82</v>
      </c>
      <c r="H1118" s="1" t="s">
        <v>18</v>
      </c>
      <c r="I1118" s="3">
        <f>+2250141869060</f>
        <v>2250141869060</v>
      </c>
      <c r="J1118" s="3">
        <f>+2250707013639</f>
        <v>2250707013639</v>
      </c>
      <c r="K1118" s="1" t="s">
        <v>19</v>
      </c>
      <c r="L1118" s="4" t="s">
        <v>3946</v>
      </c>
    </row>
    <row r="1119">
      <c r="A1119" s="1" t="s">
        <v>12</v>
      </c>
      <c r="B1119" s="1" t="s">
        <v>3947</v>
      </c>
      <c r="C1119" s="1" t="s">
        <v>3940</v>
      </c>
      <c r="D1119" s="1" t="s">
        <v>2806</v>
      </c>
      <c r="E1119" s="5">
        <v>37939.0</v>
      </c>
      <c r="F1119" s="1" t="s">
        <v>62</v>
      </c>
      <c r="G1119" s="1" t="s">
        <v>17</v>
      </c>
      <c r="H1119" s="1" t="s">
        <v>18</v>
      </c>
      <c r="I1119" s="3">
        <f>+2250544535629</f>
        <v>2250544535629</v>
      </c>
      <c r="J1119" s="3">
        <f>+2250504033353</f>
        <v>2250504033353</v>
      </c>
      <c r="K1119" s="1" t="s">
        <v>19</v>
      </c>
      <c r="L1119" s="4" t="s">
        <v>3948</v>
      </c>
    </row>
    <row r="1120">
      <c r="A1120" s="1" t="s">
        <v>12</v>
      </c>
      <c r="B1120" s="1" t="s">
        <v>3949</v>
      </c>
      <c r="C1120" s="1" t="s">
        <v>3940</v>
      </c>
      <c r="D1120" s="1" t="s">
        <v>3950</v>
      </c>
      <c r="E1120" s="2">
        <v>37853.0</v>
      </c>
      <c r="F1120" s="1" t="s">
        <v>62</v>
      </c>
      <c r="G1120" s="1" t="s">
        <v>17</v>
      </c>
      <c r="H1120" s="1" t="s">
        <v>18</v>
      </c>
      <c r="I1120" s="3">
        <f>+2250575807350</f>
        <v>2250575807350</v>
      </c>
      <c r="J1120" s="3">
        <f>+2250707343694</f>
        <v>2250707343694</v>
      </c>
      <c r="K1120" s="1" t="s">
        <v>19</v>
      </c>
      <c r="L1120" s="4" t="s">
        <v>3951</v>
      </c>
    </row>
    <row r="1121">
      <c r="A1121" s="1" t="s">
        <v>12</v>
      </c>
      <c r="B1121" s="1" t="s">
        <v>3952</v>
      </c>
      <c r="C1121" s="1" t="s">
        <v>3940</v>
      </c>
      <c r="D1121" s="1" t="s">
        <v>3953</v>
      </c>
      <c r="E1121" s="2">
        <v>38018.0</v>
      </c>
      <c r="F1121" s="1" t="s">
        <v>62</v>
      </c>
      <c r="G1121" s="1" t="s">
        <v>25</v>
      </c>
      <c r="H1121" s="1" t="s">
        <v>18</v>
      </c>
      <c r="I1121" s="3">
        <f>+2250102912871</f>
        <v>2250102912871</v>
      </c>
      <c r="J1121" s="3">
        <f>+22505495995</f>
        <v>22505495995</v>
      </c>
      <c r="K1121" s="1" t="s">
        <v>19</v>
      </c>
      <c r="L1121" s="4" t="s">
        <v>3954</v>
      </c>
    </row>
    <row r="1122">
      <c r="A1122" s="1" t="s">
        <v>12</v>
      </c>
      <c r="B1122" s="1" t="s">
        <v>3955</v>
      </c>
      <c r="C1122" s="1" t="s">
        <v>3956</v>
      </c>
      <c r="D1122" s="1" t="s">
        <v>3957</v>
      </c>
      <c r="E1122" s="2">
        <v>37711.0</v>
      </c>
      <c r="F1122" s="1" t="s">
        <v>155</v>
      </c>
      <c r="G1122" s="1" t="s">
        <v>31</v>
      </c>
      <c r="H1122" s="1" t="s">
        <v>32</v>
      </c>
      <c r="I1122" s="3">
        <f>+2250546703594</f>
        <v>2250546703594</v>
      </c>
      <c r="J1122" s="3">
        <f>+2250172239331</f>
        <v>2250172239331</v>
      </c>
      <c r="K1122" s="1" t="s">
        <v>19</v>
      </c>
      <c r="L1122" s="4" t="s">
        <v>3958</v>
      </c>
    </row>
    <row r="1123">
      <c r="A1123" s="1" t="s">
        <v>12</v>
      </c>
      <c r="B1123" s="1" t="s">
        <v>3959</v>
      </c>
      <c r="C1123" s="1" t="s">
        <v>3956</v>
      </c>
      <c r="D1123" s="1" t="s">
        <v>3960</v>
      </c>
      <c r="E1123" s="2">
        <v>38875.0</v>
      </c>
      <c r="F1123" s="1" t="s">
        <v>155</v>
      </c>
      <c r="G1123" s="1" t="s">
        <v>76</v>
      </c>
      <c r="H1123" s="1" t="s">
        <v>32</v>
      </c>
      <c r="I1123" s="3">
        <f>+2250101890444</f>
        <v>2250101890444</v>
      </c>
      <c r="J1123" s="3">
        <f>+2250103950354</f>
        <v>2250103950354</v>
      </c>
      <c r="K1123" s="1" t="s">
        <v>19</v>
      </c>
      <c r="L1123" s="4" t="s">
        <v>3961</v>
      </c>
    </row>
    <row r="1124">
      <c r="A1124" s="1" t="s">
        <v>12</v>
      </c>
      <c r="B1124" s="1" t="s">
        <v>3962</v>
      </c>
      <c r="C1124" s="1" t="s">
        <v>3956</v>
      </c>
      <c r="D1124" s="1" t="s">
        <v>3963</v>
      </c>
      <c r="E1124" s="5">
        <v>38312.0</v>
      </c>
      <c r="F1124" s="1" t="s">
        <v>155</v>
      </c>
      <c r="G1124" s="1" t="s">
        <v>31</v>
      </c>
      <c r="H1124" s="1" t="s">
        <v>32</v>
      </c>
      <c r="I1124" s="3">
        <f>+2250788434219</f>
        <v>2250788434219</v>
      </c>
      <c r="J1124" s="3">
        <f>+2250709214508</f>
        <v>2250709214508</v>
      </c>
      <c r="K1124" s="1" t="s">
        <v>19</v>
      </c>
      <c r="L1124" s="4" t="s">
        <v>3964</v>
      </c>
    </row>
    <row r="1125">
      <c r="A1125" s="1" t="s">
        <v>12</v>
      </c>
      <c r="B1125" s="1" t="s">
        <v>3965</v>
      </c>
      <c r="C1125" s="1" t="s">
        <v>3966</v>
      </c>
      <c r="D1125" s="1" t="s">
        <v>3967</v>
      </c>
      <c r="E1125" s="2">
        <v>36985.0</v>
      </c>
      <c r="F1125" s="1" t="s">
        <v>62</v>
      </c>
      <c r="G1125" s="1" t="s">
        <v>17</v>
      </c>
      <c r="H1125" s="1" t="s">
        <v>18</v>
      </c>
      <c r="I1125" s="3">
        <f>+2250777582824</f>
        <v>2250777582824</v>
      </c>
      <c r="J1125" s="3">
        <f>+2250707864041</f>
        <v>2250707864041</v>
      </c>
      <c r="K1125" s="1" t="s">
        <v>19</v>
      </c>
      <c r="L1125" s="4" t="s">
        <v>3968</v>
      </c>
    </row>
    <row r="1126">
      <c r="A1126" s="1" t="s">
        <v>12</v>
      </c>
      <c r="B1126" s="1" t="s">
        <v>3969</v>
      </c>
      <c r="C1126" s="1" t="s">
        <v>3966</v>
      </c>
      <c r="D1126" s="1" t="s">
        <v>3970</v>
      </c>
      <c r="E1126" s="5">
        <v>37613.0</v>
      </c>
      <c r="F1126" s="1" t="s">
        <v>101</v>
      </c>
      <c r="G1126" s="1" t="s">
        <v>76</v>
      </c>
      <c r="H1126" s="1" t="s">
        <v>32</v>
      </c>
      <c r="I1126" s="3">
        <f>+2250768493684</f>
        <v>2250768493684</v>
      </c>
      <c r="J1126" s="3">
        <f>+2250172342455</f>
        <v>2250172342455</v>
      </c>
      <c r="K1126" s="1" t="s">
        <v>19</v>
      </c>
      <c r="L1126" s="4" t="s">
        <v>3971</v>
      </c>
    </row>
    <row r="1127">
      <c r="A1127" s="1" t="s">
        <v>12</v>
      </c>
      <c r="B1127" s="1" t="s">
        <v>3972</v>
      </c>
      <c r="C1127" s="1" t="s">
        <v>3973</v>
      </c>
      <c r="D1127" s="1" t="s">
        <v>3974</v>
      </c>
      <c r="E1127" s="2">
        <v>37491.0</v>
      </c>
      <c r="F1127" s="1" t="s">
        <v>30</v>
      </c>
      <c r="G1127" s="1" t="s">
        <v>31</v>
      </c>
      <c r="H1127" s="1" t="s">
        <v>32</v>
      </c>
      <c r="I1127" s="3">
        <f>+2250160891608</f>
        <v>2250160891608</v>
      </c>
      <c r="J1127" s="3">
        <f>+2250777978600</f>
        <v>2250777978600</v>
      </c>
      <c r="K1127" s="1" t="s">
        <v>19</v>
      </c>
      <c r="L1127" s="4" t="s">
        <v>3975</v>
      </c>
    </row>
    <row r="1128">
      <c r="A1128" s="1" t="s">
        <v>12</v>
      </c>
      <c r="B1128" s="1" t="s">
        <v>3976</v>
      </c>
      <c r="C1128" s="1" t="s">
        <v>3977</v>
      </c>
      <c r="D1128" s="1" t="s">
        <v>3978</v>
      </c>
      <c r="E1128" s="5">
        <v>37921.0</v>
      </c>
      <c r="F1128" s="1" t="s">
        <v>75</v>
      </c>
      <c r="G1128" s="1" t="s">
        <v>31</v>
      </c>
      <c r="H1128" s="1" t="s">
        <v>32</v>
      </c>
      <c r="I1128" s="3">
        <f>+2250141761644</f>
        <v>2250141761644</v>
      </c>
      <c r="J1128" s="3">
        <f>+2250506628087</f>
        <v>2250506628087</v>
      </c>
      <c r="K1128" s="1" t="s">
        <v>19</v>
      </c>
      <c r="L1128" s="4" t="s">
        <v>3979</v>
      </c>
    </row>
    <row r="1129">
      <c r="A1129" s="1" t="s">
        <v>12</v>
      </c>
      <c r="B1129" s="1" t="s">
        <v>3980</v>
      </c>
      <c r="C1129" s="1" t="s">
        <v>3981</v>
      </c>
      <c r="D1129" s="1" t="s">
        <v>3982</v>
      </c>
      <c r="E1129" s="2">
        <v>38099.0</v>
      </c>
      <c r="F1129" s="1" t="s">
        <v>24</v>
      </c>
      <c r="G1129" s="1" t="s">
        <v>17</v>
      </c>
      <c r="H1129" s="1" t="s">
        <v>18</v>
      </c>
      <c r="I1129" s="3">
        <f>+2250700910828</f>
        <v>2250700910828</v>
      </c>
      <c r="J1129" s="3">
        <f>+2250101962418</f>
        <v>2250101962418</v>
      </c>
      <c r="K1129" s="1" t="s">
        <v>19</v>
      </c>
      <c r="L1129" s="4" t="s">
        <v>3983</v>
      </c>
    </row>
    <row r="1130">
      <c r="A1130" s="1" t="s">
        <v>12</v>
      </c>
      <c r="B1130" s="1" t="s">
        <v>3984</v>
      </c>
      <c r="C1130" s="1" t="s">
        <v>3985</v>
      </c>
      <c r="D1130" s="1" t="s">
        <v>3986</v>
      </c>
      <c r="E1130" s="5">
        <v>38270.0</v>
      </c>
      <c r="F1130" s="1" t="s">
        <v>62</v>
      </c>
      <c r="G1130" s="1" t="s">
        <v>25</v>
      </c>
      <c r="H1130" s="1" t="s">
        <v>18</v>
      </c>
      <c r="I1130" s="3">
        <f>+2250701968360</f>
        <v>2250701968360</v>
      </c>
      <c r="J1130" s="3">
        <f>+2250749282105</f>
        <v>2250749282105</v>
      </c>
      <c r="K1130" s="1" t="s">
        <v>19</v>
      </c>
      <c r="L1130" s="4" t="s">
        <v>3987</v>
      </c>
    </row>
    <row r="1131">
      <c r="A1131" s="1" t="s">
        <v>12</v>
      </c>
      <c r="B1131" s="1" t="s">
        <v>3988</v>
      </c>
      <c r="C1131" s="1" t="s">
        <v>3989</v>
      </c>
      <c r="D1131" s="1" t="s">
        <v>3990</v>
      </c>
      <c r="E1131" s="2">
        <v>36982.0</v>
      </c>
      <c r="F1131" s="1" t="s">
        <v>30</v>
      </c>
      <c r="G1131" s="1" t="s">
        <v>31</v>
      </c>
      <c r="H1131" s="1" t="s">
        <v>32</v>
      </c>
      <c r="I1131" s="3">
        <f>+2250747786960</f>
        <v>2250747786960</v>
      </c>
      <c r="J1131" s="3">
        <f>+2250505592238</f>
        <v>2250505592238</v>
      </c>
      <c r="K1131" s="1" t="s">
        <v>19</v>
      </c>
      <c r="L1131" s="4" t="s">
        <v>3991</v>
      </c>
    </row>
    <row r="1132">
      <c r="A1132" s="1" t="s">
        <v>12</v>
      </c>
      <c r="B1132" s="1" t="s">
        <v>3992</v>
      </c>
      <c r="C1132" s="1" t="s">
        <v>3993</v>
      </c>
      <c r="D1132" s="1" t="s">
        <v>3994</v>
      </c>
      <c r="E1132" s="2">
        <v>37462.0</v>
      </c>
      <c r="F1132" s="1" t="s">
        <v>110</v>
      </c>
      <c r="G1132" s="1" t="s">
        <v>38</v>
      </c>
      <c r="H1132" s="1" t="s">
        <v>39</v>
      </c>
      <c r="I1132" s="3">
        <f>+2250779965150</f>
        <v>2250779965150</v>
      </c>
      <c r="J1132" s="3">
        <f>+2250747558701</f>
        <v>2250747558701</v>
      </c>
      <c r="K1132" s="1" t="s">
        <v>19</v>
      </c>
      <c r="L1132" s="4" t="s">
        <v>3995</v>
      </c>
    </row>
    <row r="1133">
      <c r="A1133" s="1" t="s">
        <v>12</v>
      </c>
      <c r="B1133" s="1" t="s">
        <v>3996</v>
      </c>
      <c r="C1133" s="1" t="s">
        <v>3997</v>
      </c>
      <c r="D1133" s="1" t="s">
        <v>3998</v>
      </c>
      <c r="E1133" s="2">
        <v>37998.0</v>
      </c>
      <c r="F1133" s="1" t="s">
        <v>416</v>
      </c>
      <c r="G1133" s="1" t="s">
        <v>76</v>
      </c>
      <c r="H1133" s="1" t="s">
        <v>32</v>
      </c>
      <c r="I1133" s="3">
        <f>+2250150972587</f>
        <v>2250150972587</v>
      </c>
      <c r="J1133" s="3">
        <f>+2250594749153</f>
        <v>2250594749153</v>
      </c>
      <c r="K1133" s="1" t="s">
        <v>19</v>
      </c>
      <c r="L1133" s="4" t="s">
        <v>3999</v>
      </c>
    </row>
    <row r="1134">
      <c r="A1134" s="1" t="s">
        <v>12</v>
      </c>
      <c r="B1134" s="1" t="s">
        <v>4000</v>
      </c>
      <c r="C1134" s="1" t="s">
        <v>4001</v>
      </c>
      <c r="D1134" s="1" t="s">
        <v>4002</v>
      </c>
      <c r="E1134" s="2">
        <v>37304.0</v>
      </c>
      <c r="F1134" s="1" t="s">
        <v>92</v>
      </c>
      <c r="G1134" s="1" t="s">
        <v>31</v>
      </c>
      <c r="H1134" s="1" t="s">
        <v>32</v>
      </c>
      <c r="I1134" s="3">
        <f>+2250769890132</f>
        <v>2250769890132</v>
      </c>
      <c r="J1134" s="3">
        <f>+2250708222296</f>
        <v>2250708222296</v>
      </c>
      <c r="K1134" s="1" t="s">
        <v>19</v>
      </c>
      <c r="L1134" s="4" t="s">
        <v>4003</v>
      </c>
    </row>
    <row r="1135">
      <c r="A1135" s="1" t="s">
        <v>12</v>
      </c>
      <c r="B1135" s="1" t="s">
        <v>4004</v>
      </c>
      <c r="C1135" s="1" t="s">
        <v>4005</v>
      </c>
      <c r="D1135" s="1" t="s">
        <v>4006</v>
      </c>
      <c r="E1135" s="2">
        <v>37327.0</v>
      </c>
      <c r="F1135" s="1" t="s">
        <v>53</v>
      </c>
      <c r="G1135" s="1" t="s">
        <v>17</v>
      </c>
      <c r="H1135" s="1" t="s">
        <v>18</v>
      </c>
      <c r="I1135" s="3">
        <f>+2250585940444</f>
        <v>2250585940444</v>
      </c>
      <c r="J1135" s="3">
        <f>+2250748639429</f>
        <v>2250748639429</v>
      </c>
      <c r="K1135" s="1" t="s">
        <v>19</v>
      </c>
      <c r="L1135" s="4" t="s">
        <v>4007</v>
      </c>
    </row>
    <row r="1136">
      <c r="A1136" s="1" t="s">
        <v>12</v>
      </c>
      <c r="B1136" s="1" t="s">
        <v>4008</v>
      </c>
      <c r="C1136" s="1" t="s">
        <v>4009</v>
      </c>
      <c r="D1136" s="1" t="s">
        <v>4010</v>
      </c>
      <c r="E1136" s="2">
        <v>36736.0</v>
      </c>
      <c r="F1136" s="1" t="s">
        <v>30</v>
      </c>
      <c r="G1136" s="1" t="s">
        <v>31</v>
      </c>
      <c r="H1136" s="1" t="s">
        <v>32</v>
      </c>
      <c r="I1136" s="3">
        <f>+2250586981623</f>
        <v>2250586981623</v>
      </c>
      <c r="J1136" s="3">
        <f>+2250707017129</f>
        <v>2250707017129</v>
      </c>
      <c r="K1136" s="1" t="s">
        <v>19</v>
      </c>
      <c r="L1136" s="4" t="s">
        <v>4011</v>
      </c>
    </row>
    <row r="1137">
      <c r="A1137" s="1" t="s">
        <v>12</v>
      </c>
      <c r="B1137" s="1" t="s">
        <v>4012</v>
      </c>
      <c r="C1137" s="1" t="s">
        <v>4009</v>
      </c>
      <c r="D1137" s="1" t="s">
        <v>4013</v>
      </c>
      <c r="E1137" s="2">
        <v>38080.0</v>
      </c>
      <c r="F1137" s="1" t="s">
        <v>53</v>
      </c>
      <c r="G1137" s="1" t="s">
        <v>25</v>
      </c>
      <c r="H1137" s="1" t="s">
        <v>18</v>
      </c>
      <c r="I1137" s="3">
        <f>+2250787971766</f>
        <v>2250787971766</v>
      </c>
      <c r="J1137" s="3">
        <f>+2250708028769</f>
        <v>2250708028769</v>
      </c>
      <c r="K1137" s="1" t="s">
        <v>19</v>
      </c>
      <c r="L1137" s="4" t="s">
        <v>4014</v>
      </c>
    </row>
    <row r="1138">
      <c r="A1138" s="1" t="s">
        <v>12</v>
      </c>
      <c r="B1138" s="1" t="s">
        <v>4015</v>
      </c>
      <c r="C1138" s="1" t="s">
        <v>4016</v>
      </c>
      <c r="D1138" s="1" t="s">
        <v>4017</v>
      </c>
      <c r="E1138" s="2">
        <v>38395.0</v>
      </c>
      <c r="F1138" s="1" t="s">
        <v>101</v>
      </c>
      <c r="G1138" s="1" t="s">
        <v>76</v>
      </c>
      <c r="H1138" s="1" t="s">
        <v>32</v>
      </c>
      <c r="I1138" s="3">
        <f>+2250151450727</f>
        <v>2250151450727</v>
      </c>
      <c r="J1138" s="3">
        <f>+2250758432564</f>
        <v>2250758432564</v>
      </c>
      <c r="K1138" s="1" t="s">
        <v>19</v>
      </c>
      <c r="L1138" s="4" t="s">
        <v>4018</v>
      </c>
    </row>
    <row r="1139">
      <c r="A1139" s="1" t="s">
        <v>12</v>
      </c>
      <c r="B1139" s="1" t="s">
        <v>4019</v>
      </c>
      <c r="C1139" s="1" t="s">
        <v>4016</v>
      </c>
      <c r="D1139" s="1" t="s">
        <v>1622</v>
      </c>
      <c r="E1139" s="2">
        <v>37467.0</v>
      </c>
      <c r="F1139" s="1" t="s">
        <v>351</v>
      </c>
      <c r="G1139" s="1" t="s">
        <v>31</v>
      </c>
      <c r="H1139" s="1" t="s">
        <v>32</v>
      </c>
      <c r="I1139" s="3">
        <f>+2250545395469</f>
        <v>2250545395469</v>
      </c>
      <c r="J1139" s="3">
        <f>+2250707433774</f>
        <v>2250707433774</v>
      </c>
      <c r="K1139" s="1" t="s">
        <v>19</v>
      </c>
      <c r="L1139" s="4" t="s">
        <v>4020</v>
      </c>
    </row>
    <row r="1140">
      <c r="A1140" s="1" t="s">
        <v>12</v>
      </c>
      <c r="B1140" s="1" t="s">
        <v>4021</v>
      </c>
      <c r="C1140" s="1" t="s">
        <v>4016</v>
      </c>
      <c r="D1140" s="1" t="s">
        <v>2686</v>
      </c>
      <c r="E1140" s="2">
        <v>37262.0</v>
      </c>
      <c r="F1140" s="1" t="s">
        <v>92</v>
      </c>
      <c r="G1140" s="1" t="s">
        <v>31</v>
      </c>
      <c r="H1140" s="1" t="s">
        <v>32</v>
      </c>
      <c r="I1140" s="3">
        <f>+2250705166749</f>
        <v>2250705166749</v>
      </c>
      <c r="J1140" s="3">
        <f>+2250545956228</f>
        <v>2250545956228</v>
      </c>
      <c r="K1140" s="1" t="s">
        <v>19</v>
      </c>
      <c r="L1140" s="4" t="s">
        <v>4022</v>
      </c>
    </row>
    <row r="1141">
      <c r="A1141" s="1" t="s">
        <v>12</v>
      </c>
      <c r="B1141" s="1" t="s">
        <v>4023</v>
      </c>
      <c r="C1141" s="1" t="s">
        <v>4016</v>
      </c>
      <c r="D1141" s="1" t="s">
        <v>2686</v>
      </c>
      <c r="E1141" s="2">
        <v>37166.0</v>
      </c>
      <c r="F1141" s="1" t="s">
        <v>16</v>
      </c>
      <c r="G1141" s="1" t="s">
        <v>17</v>
      </c>
      <c r="H1141" s="1" t="s">
        <v>18</v>
      </c>
      <c r="I1141" s="3">
        <f>+2250102233259</f>
        <v>2250102233259</v>
      </c>
      <c r="J1141" s="3">
        <f>+2250504967236</f>
        <v>2250504967236</v>
      </c>
      <c r="K1141" s="1" t="s">
        <v>19</v>
      </c>
      <c r="L1141" s="4" t="s">
        <v>4024</v>
      </c>
    </row>
    <row r="1142">
      <c r="A1142" s="1" t="s">
        <v>12</v>
      </c>
      <c r="B1142" s="1" t="s">
        <v>4025</v>
      </c>
      <c r="C1142" s="1" t="s">
        <v>4016</v>
      </c>
      <c r="D1142" s="1" t="s">
        <v>4026</v>
      </c>
      <c r="E1142" s="5">
        <v>38285.0</v>
      </c>
      <c r="F1142" s="1" t="s">
        <v>62</v>
      </c>
      <c r="G1142" s="1" t="s">
        <v>25</v>
      </c>
      <c r="H1142" s="1" t="s">
        <v>18</v>
      </c>
      <c r="I1142" s="3">
        <f>+2250758709889</f>
        <v>2250758709889</v>
      </c>
      <c r="J1142" s="3">
        <f>+2250709901800</f>
        <v>2250709901800</v>
      </c>
      <c r="K1142" s="1" t="s">
        <v>19</v>
      </c>
      <c r="L1142" s="4" t="s">
        <v>4027</v>
      </c>
    </row>
    <row r="1143">
      <c r="A1143" s="1" t="s">
        <v>12</v>
      </c>
      <c r="B1143" s="1" t="s">
        <v>4028</v>
      </c>
      <c r="C1143" s="1" t="s">
        <v>4016</v>
      </c>
      <c r="D1143" s="1" t="s">
        <v>4029</v>
      </c>
      <c r="E1143" s="2">
        <v>37017.0</v>
      </c>
      <c r="F1143" s="1" t="s">
        <v>53</v>
      </c>
      <c r="G1143" s="1" t="s">
        <v>17</v>
      </c>
      <c r="H1143" s="1" t="s">
        <v>18</v>
      </c>
      <c r="I1143" s="3">
        <f>+225054523425</f>
        <v>225054523425</v>
      </c>
      <c r="J1143" s="3">
        <f>+2250505063870</f>
        <v>2250505063870</v>
      </c>
      <c r="K1143" s="1" t="s">
        <v>19</v>
      </c>
      <c r="L1143" s="4" t="s">
        <v>4030</v>
      </c>
    </row>
    <row r="1144">
      <c r="A1144" s="1" t="s">
        <v>12</v>
      </c>
      <c r="B1144" s="1" t="s">
        <v>4031</v>
      </c>
      <c r="C1144" s="1" t="s">
        <v>4016</v>
      </c>
      <c r="D1144" s="1" t="s">
        <v>4032</v>
      </c>
      <c r="E1144" s="2">
        <v>37751.0</v>
      </c>
      <c r="F1144" s="1" t="s">
        <v>416</v>
      </c>
      <c r="G1144" s="1" t="s">
        <v>31</v>
      </c>
      <c r="H1144" s="1" t="s">
        <v>32</v>
      </c>
      <c r="I1144" s="3">
        <f>+2250502976151</f>
        <v>2250502976151</v>
      </c>
      <c r="J1144" s="3">
        <f>+2250505848137</f>
        <v>2250505848137</v>
      </c>
      <c r="K1144" s="1" t="s">
        <v>19</v>
      </c>
      <c r="L1144" s="4" t="s">
        <v>4033</v>
      </c>
    </row>
    <row r="1145">
      <c r="A1145" s="1" t="s">
        <v>12</v>
      </c>
      <c r="B1145" s="1" t="s">
        <v>4034</v>
      </c>
      <c r="C1145" s="1" t="s">
        <v>4016</v>
      </c>
      <c r="D1145" s="1" t="s">
        <v>3461</v>
      </c>
      <c r="E1145" s="5">
        <v>36158.0</v>
      </c>
      <c r="F1145" s="1" t="s">
        <v>48</v>
      </c>
      <c r="G1145" s="1" t="s">
        <v>31</v>
      </c>
      <c r="H1145" s="1" t="s">
        <v>32</v>
      </c>
      <c r="I1145" s="3">
        <f>+2250759223374</f>
        <v>2250759223374</v>
      </c>
      <c r="J1145" s="3">
        <f>+2250555218988</f>
        <v>2250555218988</v>
      </c>
      <c r="K1145" s="1" t="s">
        <v>19</v>
      </c>
      <c r="L1145" s="4" t="s">
        <v>4035</v>
      </c>
    </row>
    <row r="1146">
      <c r="A1146" s="1" t="s">
        <v>12</v>
      </c>
      <c r="B1146" s="1" t="s">
        <v>4036</v>
      </c>
      <c r="C1146" s="1" t="s">
        <v>4016</v>
      </c>
      <c r="D1146" s="1" t="s">
        <v>1774</v>
      </c>
      <c r="E1146" s="2">
        <v>38222.0</v>
      </c>
      <c r="F1146" s="1" t="s">
        <v>101</v>
      </c>
      <c r="G1146" s="1" t="s">
        <v>76</v>
      </c>
      <c r="H1146" s="1" t="s">
        <v>32</v>
      </c>
      <c r="I1146" s="3">
        <f>+2250768469489</f>
        <v>2250768469489</v>
      </c>
      <c r="J1146" s="3">
        <f>+2250708131813</f>
        <v>2250708131813</v>
      </c>
      <c r="K1146" s="1" t="s">
        <v>19</v>
      </c>
      <c r="L1146" s="4" t="s">
        <v>4037</v>
      </c>
    </row>
    <row r="1147">
      <c r="A1147" s="1" t="s">
        <v>12</v>
      </c>
      <c r="B1147" s="1" t="s">
        <v>4038</v>
      </c>
      <c r="C1147" s="1" t="s">
        <v>4016</v>
      </c>
      <c r="D1147" s="1" t="s">
        <v>3437</v>
      </c>
      <c r="E1147" s="2">
        <v>36566.0</v>
      </c>
      <c r="F1147" s="1" t="s">
        <v>155</v>
      </c>
      <c r="G1147" s="1" t="s">
        <v>76</v>
      </c>
      <c r="H1147" s="1" t="s">
        <v>32</v>
      </c>
      <c r="I1147" s="3">
        <f>+2250767620966</f>
        <v>2250767620966</v>
      </c>
      <c r="J1147" s="3">
        <f>+2250506096868</f>
        <v>2250506096868</v>
      </c>
      <c r="K1147" s="1" t="s">
        <v>19</v>
      </c>
      <c r="L1147" s="4" t="s">
        <v>4039</v>
      </c>
    </row>
    <row r="1148">
      <c r="A1148" s="1" t="s">
        <v>12</v>
      </c>
      <c r="B1148" s="1" t="s">
        <v>4040</v>
      </c>
      <c r="C1148" s="1" t="s">
        <v>4016</v>
      </c>
      <c r="D1148" s="1" t="s">
        <v>3398</v>
      </c>
      <c r="E1148" s="5">
        <v>37250.0</v>
      </c>
      <c r="F1148" s="1" t="s">
        <v>30</v>
      </c>
      <c r="G1148" s="1" t="s">
        <v>31</v>
      </c>
      <c r="H1148" s="1" t="s">
        <v>32</v>
      </c>
      <c r="I1148" s="3">
        <f>+2250504799163</f>
        <v>2250504799163</v>
      </c>
      <c r="J1148" s="3">
        <f>+2250747030933</f>
        <v>2250747030933</v>
      </c>
      <c r="K1148" s="1" t="s">
        <v>19</v>
      </c>
      <c r="L1148" s="4" t="s">
        <v>4041</v>
      </c>
    </row>
    <row r="1149">
      <c r="A1149" s="1" t="s">
        <v>12</v>
      </c>
      <c r="B1149" s="1" t="s">
        <v>4042</v>
      </c>
      <c r="C1149" s="1" t="s">
        <v>4043</v>
      </c>
      <c r="D1149" s="1" t="s">
        <v>4044</v>
      </c>
      <c r="E1149" s="5">
        <v>37904.0</v>
      </c>
      <c r="F1149" s="1" t="s">
        <v>62</v>
      </c>
      <c r="G1149" s="1" t="s">
        <v>17</v>
      </c>
      <c r="H1149" s="1" t="s">
        <v>18</v>
      </c>
      <c r="I1149" s="3">
        <f>+2250142503905</f>
        <v>2250142503905</v>
      </c>
      <c r="J1149" s="3">
        <f>+2250142272882</f>
        <v>2250142272882</v>
      </c>
      <c r="K1149" s="1" t="s">
        <v>19</v>
      </c>
      <c r="L1149" s="4" t="s">
        <v>4045</v>
      </c>
    </row>
    <row r="1150">
      <c r="A1150" s="1" t="s">
        <v>12</v>
      </c>
      <c r="B1150" s="1" t="s">
        <v>4046</v>
      </c>
      <c r="C1150" s="1" t="s">
        <v>4047</v>
      </c>
      <c r="D1150" s="1" t="s">
        <v>4048</v>
      </c>
      <c r="E1150" s="2">
        <v>38249.0</v>
      </c>
      <c r="F1150" s="1" t="s">
        <v>53</v>
      </c>
      <c r="G1150" s="1" t="s">
        <v>25</v>
      </c>
      <c r="H1150" s="1" t="s">
        <v>18</v>
      </c>
      <c r="I1150" s="3">
        <f>+2250702359362</f>
        <v>2250702359362</v>
      </c>
      <c r="J1150" s="3">
        <f>+2250759622269</f>
        <v>2250759622269</v>
      </c>
      <c r="K1150" s="1" t="s">
        <v>19</v>
      </c>
      <c r="L1150" s="4" t="s">
        <v>4049</v>
      </c>
    </row>
    <row r="1151">
      <c r="A1151" s="1" t="s">
        <v>12</v>
      </c>
      <c r="B1151" s="1" t="s">
        <v>4050</v>
      </c>
      <c r="C1151" s="1" t="s">
        <v>4051</v>
      </c>
      <c r="D1151" s="1" t="s">
        <v>2592</v>
      </c>
      <c r="E1151" s="5">
        <v>36870.0</v>
      </c>
      <c r="F1151" s="1" t="s">
        <v>155</v>
      </c>
      <c r="G1151" s="1" t="s">
        <v>31</v>
      </c>
      <c r="H1151" s="1" t="s">
        <v>32</v>
      </c>
      <c r="I1151" s="3">
        <f>+2250769703878</f>
        <v>2250769703878</v>
      </c>
      <c r="J1151" s="3">
        <f>+2250707133138</f>
        <v>2250707133138</v>
      </c>
      <c r="K1151" s="1" t="s">
        <v>19</v>
      </c>
      <c r="L1151" s="4" t="s">
        <v>4052</v>
      </c>
    </row>
    <row r="1152">
      <c r="A1152" s="1" t="s">
        <v>12</v>
      </c>
      <c r="B1152" s="1" t="s">
        <v>4053</v>
      </c>
      <c r="C1152" s="1" t="s">
        <v>4051</v>
      </c>
      <c r="D1152" s="1" t="s">
        <v>3437</v>
      </c>
      <c r="E1152" s="2">
        <v>37111.0</v>
      </c>
      <c r="F1152" s="1" t="s">
        <v>138</v>
      </c>
      <c r="G1152" s="1" t="s">
        <v>76</v>
      </c>
      <c r="H1152" s="1" t="s">
        <v>32</v>
      </c>
      <c r="I1152" s="3">
        <f>+2250554628011</f>
        <v>2250554628011</v>
      </c>
      <c r="J1152" s="3">
        <f>+2250707056601</f>
        <v>2250707056601</v>
      </c>
      <c r="K1152" s="1" t="s">
        <v>19</v>
      </c>
      <c r="L1152" s="4" t="s">
        <v>4054</v>
      </c>
    </row>
    <row r="1153">
      <c r="A1153" s="1" t="s">
        <v>12</v>
      </c>
      <c r="B1153" s="1" t="s">
        <v>4055</v>
      </c>
      <c r="C1153" s="1" t="s">
        <v>4056</v>
      </c>
      <c r="D1153" s="1" t="s">
        <v>4057</v>
      </c>
      <c r="E1153" s="2">
        <v>36708.0</v>
      </c>
      <c r="F1153" s="1" t="s">
        <v>138</v>
      </c>
      <c r="G1153" s="1" t="s">
        <v>31</v>
      </c>
      <c r="H1153" s="1" t="s">
        <v>32</v>
      </c>
      <c r="I1153" s="3">
        <f>+2250506849691</f>
        <v>2250506849691</v>
      </c>
      <c r="J1153" s="3">
        <f>+2250546062450</f>
        <v>2250546062450</v>
      </c>
      <c r="K1153" s="1" t="s">
        <v>19</v>
      </c>
      <c r="L1153" s="4" t="s">
        <v>4058</v>
      </c>
    </row>
    <row r="1154">
      <c r="A1154" s="1" t="s">
        <v>12</v>
      </c>
      <c r="B1154" s="1" t="s">
        <v>4059</v>
      </c>
      <c r="C1154" s="1" t="s">
        <v>4056</v>
      </c>
      <c r="D1154" s="1" t="s">
        <v>4060</v>
      </c>
      <c r="E1154" s="5">
        <v>37610.0</v>
      </c>
      <c r="F1154" s="1" t="s">
        <v>30</v>
      </c>
      <c r="G1154" s="1" t="s">
        <v>76</v>
      </c>
      <c r="H1154" s="1" t="s">
        <v>32</v>
      </c>
      <c r="I1154" s="3">
        <f>+2250556808905</f>
        <v>2250556808905</v>
      </c>
      <c r="J1154" s="3">
        <f>+2250787545451</f>
        <v>2250787545451</v>
      </c>
      <c r="K1154" s="1" t="s">
        <v>19</v>
      </c>
      <c r="L1154" s="4" t="s">
        <v>4061</v>
      </c>
    </row>
    <row r="1155">
      <c r="A1155" s="1" t="s">
        <v>12</v>
      </c>
      <c r="B1155" s="1" t="s">
        <v>4062</v>
      </c>
      <c r="C1155" s="1" t="s">
        <v>4063</v>
      </c>
      <c r="D1155" s="1" t="s">
        <v>1840</v>
      </c>
      <c r="E1155" s="2">
        <v>36260.0</v>
      </c>
      <c r="F1155" s="1" t="s">
        <v>37</v>
      </c>
      <c r="G1155" s="1" t="s">
        <v>82</v>
      </c>
      <c r="H1155" s="1" t="s">
        <v>18</v>
      </c>
      <c r="I1155" s="3">
        <f>+2250787425760</f>
        <v>2250787425760</v>
      </c>
      <c r="J1155" s="3">
        <f>+2250708152716</f>
        <v>2250708152716</v>
      </c>
      <c r="K1155" s="1" t="s">
        <v>19</v>
      </c>
      <c r="L1155" s="4" t="s">
        <v>4064</v>
      </c>
    </row>
    <row r="1156">
      <c r="A1156" s="1" t="s">
        <v>12</v>
      </c>
      <c r="B1156" s="1" t="s">
        <v>4065</v>
      </c>
      <c r="C1156" s="1" t="s">
        <v>4066</v>
      </c>
      <c r="D1156" s="1" t="s">
        <v>4067</v>
      </c>
      <c r="E1156" s="5">
        <v>37581.0</v>
      </c>
      <c r="F1156" s="1" t="s">
        <v>62</v>
      </c>
      <c r="G1156" s="1" t="s">
        <v>25</v>
      </c>
      <c r="H1156" s="1" t="s">
        <v>18</v>
      </c>
      <c r="I1156" s="3">
        <f>+2250777233440</f>
        <v>2250777233440</v>
      </c>
      <c r="J1156" s="3">
        <f>+2250707906943</f>
        <v>2250707906943</v>
      </c>
      <c r="K1156" s="1" t="s">
        <v>19</v>
      </c>
      <c r="L1156" s="4" t="s">
        <v>4068</v>
      </c>
    </row>
    <row r="1157">
      <c r="A1157" s="1" t="s">
        <v>12</v>
      </c>
      <c r="B1157" s="1" t="s">
        <v>4069</v>
      </c>
      <c r="C1157" s="1" t="s">
        <v>4070</v>
      </c>
      <c r="D1157" s="1" t="s">
        <v>4071</v>
      </c>
      <c r="E1157" s="2">
        <v>38416.0</v>
      </c>
      <c r="F1157" s="1" t="s">
        <v>62</v>
      </c>
      <c r="G1157" s="1" t="s">
        <v>25</v>
      </c>
      <c r="H1157" s="1" t="s">
        <v>18</v>
      </c>
      <c r="I1157" s="3">
        <f>+2250173246764</f>
        <v>2250173246764</v>
      </c>
      <c r="J1157" s="3">
        <f>+2250103533837</f>
        <v>2250103533837</v>
      </c>
      <c r="K1157" s="1" t="s">
        <v>19</v>
      </c>
      <c r="L1157" s="4" t="s">
        <v>4072</v>
      </c>
    </row>
    <row r="1158">
      <c r="A1158" s="1" t="s">
        <v>12</v>
      </c>
      <c r="B1158" s="1" t="s">
        <v>4073</v>
      </c>
      <c r="C1158" s="1" t="s">
        <v>4074</v>
      </c>
      <c r="D1158" s="1" t="s">
        <v>4075</v>
      </c>
      <c r="E1158" s="2">
        <v>38168.0</v>
      </c>
      <c r="F1158" s="1" t="s">
        <v>62</v>
      </c>
      <c r="G1158" s="1" t="s">
        <v>25</v>
      </c>
      <c r="H1158" s="1" t="s">
        <v>18</v>
      </c>
      <c r="I1158" s="3">
        <f>+2250771992105</f>
        <v>2250771992105</v>
      </c>
      <c r="J1158" s="3">
        <f>+2250574333459</f>
        <v>2250574333459</v>
      </c>
      <c r="K1158" s="1" t="s">
        <v>19</v>
      </c>
      <c r="L1158" s="4" t="s">
        <v>4076</v>
      </c>
    </row>
    <row r="1159">
      <c r="A1159" s="1" t="s">
        <v>12</v>
      </c>
      <c r="B1159" s="1" t="s">
        <v>4077</v>
      </c>
      <c r="C1159" s="1" t="s">
        <v>4078</v>
      </c>
      <c r="D1159" s="1" t="s">
        <v>4079</v>
      </c>
      <c r="E1159" s="2">
        <v>38153.0</v>
      </c>
      <c r="F1159" s="1" t="s">
        <v>48</v>
      </c>
      <c r="G1159" s="1" t="s">
        <v>31</v>
      </c>
      <c r="H1159" s="1" t="s">
        <v>32</v>
      </c>
      <c r="I1159" s="3">
        <f>+2250565104329</f>
        <v>2250565104329</v>
      </c>
      <c r="J1159" s="3">
        <f>+2250545765425</f>
        <v>2250545765425</v>
      </c>
      <c r="K1159" s="1" t="s">
        <v>19</v>
      </c>
      <c r="L1159" s="4" t="s">
        <v>4080</v>
      </c>
    </row>
    <row r="1160">
      <c r="A1160" s="1" t="s">
        <v>12</v>
      </c>
      <c r="B1160" s="1" t="s">
        <v>4081</v>
      </c>
      <c r="C1160" s="1" t="s">
        <v>4082</v>
      </c>
      <c r="D1160" s="1" t="s">
        <v>4083</v>
      </c>
      <c r="E1160" s="2">
        <v>38034.0</v>
      </c>
      <c r="F1160" s="1" t="s">
        <v>155</v>
      </c>
      <c r="G1160" s="1" t="s">
        <v>82</v>
      </c>
      <c r="H1160" s="1" t="s">
        <v>18</v>
      </c>
      <c r="I1160" s="3">
        <f>+2250779960614</f>
        <v>2250779960614</v>
      </c>
      <c r="J1160" s="3">
        <f>+2250101925310</f>
        <v>2250101925310</v>
      </c>
      <c r="K1160" s="1" t="s">
        <v>19</v>
      </c>
      <c r="L1160" s="4" t="s">
        <v>4084</v>
      </c>
    </row>
    <row r="1161">
      <c r="A1161" s="1" t="s">
        <v>12</v>
      </c>
      <c r="B1161" s="1" t="s">
        <v>4085</v>
      </c>
      <c r="C1161" s="1" t="s">
        <v>4086</v>
      </c>
      <c r="D1161" s="1" t="s">
        <v>4087</v>
      </c>
      <c r="E1161" s="2">
        <v>38484.0</v>
      </c>
      <c r="F1161" s="1" t="s">
        <v>24</v>
      </c>
      <c r="G1161" s="1" t="s">
        <v>17</v>
      </c>
      <c r="H1161" s="1" t="s">
        <v>18</v>
      </c>
      <c r="I1161" s="3">
        <f>+2250586914199</f>
        <v>2250586914199</v>
      </c>
      <c r="J1161" s="3">
        <f>+2250101226150</f>
        <v>2250101226150</v>
      </c>
      <c r="K1161" s="1" t="s">
        <v>19</v>
      </c>
      <c r="L1161" s="4" t="s">
        <v>4088</v>
      </c>
    </row>
    <row r="1162">
      <c r="A1162" s="1" t="s">
        <v>12</v>
      </c>
      <c r="B1162" s="1" t="s">
        <v>4089</v>
      </c>
      <c r="C1162" s="1" t="s">
        <v>4090</v>
      </c>
      <c r="D1162" s="1" t="s">
        <v>4091</v>
      </c>
      <c r="E1162" s="2">
        <v>38326.0</v>
      </c>
      <c r="F1162" s="1" t="s">
        <v>110</v>
      </c>
      <c r="G1162" s="1" t="s">
        <v>82</v>
      </c>
      <c r="H1162" s="1" t="s">
        <v>18</v>
      </c>
      <c r="I1162" s="3">
        <f>+2250779502246</f>
        <v>2250779502246</v>
      </c>
      <c r="J1162" s="3">
        <f>+2250707581099</f>
        <v>2250707581099</v>
      </c>
      <c r="K1162" s="1" t="s">
        <v>19</v>
      </c>
      <c r="L1162" s="4" t="s">
        <v>4092</v>
      </c>
    </row>
    <row r="1163">
      <c r="A1163" s="1" t="s">
        <v>12</v>
      </c>
      <c r="B1163" s="1" t="s">
        <v>4093</v>
      </c>
      <c r="C1163" s="1" t="s">
        <v>4094</v>
      </c>
      <c r="D1163" s="1" t="s">
        <v>4095</v>
      </c>
      <c r="E1163" s="2">
        <v>38357.0</v>
      </c>
      <c r="F1163" s="1" t="s">
        <v>101</v>
      </c>
      <c r="G1163" s="1" t="s">
        <v>76</v>
      </c>
      <c r="H1163" s="1" t="s">
        <v>32</v>
      </c>
      <c r="I1163" s="3">
        <f>+2250759813481</f>
        <v>2250759813481</v>
      </c>
      <c r="J1163" s="3">
        <f>+2250506061749</f>
        <v>2250506061749</v>
      </c>
      <c r="K1163" s="1" t="s">
        <v>19</v>
      </c>
      <c r="L1163" s="4" t="s">
        <v>4096</v>
      </c>
    </row>
    <row r="1164">
      <c r="A1164" s="1" t="s">
        <v>12</v>
      </c>
      <c r="B1164" s="1" t="s">
        <v>4097</v>
      </c>
      <c r="C1164" s="1" t="s">
        <v>4094</v>
      </c>
      <c r="D1164" s="1" t="s">
        <v>4098</v>
      </c>
      <c r="E1164" s="2">
        <v>37315.0</v>
      </c>
      <c r="F1164" s="1" t="s">
        <v>16</v>
      </c>
      <c r="G1164" s="1" t="s">
        <v>25</v>
      </c>
      <c r="H1164" s="1" t="s">
        <v>18</v>
      </c>
      <c r="I1164" s="3">
        <f>+2250555011243</f>
        <v>2250555011243</v>
      </c>
      <c r="J1164" s="3">
        <f>+2250778808564</f>
        <v>2250778808564</v>
      </c>
      <c r="K1164" s="1" t="s">
        <v>19</v>
      </c>
      <c r="L1164" s="4" t="s">
        <v>4099</v>
      </c>
    </row>
    <row r="1165">
      <c r="A1165" s="1" t="s">
        <v>12</v>
      </c>
      <c r="B1165" s="1" t="s">
        <v>4100</v>
      </c>
      <c r="C1165" s="1" t="s">
        <v>4101</v>
      </c>
      <c r="D1165" s="1" t="s">
        <v>4102</v>
      </c>
      <c r="E1165" s="2">
        <v>36176.0</v>
      </c>
      <c r="F1165" s="1" t="s">
        <v>16</v>
      </c>
      <c r="G1165" s="1" t="s">
        <v>82</v>
      </c>
      <c r="H1165" s="1" t="s">
        <v>18</v>
      </c>
      <c r="I1165" s="3">
        <f>+2250768266542</f>
        <v>2250768266542</v>
      </c>
      <c r="J1165" s="3">
        <f>+22507971531</f>
        <v>22507971531</v>
      </c>
      <c r="K1165" s="1" t="s">
        <v>19</v>
      </c>
      <c r="L1165" s="4" t="s">
        <v>4103</v>
      </c>
    </row>
    <row r="1166">
      <c r="A1166" s="1" t="s">
        <v>12</v>
      </c>
      <c r="B1166" s="1" t="s">
        <v>4104</v>
      </c>
      <c r="C1166" s="1" t="s">
        <v>4105</v>
      </c>
      <c r="D1166" s="1" t="s">
        <v>4106</v>
      </c>
      <c r="E1166" s="2">
        <v>38085.0</v>
      </c>
      <c r="F1166" s="1" t="s">
        <v>62</v>
      </c>
      <c r="G1166" s="1" t="s">
        <v>17</v>
      </c>
      <c r="H1166" s="1" t="s">
        <v>18</v>
      </c>
      <c r="I1166" s="3">
        <f t="shared" ref="I1166:J1166" si="28">+2250714334675</f>
        <v>2250714334675</v>
      </c>
      <c r="J1166" s="3">
        <f t="shared" si="28"/>
        <v>2250714334675</v>
      </c>
      <c r="K1166" s="1" t="s">
        <v>19</v>
      </c>
      <c r="L1166" s="4" t="s">
        <v>4107</v>
      </c>
    </row>
    <row r="1167">
      <c r="A1167" s="1" t="s">
        <v>12</v>
      </c>
      <c r="B1167" s="1" t="s">
        <v>4108</v>
      </c>
      <c r="C1167" s="1" t="s">
        <v>4109</v>
      </c>
      <c r="D1167" s="1" t="s">
        <v>4110</v>
      </c>
      <c r="E1167" s="2">
        <v>37595.0</v>
      </c>
      <c r="F1167" s="1" t="s">
        <v>167</v>
      </c>
      <c r="G1167" s="1" t="s">
        <v>17</v>
      </c>
      <c r="H1167" s="1" t="s">
        <v>18</v>
      </c>
      <c r="I1167" s="3">
        <f>+2250779386774</f>
        <v>2250779386774</v>
      </c>
      <c r="J1167" s="3">
        <f>+2250556136801</f>
        <v>2250556136801</v>
      </c>
      <c r="K1167" s="1" t="s">
        <v>19</v>
      </c>
      <c r="L1167" s="4" t="s">
        <v>4111</v>
      </c>
    </row>
    <row r="1168">
      <c r="A1168" s="1" t="s">
        <v>12</v>
      </c>
      <c r="B1168" s="1" t="s">
        <v>4112</v>
      </c>
      <c r="C1168" s="1" t="s">
        <v>4113</v>
      </c>
      <c r="D1168" s="1" t="s">
        <v>4114</v>
      </c>
      <c r="E1168" s="2">
        <v>37201.0</v>
      </c>
      <c r="F1168" s="1" t="s">
        <v>53</v>
      </c>
      <c r="G1168" s="1" t="s">
        <v>17</v>
      </c>
      <c r="H1168" s="1" t="s">
        <v>18</v>
      </c>
      <c r="I1168" s="3">
        <f>+2250576464440</f>
        <v>2250576464440</v>
      </c>
      <c r="J1168" s="3">
        <f>+2250707055681</f>
        <v>2250707055681</v>
      </c>
      <c r="K1168" s="1" t="s">
        <v>19</v>
      </c>
      <c r="L1168" s="4" t="s">
        <v>4115</v>
      </c>
    </row>
    <row r="1169">
      <c r="A1169" s="1" t="s">
        <v>12</v>
      </c>
      <c r="B1169" s="1" t="s">
        <v>4116</v>
      </c>
      <c r="C1169" s="1" t="s">
        <v>4117</v>
      </c>
      <c r="D1169" s="1" t="s">
        <v>4118</v>
      </c>
      <c r="E1169" s="2">
        <v>38080.0</v>
      </c>
      <c r="F1169" s="1" t="s">
        <v>16</v>
      </c>
      <c r="G1169" s="1" t="s">
        <v>17</v>
      </c>
      <c r="H1169" s="1" t="s">
        <v>18</v>
      </c>
      <c r="I1169" s="3">
        <f>+2250586428922</f>
        <v>2250586428922</v>
      </c>
      <c r="J1169" s="3">
        <f>+2250506166615</f>
        <v>2250506166615</v>
      </c>
      <c r="K1169" s="1" t="s">
        <v>19</v>
      </c>
      <c r="L1169" s="4" t="s">
        <v>4119</v>
      </c>
    </row>
    <row r="1170">
      <c r="A1170" s="1" t="s">
        <v>12</v>
      </c>
      <c r="B1170" s="1" t="s">
        <v>4120</v>
      </c>
      <c r="C1170" s="1" t="s">
        <v>4121</v>
      </c>
      <c r="D1170" s="1" t="s">
        <v>4122</v>
      </c>
      <c r="E1170" s="2">
        <v>38355.0</v>
      </c>
      <c r="F1170" s="1" t="s">
        <v>30</v>
      </c>
      <c r="G1170" s="1" t="s">
        <v>76</v>
      </c>
      <c r="H1170" s="1" t="s">
        <v>32</v>
      </c>
      <c r="I1170" s="3">
        <f t="shared" ref="I1170:J1170" si="29">+2250101706094</f>
        <v>2250101706094</v>
      </c>
      <c r="J1170" s="3">
        <f t="shared" si="29"/>
        <v>2250101706094</v>
      </c>
      <c r="K1170" s="1" t="s">
        <v>19</v>
      </c>
      <c r="L1170" s="4" t="s">
        <v>4123</v>
      </c>
    </row>
    <row r="1171">
      <c r="A1171" s="1" t="s">
        <v>12</v>
      </c>
      <c r="B1171" s="1" t="s">
        <v>4124</v>
      </c>
      <c r="C1171" s="1" t="s">
        <v>4121</v>
      </c>
      <c r="D1171" s="1" t="s">
        <v>4125</v>
      </c>
      <c r="E1171" s="2">
        <v>37433.0</v>
      </c>
      <c r="F1171" s="1" t="s">
        <v>62</v>
      </c>
      <c r="G1171" s="1" t="s">
        <v>17</v>
      </c>
      <c r="H1171" s="1" t="s">
        <v>18</v>
      </c>
      <c r="I1171" s="3">
        <f>+2250101368053</f>
        <v>2250101368053</v>
      </c>
      <c r="J1171" s="3">
        <f>+2250152036040</f>
        <v>2250152036040</v>
      </c>
      <c r="K1171" s="1" t="s">
        <v>19</v>
      </c>
      <c r="L1171" s="4" t="s">
        <v>4126</v>
      </c>
    </row>
    <row r="1172">
      <c r="A1172" s="1" t="s">
        <v>12</v>
      </c>
      <c r="B1172" s="1" t="s">
        <v>4127</v>
      </c>
      <c r="C1172" s="1" t="s">
        <v>4128</v>
      </c>
      <c r="D1172" s="1" t="s">
        <v>4129</v>
      </c>
      <c r="E1172" s="2">
        <v>38060.0</v>
      </c>
      <c r="F1172" s="1" t="s">
        <v>53</v>
      </c>
      <c r="G1172" s="1" t="s">
        <v>17</v>
      </c>
      <c r="H1172" s="1" t="s">
        <v>18</v>
      </c>
      <c r="I1172" s="3">
        <f>+2250748881009</f>
        <v>2250748881009</v>
      </c>
      <c r="J1172" s="3">
        <f>+2250546845204</f>
        <v>2250546845204</v>
      </c>
      <c r="K1172" s="1" t="s">
        <v>19</v>
      </c>
      <c r="L1172" s="4" t="s">
        <v>4130</v>
      </c>
    </row>
    <row r="1173">
      <c r="A1173" s="1" t="s">
        <v>12</v>
      </c>
      <c r="B1173" s="1" t="s">
        <v>4131</v>
      </c>
      <c r="C1173" s="1" t="s">
        <v>4132</v>
      </c>
      <c r="D1173" s="1" t="s">
        <v>4133</v>
      </c>
      <c r="E1173" s="2">
        <v>37386.0</v>
      </c>
      <c r="F1173" s="1" t="s">
        <v>167</v>
      </c>
      <c r="G1173" s="1" t="s">
        <v>17</v>
      </c>
      <c r="H1173" s="1" t="s">
        <v>18</v>
      </c>
      <c r="I1173" s="3">
        <f>+2250102386777</f>
        <v>2250102386777</v>
      </c>
      <c r="J1173" s="3">
        <f>+2250103825530</f>
        <v>2250103825530</v>
      </c>
      <c r="K1173" s="1" t="s">
        <v>19</v>
      </c>
      <c r="L1173" s="4" t="s">
        <v>4134</v>
      </c>
    </row>
    <row r="1174">
      <c r="A1174" s="1" t="s">
        <v>12</v>
      </c>
      <c r="B1174" s="1" t="s">
        <v>4135</v>
      </c>
      <c r="C1174" s="1" t="s">
        <v>4136</v>
      </c>
      <c r="D1174" s="1" t="s">
        <v>4137</v>
      </c>
      <c r="E1174" s="2">
        <v>38689.0</v>
      </c>
      <c r="F1174" s="1" t="s">
        <v>75</v>
      </c>
      <c r="G1174" s="1" t="s">
        <v>76</v>
      </c>
      <c r="H1174" s="1" t="s">
        <v>32</v>
      </c>
      <c r="I1174" s="3">
        <f>+2250160086874</f>
        <v>2250160086874</v>
      </c>
      <c r="J1174" s="3">
        <f>+2250101400589</f>
        <v>2250101400589</v>
      </c>
      <c r="K1174" s="1" t="s">
        <v>19</v>
      </c>
      <c r="L1174" s="4" t="s">
        <v>4138</v>
      </c>
    </row>
    <row r="1175">
      <c r="A1175" s="1" t="s">
        <v>12</v>
      </c>
      <c r="B1175" s="1" t="s">
        <v>4139</v>
      </c>
      <c r="C1175" s="1" t="s">
        <v>4140</v>
      </c>
      <c r="D1175" s="1" t="s">
        <v>4141</v>
      </c>
      <c r="E1175" s="5">
        <v>36850.0</v>
      </c>
      <c r="F1175" s="1" t="s">
        <v>16</v>
      </c>
      <c r="G1175" s="1" t="s">
        <v>82</v>
      </c>
      <c r="H1175" s="1" t="s">
        <v>18</v>
      </c>
      <c r="I1175" s="3">
        <f>+2250142073708</f>
        <v>2250142073708</v>
      </c>
      <c r="J1175" s="3">
        <f>+2250777714409</f>
        <v>2250777714409</v>
      </c>
      <c r="K1175" s="1" t="s">
        <v>19</v>
      </c>
      <c r="L1175" s="4" t="s">
        <v>4142</v>
      </c>
    </row>
    <row r="1176">
      <c r="A1176" s="1" t="s">
        <v>12</v>
      </c>
      <c r="B1176" s="1" t="s">
        <v>4143</v>
      </c>
      <c r="C1176" s="1" t="s">
        <v>4144</v>
      </c>
      <c r="D1176" s="1" t="s">
        <v>4145</v>
      </c>
      <c r="E1176" s="2">
        <v>38261.0</v>
      </c>
      <c r="F1176" s="1" t="s">
        <v>70</v>
      </c>
      <c r="G1176" s="1" t="s">
        <v>25</v>
      </c>
      <c r="H1176" s="1" t="s">
        <v>18</v>
      </c>
      <c r="I1176" s="3">
        <f>+2250140558310</f>
        <v>2250140558310</v>
      </c>
      <c r="J1176" s="3">
        <f>+2250708892015</f>
        <v>2250708892015</v>
      </c>
      <c r="K1176" s="1" t="s">
        <v>19</v>
      </c>
      <c r="L1176" s="4" t="s">
        <v>4146</v>
      </c>
    </row>
    <row r="1177">
      <c r="A1177" s="1" t="s">
        <v>12</v>
      </c>
      <c r="B1177" s="1" t="s">
        <v>4147</v>
      </c>
      <c r="C1177" s="1" t="s">
        <v>4148</v>
      </c>
      <c r="D1177" s="1" t="s">
        <v>4149</v>
      </c>
      <c r="E1177" s="5">
        <v>39000.0</v>
      </c>
      <c r="F1177" s="1" t="s">
        <v>167</v>
      </c>
      <c r="G1177" s="1" t="s">
        <v>17</v>
      </c>
      <c r="H1177" s="1" t="s">
        <v>18</v>
      </c>
      <c r="I1177" s="3">
        <f>+2250789706797</f>
        <v>2250789706797</v>
      </c>
      <c r="J1177" s="3">
        <f>+2250707695725</f>
        <v>2250707695725</v>
      </c>
      <c r="K1177" s="1" t="s">
        <v>19</v>
      </c>
      <c r="L1177" s="4" t="s">
        <v>4150</v>
      </c>
    </row>
    <row r="1178">
      <c r="A1178" s="1" t="s">
        <v>12</v>
      </c>
      <c r="B1178" s="1" t="s">
        <v>4151</v>
      </c>
      <c r="C1178" s="1" t="s">
        <v>4148</v>
      </c>
      <c r="D1178" s="1" t="s">
        <v>4152</v>
      </c>
      <c r="E1178" s="2">
        <v>37800.0</v>
      </c>
      <c r="F1178" s="1" t="s">
        <v>53</v>
      </c>
      <c r="G1178" s="1" t="s">
        <v>25</v>
      </c>
      <c r="H1178" s="1" t="s">
        <v>18</v>
      </c>
      <c r="I1178" s="3">
        <f>+2250747190327</f>
        <v>2250747190327</v>
      </c>
      <c r="J1178" s="3">
        <f>+2250160417742</f>
        <v>2250160417742</v>
      </c>
      <c r="K1178" s="1" t="s">
        <v>19</v>
      </c>
      <c r="L1178" s="4" t="s">
        <v>4153</v>
      </c>
    </row>
    <row r="1179">
      <c r="A1179" s="1" t="s">
        <v>12</v>
      </c>
      <c r="B1179" s="1" t="s">
        <v>4154</v>
      </c>
      <c r="C1179" s="1" t="s">
        <v>4148</v>
      </c>
      <c r="D1179" s="1" t="s">
        <v>4155</v>
      </c>
      <c r="E1179" s="2">
        <v>38146.0</v>
      </c>
      <c r="F1179" s="1" t="s">
        <v>62</v>
      </c>
      <c r="G1179" s="1" t="s">
        <v>25</v>
      </c>
      <c r="H1179" s="1" t="s">
        <v>18</v>
      </c>
      <c r="I1179" s="3">
        <f>+2250554689820</f>
        <v>2250554689820</v>
      </c>
      <c r="J1179" s="3">
        <f>+2250575141597</f>
        <v>2250575141597</v>
      </c>
      <c r="K1179" s="1" t="s">
        <v>19</v>
      </c>
      <c r="L1179" s="4" t="s">
        <v>4156</v>
      </c>
    </row>
    <row r="1180">
      <c r="A1180" s="1" t="s">
        <v>12</v>
      </c>
      <c r="B1180" s="1" t="s">
        <v>4157</v>
      </c>
      <c r="C1180" s="1" t="s">
        <v>4148</v>
      </c>
      <c r="D1180" s="1" t="s">
        <v>4158</v>
      </c>
      <c r="E1180" s="2">
        <v>36591.0</v>
      </c>
      <c r="F1180" s="1" t="s">
        <v>62</v>
      </c>
      <c r="G1180" s="1" t="s">
        <v>17</v>
      </c>
      <c r="H1180" s="1" t="s">
        <v>18</v>
      </c>
      <c r="I1180" s="3">
        <f>+2250749344397</f>
        <v>2250749344397</v>
      </c>
      <c r="J1180" s="3">
        <f>+2250504479337</f>
        <v>2250504479337</v>
      </c>
      <c r="K1180" s="1" t="s">
        <v>19</v>
      </c>
      <c r="L1180" s="4" t="s">
        <v>4159</v>
      </c>
    </row>
    <row r="1181">
      <c r="A1181" s="1" t="s">
        <v>12</v>
      </c>
      <c r="B1181" s="1" t="s">
        <v>4160</v>
      </c>
      <c r="C1181" s="1" t="s">
        <v>4148</v>
      </c>
      <c r="D1181" s="1" t="s">
        <v>4161</v>
      </c>
      <c r="E1181" s="2">
        <v>38658.0</v>
      </c>
      <c r="F1181" s="1" t="s">
        <v>75</v>
      </c>
      <c r="G1181" s="1" t="s">
        <v>31</v>
      </c>
      <c r="H1181" s="1" t="s">
        <v>32</v>
      </c>
      <c r="I1181" s="3">
        <f>+2250797193203</f>
        <v>2250797193203</v>
      </c>
      <c r="J1181" s="3">
        <f>+2250707555739</f>
        <v>2250707555739</v>
      </c>
      <c r="K1181" s="1" t="s">
        <v>19</v>
      </c>
      <c r="L1181" s="4" t="s">
        <v>4162</v>
      </c>
    </row>
    <row r="1182">
      <c r="A1182" s="1" t="s">
        <v>12</v>
      </c>
      <c r="B1182" s="1" t="s">
        <v>4163</v>
      </c>
      <c r="C1182" s="1" t="s">
        <v>4164</v>
      </c>
      <c r="D1182" s="1" t="s">
        <v>4165</v>
      </c>
      <c r="E1182" s="2">
        <v>38150.0</v>
      </c>
      <c r="F1182" s="1" t="s">
        <v>48</v>
      </c>
      <c r="G1182" s="1" t="s">
        <v>76</v>
      </c>
      <c r="H1182" s="1" t="s">
        <v>32</v>
      </c>
      <c r="I1182" s="3">
        <f>+2250171799525</f>
        <v>2250171799525</v>
      </c>
      <c r="J1182" s="3">
        <f>+2250101197022</f>
        <v>2250101197022</v>
      </c>
      <c r="K1182" s="1" t="s">
        <v>19</v>
      </c>
      <c r="L1182" s="4" t="s">
        <v>4166</v>
      </c>
    </row>
    <row r="1183">
      <c r="A1183" s="1" t="s">
        <v>12</v>
      </c>
      <c r="B1183" s="1" t="s">
        <v>4167</v>
      </c>
      <c r="C1183" s="1" t="s">
        <v>4168</v>
      </c>
      <c r="D1183" s="1" t="s">
        <v>4169</v>
      </c>
      <c r="E1183" s="2">
        <v>37260.0</v>
      </c>
      <c r="F1183" s="1" t="s">
        <v>37</v>
      </c>
      <c r="G1183" s="1" t="s">
        <v>82</v>
      </c>
      <c r="H1183" s="1" t="s">
        <v>18</v>
      </c>
      <c r="I1183" s="3">
        <f t="shared" ref="I1183:I1184" si="30">+2250586353094</f>
        <v>2250586353094</v>
      </c>
      <c r="J1183" s="3">
        <f>+2250749529390</f>
        <v>2250749529390</v>
      </c>
      <c r="K1183" s="1" t="s">
        <v>19</v>
      </c>
      <c r="L1183" s="4" t="s">
        <v>4170</v>
      </c>
    </row>
    <row r="1184">
      <c r="A1184" s="1" t="s">
        <v>12</v>
      </c>
      <c r="B1184" s="1" t="s">
        <v>4171</v>
      </c>
      <c r="C1184" s="1" t="s">
        <v>4168</v>
      </c>
      <c r="D1184" s="1" t="s">
        <v>4172</v>
      </c>
      <c r="E1184" s="2">
        <v>38356.0</v>
      </c>
      <c r="F1184" s="1" t="s">
        <v>16</v>
      </c>
      <c r="G1184" s="1" t="s">
        <v>25</v>
      </c>
      <c r="H1184" s="1" t="s">
        <v>18</v>
      </c>
      <c r="I1184" s="3">
        <f t="shared" si="30"/>
        <v>2250586353094</v>
      </c>
      <c r="J1184" s="3">
        <f>+2250749524390</f>
        <v>2250749524390</v>
      </c>
      <c r="K1184" s="1" t="s">
        <v>19</v>
      </c>
      <c r="L1184" s="4" t="s">
        <v>4173</v>
      </c>
    </row>
    <row r="1185">
      <c r="A1185" s="1" t="s">
        <v>12</v>
      </c>
      <c r="B1185" s="1" t="s">
        <v>4174</v>
      </c>
      <c r="C1185" s="1" t="s">
        <v>4175</v>
      </c>
      <c r="D1185" s="1" t="s">
        <v>4176</v>
      </c>
      <c r="E1185" s="5">
        <v>39041.0</v>
      </c>
      <c r="F1185" s="1" t="s">
        <v>87</v>
      </c>
      <c r="G1185" s="1" t="s">
        <v>76</v>
      </c>
      <c r="H1185" s="1" t="s">
        <v>32</v>
      </c>
      <c r="I1185" s="3">
        <f t="shared" ref="I1185:J1185" si="31">+2250757902780</f>
        <v>2250757902780</v>
      </c>
      <c r="J1185" s="3">
        <f t="shared" si="31"/>
        <v>2250757902780</v>
      </c>
      <c r="K1185" s="1" t="s">
        <v>19</v>
      </c>
      <c r="L1185" s="4" t="s">
        <v>4177</v>
      </c>
    </row>
    <row r="1186">
      <c r="A1186" s="1" t="s">
        <v>12</v>
      </c>
      <c r="B1186" s="1" t="s">
        <v>4178</v>
      </c>
      <c r="C1186" s="1" t="s">
        <v>4179</v>
      </c>
      <c r="D1186" s="1" t="s">
        <v>4180</v>
      </c>
      <c r="E1186" s="2">
        <v>39211.0</v>
      </c>
      <c r="F1186" s="1" t="s">
        <v>30</v>
      </c>
      <c r="G1186" s="1" t="s">
        <v>25</v>
      </c>
      <c r="H1186" s="1" t="s">
        <v>18</v>
      </c>
      <c r="I1186" s="3">
        <f>+2250101657805</f>
        <v>2250101657805</v>
      </c>
      <c r="J1186" s="3">
        <f>+2250102503980</f>
        <v>2250102503980</v>
      </c>
      <c r="K1186" s="1" t="s">
        <v>19</v>
      </c>
      <c r="L1186" s="4" t="s">
        <v>4181</v>
      </c>
    </row>
    <row r="1187">
      <c r="A1187" s="1" t="s">
        <v>12</v>
      </c>
      <c r="B1187" s="1" t="s">
        <v>4182</v>
      </c>
      <c r="C1187" s="1" t="s">
        <v>4183</v>
      </c>
      <c r="D1187" s="1" t="s">
        <v>4184</v>
      </c>
      <c r="E1187" s="2">
        <v>38462.0</v>
      </c>
      <c r="F1187" s="1" t="s">
        <v>75</v>
      </c>
      <c r="G1187" s="1" t="s">
        <v>31</v>
      </c>
      <c r="H1187" s="1" t="s">
        <v>32</v>
      </c>
      <c r="I1187" s="3">
        <f>+2250749568580</f>
        <v>2250749568580</v>
      </c>
      <c r="J1187" s="3">
        <f>+2250170975412</f>
        <v>2250170975412</v>
      </c>
      <c r="K1187" s="1" t="s">
        <v>19</v>
      </c>
      <c r="L1187" s="4" t="s">
        <v>4185</v>
      </c>
    </row>
    <row r="1188">
      <c r="A1188" s="1" t="s">
        <v>12</v>
      </c>
      <c r="B1188" s="1" t="s">
        <v>4186</v>
      </c>
      <c r="C1188" s="1" t="s">
        <v>4187</v>
      </c>
      <c r="D1188" s="1" t="s">
        <v>4188</v>
      </c>
      <c r="E1188" s="2">
        <v>38526.0</v>
      </c>
      <c r="F1188" s="1" t="s">
        <v>24</v>
      </c>
      <c r="G1188" s="1" t="s">
        <v>25</v>
      </c>
      <c r="H1188" s="1" t="s">
        <v>18</v>
      </c>
      <c r="I1188" s="3">
        <f>+2250143178938</f>
        <v>2250143178938</v>
      </c>
      <c r="J1188" s="3">
        <f>+2250505190220</f>
        <v>2250505190220</v>
      </c>
      <c r="K1188" s="1" t="s">
        <v>19</v>
      </c>
      <c r="L1188" s="4" t="s">
        <v>4189</v>
      </c>
    </row>
    <row r="1189">
      <c r="A1189" s="1" t="s">
        <v>12</v>
      </c>
      <c r="B1189" s="1" t="s">
        <v>4190</v>
      </c>
      <c r="C1189" s="1" t="s">
        <v>4191</v>
      </c>
      <c r="D1189" s="1" t="s">
        <v>4192</v>
      </c>
      <c r="E1189" s="2">
        <v>36303.0</v>
      </c>
      <c r="F1189" s="1" t="s">
        <v>30</v>
      </c>
      <c r="G1189" s="1" t="s">
        <v>31</v>
      </c>
      <c r="H1189" s="1" t="s">
        <v>32</v>
      </c>
      <c r="I1189" s="3">
        <f>+2250153269164</f>
        <v>2250153269164</v>
      </c>
      <c r="J1189" s="3">
        <f>+2250707908448</f>
        <v>2250707908448</v>
      </c>
      <c r="K1189" s="1" t="s">
        <v>19</v>
      </c>
      <c r="L1189" s="4" t="s">
        <v>4193</v>
      </c>
    </row>
    <row r="1190">
      <c r="A1190" s="1" t="s">
        <v>12</v>
      </c>
      <c r="B1190" s="1" t="s">
        <v>4194</v>
      </c>
      <c r="C1190" s="1" t="s">
        <v>4195</v>
      </c>
      <c r="D1190" s="1" t="s">
        <v>4196</v>
      </c>
      <c r="E1190" s="2">
        <v>37634.0</v>
      </c>
      <c r="F1190" s="1" t="s">
        <v>342</v>
      </c>
      <c r="G1190" s="1" t="s">
        <v>82</v>
      </c>
      <c r="H1190" s="1" t="s">
        <v>18</v>
      </c>
      <c r="I1190" s="3">
        <f>+2250101883960</f>
        <v>2250101883960</v>
      </c>
      <c r="J1190" s="3">
        <f>+2250101420647</f>
        <v>2250101420647</v>
      </c>
      <c r="K1190" s="1" t="s">
        <v>19</v>
      </c>
      <c r="L1190" s="4" t="s">
        <v>4197</v>
      </c>
    </row>
    <row r="1191">
      <c r="A1191" s="1" t="s">
        <v>12</v>
      </c>
      <c r="B1191" s="1" t="s">
        <v>4198</v>
      </c>
      <c r="C1191" s="1" t="s">
        <v>4199</v>
      </c>
      <c r="D1191" s="1" t="s">
        <v>4200</v>
      </c>
      <c r="E1191" s="2">
        <v>38606.0</v>
      </c>
      <c r="F1191" s="1" t="s">
        <v>101</v>
      </c>
      <c r="G1191" s="1" t="s">
        <v>76</v>
      </c>
      <c r="H1191" s="1" t="s">
        <v>32</v>
      </c>
      <c r="I1191" s="3">
        <f>+2250706488318</f>
        <v>2250706488318</v>
      </c>
      <c r="J1191" s="3">
        <f>+2250708583573</f>
        <v>2250708583573</v>
      </c>
      <c r="K1191" s="1" t="s">
        <v>19</v>
      </c>
      <c r="L1191" s="4" t="s">
        <v>4201</v>
      </c>
    </row>
    <row r="1192">
      <c r="A1192" s="1" t="s">
        <v>12</v>
      </c>
      <c r="B1192" s="1" t="s">
        <v>4202</v>
      </c>
      <c r="C1192" s="1" t="s">
        <v>4199</v>
      </c>
      <c r="D1192" s="1" t="s">
        <v>4203</v>
      </c>
      <c r="E1192" s="2">
        <v>37736.0</v>
      </c>
      <c r="F1192" s="1" t="s">
        <v>70</v>
      </c>
      <c r="G1192" s="1" t="s">
        <v>31</v>
      </c>
      <c r="H1192" s="1" t="s">
        <v>32</v>
      </c>
      <c r="I1192" s="3">
        <f>+2250704751025</f>
        <v>2250704751025</v>
      </c>
      <c r="J1192" s="3">
        <f>+2250708857214</f>
        <v>2250708857214</v>
      </c>
      <c r="K1192" s="1" t="s">
        <v>19</v>
      </c>
      <c r="L1192" s="4" t="s">
        <v>4204</v>
      </c>
    </row>
    <row r="1193">
      <c r="A1193" s="1" t="s">
        <v>12</v>
      </c>
      <c r="B1193" s="1" t="s">
        <v>4205</v>
      </c>
      <c r="C1193" s="1" t="s">
        <v>4199</v>
      </c>
      <c r="D1193" s="1" t="s">
        <v>4206</v>
      </c>
      <c r="E1193" s="2">
        <v>37751.0</v>
      </c>
      <c r="F1193" s="1" t="s">
        <v>92</v>
      </c>
      <c r="G1193" s="1" t="s">
        <v>76</v>
      </c>
      <c r="H1193" s="1" t="s">
        <v>32</v>
      </c>
      <c r="I1193" s="3">
        <f>+2250778020952</f>
        <v>2250778020952</v>
      </c>
      <c r="J1193" s="3">
        <f>+2250708133489</f>
        <v>2250708133489</v>
      </c>
      <c r="K1193" s="1" t="s">
        <v>19</v>
      </c>
      <c r="L1193" s="4" t="s">
        <v>4207</v>
      </c>
    </row>
    <row r="1194">
      <c r="A1194" s="1" t="s">
        <v>12</v>
      </c>
      <c r="B1194" s="1" t="s">
        <v>4208</v>
      </c>
      <c r="C1194" s="1" t="s">
        <v>4199</v>
      </c>
      <c r="D1194" s="1" t="s">
        <v>4209</v>
      </c>
      <c r="E1194" s="2">
        <v>38150.0</v>
      </c>
      <c r="F1194" s="1" t="s">
        <v>62</v>
      </c>
      <c r="G1194" s="1" t="s">
        <v>17</v>
      </c>
      <c r="H1194" s="1" t="s">
        <v>18</v>
      </c>
      <c r="I1194" s="3">
        <f>+2250142323039</f>
        <v>2250142323039</v>
      </c>
      <c r="J1194" s="3">
        <f>+2250102500178</f>
        <v>2250102500178</v>
      </c>
      <c r="K1194" s="1" t="s">
        <v>19</v>
      </c>
      <c r="L1194" s="4" t="s">
        <v>4210</v>
      </c>
    </row>
    <row r="1195">
      <c r="A1195" s="1" t="s">
        <v>12</v>
      </c>
      <c r="B1195" s="1" t="s">
        <v>4211</v>
      </c>
      <c r="C1195" s="1" t="s">
        <v>4199</v>
      </c>
      <c r="D1195" s="1" t="s">
        <v>4212</v>
      </c>
      <c r="E1195" s="2">
        <v>38073.0</v>
      </c>
      <c r="F1195" s="1" t="s">
        <v>351</v>
      </c>
      <c r="G1195" s="1" t="s">
        <v>76</v>
      </c>
      <c r="H1195" s="1" t="s">
        <v>32</v>
      </c>
      <c r="I1195" s="3">
        <f>+2250150512457</f>
        <v>2250150512457</v>
      </c>
      <c r="J1195" s="3">
        <f>+2250504792920</f>
        <v>2250504792920</v>
      </c>
      <c r="K1195" s="1" t="s">
        <v>19</v>
      </c>
      <c r="L1195" s="4" t="s">
        <v>4213</v>
      </c>
    </row>
    <row r="1196">
      <c r="A1196" s="1" t="s">
        <v>12</v>
      </c>
      <c r="B1196" s="1" t="s">
        <v>4214</v>
      </c>
      <c r="C1196" s="1" t="s">
        <v>4199</v>
      </c>
      <c r="D1196" s="1" t="s">
        <v>4215</v>
      </c>
      <c r="E1196" s="2">
        <v>38295.0</v>
      </c>
      <c r="F1196" s="1" t="s">
        <v>48</v>
      </c>
      <c r="G1196" s="1" t="s">
        <v>76</v>
      </c>
      <c r="H1196" s="1" t="s">
        <v>32</v>
      </c>
      <c r="I1196" s="3">
        <f>+2250504030758</f>
        <v>2250504030758</v>
      </c>
      <c r="J1196" s="3">
        <f>+2250768839129</f>
        <v>2250768839129</v>
      </c>
      <c r="K1196" s="1" t="s">
        <v>19</v>
      </c>
      <c r="L1196" s="4" t="s">
        <v>4216</v>
      </c>
    </row>
    <row r="1197">
      <c r="A1197" s="1" t="s">
        <v>12</v>
      </c>
      <c r="B1197" s="1" t="s">
        <v>4217</v>
      </c>
      <c r="C1197" s="1" t="s">
        <v>4199</v>
      </c>
      <c r="D1197" s="1" t="s">
        <v>4218</v>
      </c>
      <c r="E1197" s="2">
        <v>37316.0</v>
      </c>
      <c r="F1197" s="1" t="s">
        <v>16</v>
      </c>
      <c r="G1197" s="1" t="s">
        <v>82</v>
      </c>
      <c r="H1197" s="1" t="s">
        <v>18</v>
      </c>
      <c r="I1197" s="3">
        <f>+2250788603827</f>
        <v>2250788603827</v>
      </c>
      <c r="J1197" s="3">
        <f>+2250708643782</f>
        <v>2250708643782</v>
      </c>
      <c r="K1197" s="1" t="s">
        <v>19</v>
      </c>
      <c r="L1197" s="4" t="s">
        <v>4219</v>
      </c>
    </row>
    <row r="1198">
      <c r="A1198" s="1" t="s">
        <v>12</v>
      </c>
      <c r="B1198" s="1" t="s">
        <v>4220</v>
      </c>
      <c r="C1198" s="1" t="s">
        <v>4221</v>
      </c>
      <c r="D1198" s="1" t="s">
        <v>4222</v>
      </c>
      <c r="E1198" s="2">
        <v>35874.0</v>
      </c>
      <c r="F1198" s="1" t="s">
        <v>30</v>
      </c>
      <c r="G1198" s="1" t="s">
        <v>76</v>
      </c>
      <c r="H1198" s="1" t="s">
        <v>32</v>
      </c>
      <c r="I1198" s="3">
        <f>+2250707497566</f>
        <v>2250707497566</v>
      </c>
      <c r="J1198" s="3">
        <f>+2250787031291</f>
        <v>2250787031291</v>
      </c>
      <c r="K1198" s="1" t="s">
        <v>19</v>
      </c>
      <c r="L1198" s="4" t="s">
        <v>4223</v>
      </c>
    </row>
    <row r="1199">
      <c r="A1199" s="1" t="s">
        <v>12</v>
      </c>
      <c r="B1199" s="1" t="s">
        <v>4224</v>
      </c>
      <c r="C1199" s="1" t="s">
        <v>4225</v>
      </c>
      <c r="D1199" s="1" t="s">
        <v>4226</v>
      </c>
      <c r="E1199" s="2">
        <v>37687.0</v>
      </c>
      <c r="F1199" s="1" t="s">
        <v>53</v>
      </c>
      <c r="G1199" s="1" t="s">
        <v>25</v>
      </c>
      <c r="H1199" s="1" t="s">
        <v>18</v>
      </c>
      <c r="I1199" s="3">
        <f>+2250798796334</f>
        <v>2250798796334</v>
      </c>
      <c r="J1199" s="3">
        <f>+2250709166303</f>
        <v>2250709166303</v>
      </c>
      <c r="K1199" s="1" t="s">
        <v>19</v>
      </c>
      <c r="L1199" s="4" t="s">
        <v>4227</v>
      </c>
    </row>
    <row r="1200">
      <c r="A1200" s="1" t="s">
        <v>12</v>
      </c>
      <c r="B1200" s="1" t="s">
        <v>4228</v>
      </c>
      <c r="C1200" s="1" t="s">
        <v>4229</v>
      </c>
      <c r="D1200" s="1" t="s">
        <v>4230</v>
      </c>
      <c r="E1200" s="2">
        <v>38254.0</v>
      </c>
      <c r="F1200" s="1" t="s">
        <v>53</v>
      </c>
      <c r="G1200" s="1" t="s">
        <v>17</v>
      </c>
      <c r="H1200" s="1" t="s">
        <v>18</v>
      </c>
      <c r="I1200" s="3">
        <f>+2250504777569</f>
        <v>2250504777569</v>
      </c>
      <c r="J1200" s="3">
        <f>+2250505874435</f>
        <v>2250505874435</v>
      </c>
      <c r="K1200" s="1" t="s">
        <v>19</v>
      </c>
      <c r="L1200" s="4" t="s">
        <v>4231</v>
      </c>
    </row>
    <row r="1201">
      <c r="A1201" s="1" t="s">
        <v>12</v>
      </c>
      <c r="B1201" s="1" t="s">
        <v>4232</v>
      </c>
      <c r="C1201" s="1" t="s">
        <v>4233</v>
      </c>
      <c r="D1201" s="1" t="s">
        <v>4234</v>
      </c>
      <c r="E1201" s="2">
        <v>38527.0</v>
      </c>
      <c r="F1201" s="1" t="s">
        <v>16</v>
      </c>
      <c r="G1201" s="1" t="s">
        <v>25</v>
      </c>
      <c r="H1201" s="1" t="s">
        <v>18</v>
      </c>
      <c r="I1201" s="3">
        <f>+2250170996808</f>
        <v>2250170996808</v>
      </c>
      <c r="J1201" s="3">
        <f>+2250707698773</f>
        <v>2250707698773</v>
      </c>
      <c r="K1201" s="1" t="s">
        <v>19</v>
      </c>
      <c r="L1201" s="4" t="s">
        <v>4235</v>
      </c>
    </row>
    <row r="1202">
      <c r="A1202" s="1" t="s">
        <v>12</v>
      </c>
      <c r="B1202" s="1" t="s">
        <v>4236</v>
      </c>
      <c r="C1202" s="1" t="s">
        <v>4237</v>
      </c>
      <c r="D1202" s="1" t="s">
        <v>4238</v>
      </c>
      <c r="E1202" s="5">
        <v>38286.0</v>
      </c>
      <c r="F1202" s="1" t="s">
        <v>62</v>
      </c>
      <c r="G1202" s="1" t="s">
        <v>25</v>
      </c>
      <c r="H1202" s="1" t="s">
        <v>18</v>
      </c>
      <c r="I1202" s="3">
        <f>+2250142458361</f>
        <v>2250142458361</v>
      </c>
      <c r="J1202" s="3">
        <f>+2250140273081</f>
        <v>2250140273081</v>
      </c>
      <c r="K1202" s="1" t="s">
        <v>19</v>
      </c>
      <c r="L1202" s="4" t="s">
        <v>4239</v>
      </c>
    </row>
    <row r="1203">
      <c r="A1203" s="1" t="s">
        <v>12</v>
      </c>
      <c r="B1203" s="1" t="s">
        <v>4240</v>
      </c>
      <c r="C1203" s="1" t="s">
        <v>4241</v>
      </c>
      <c r="D1203" s="1" t="s">
        <v>4242</v>
      </c>
      <c r="E1203" s="5">
        <v>38655.0</v>
      </c>
      <c r="F1203" s="1" t="s">
        <v>16</v>
      </c>
      <c r="G1203" s="1" t="s">
        <v>25</v>
      </c>
      <c r="H1203" s="1" t="s">
        <v>18</v>
      </c>
      <c r="I1203" s="3">
        <f>+2250703676511</f>
        <v>2250703676511</v>
      </c>
      <c r="J1203" s="3">
        <f>+2250506299589</f>
        <v>2250506299589</v>
      </c>
      <c r="K1203" s="1" t="s">
        <v>19</v>
      </c>
      <c r="L1203" s="4" t="s">
        <v>4243</v>
      </c>
    </row>
    <row r="1204">
      <c r="A1204" s="1" t="s">
        <v>12</v>
      </c>
      <c r="B1204" s="1" t="s">
        <v>4244</v>
      </c>
      <c r="C1204" s="1" t="s">
        <v>4245</v>
      </c>
      <c r="D1204" s="1" t="s">
        <v>4246</v>
      </c>
      <c r="E1204" s="2">
        <v>36556.0</v>
      </c>
      <c r="F1204" s="1" t="s">
        <v>155</v>
      </c>
      <c r="G1204" s="1" t="s">
        <v>82</v>
      </c>
      <c r="H1204" s="1" t="s">
        <v>18</v>
      </c>
      <c r="I1204" s="3">
        <f>+2250708579113</f>
        <v>2250708579113</v>
      </c>
      <c r="J1204" s="3">
        <f>+2250779096623</f>
        <v>2250779096623</v>
      </c>
      <c r="K1204" s="1" t="s">
        <v>19</v>
      </c>
      <c r="L1204" s="4" t="s">
        <v>4247</v>
      </c>
    </row>
    <row r="1205">
      <c r="A1205" s="1" t="s">
        <v>12</v>
      </c>
      <c r="B1205" s="1" t="s">
        <v>4248</v>
      </c>
      <c r="C1205" s="1" t="s">
        <v>4249</v>
      </c>
      <c r="D1205" s="1" t="s">
        <v>4250</v>
      </c>
      <c r="E1205" s="2">
        <v>37152.0</v>
      </c>
      <c r="F1205" s="1" t="s">
        <v>110</v>
      </c>
      <c r="G1205" s="1" t="s">
        <v>82</v>
      </c>
      <c r="H1205" s="1" t="s">
        <v>18</v>
      </c>
      <c r="I1205" s="3">
        <f>+2250150063366</f>
        <v>2250150063366</v>
      </c>
      <c r="J1205" s="3">
        <f>+2250777315612</f>
        <v>2250777315612</v>
      </c>
      <c r="K1205" s="1" t="s">
        <v>19</v>
      </c>
      <c r="L1205" s="4" t="s">
        <v>4251</v>
      </c>
    </row>
    <row r="1206">
      <c r="A1206" s="1" t="s">
        <v>12</v>
      </c>
      <c r="B1206" s="1" t="s">
        <v>4252</v>
      </c>
      <c r="C1206" s="1" t="s">
        <v>4253</v>
      </c>
      <c r="D1206" s="1" t="s">
        <v>4254</v>
      </c>
      <c r="E1206" s="2">
        <v>38020.0</v>
      </c>
      <c r="F1206" s="1" t="s">
        <v>16</v>
      </c>
      <c r="G1206" s="1" t="s">
        <v>17</v>
      </c>
      <c r="H1206" s="1" t="s">
        <v>18</v>
      </c>
      <c r="I1206" s="3">
        <f>+2250759608226</f>
        <v>2250759608226</v>
      </c>
      <c r="J1206" s="3">
        <f>+2250709989201</f>
        <v>2250709989201</v>
      </c>
      <c r="K1206" s="1" t="s">
        <v>19</v>
      </c>
      <c r="L1206" s="4" t="s">
        <v>4255</v>
      </c>
    </row>
    <row r="1207">
      <c r="A1207" s="1" t="s">
        <v>12</v>
      </c>
      <c r="B1207" s="1" t="s">
        <v>4256</v>
      </c>
      <c r="C1207" s="1" t="s">
        <v>4253</v>
      </c>
      <c r="D1207" s="1" t="s">
        <v>4257</v>
      </c>
      <c r="E1207" s="2">
        <v>37361.0</v>
      </c>
      <c r="F1207" s="1" t="s">
        <v>48</v>
      </c>
      <c r="G1207" s="1" t="s">
        <v>82</v>
      </c>
      <c r="H1207" s="1" t="s">
        <v>18</v>
      </c>
      <c r="I1207" s="3">
        <f>+2250153856181</f>
        <v>2250153856181</v>
      </c>
      <c r="J1207" s="3">
        <f>+2250140907713</f>
        <v>2250140907713</v>
      </c>
      <c r="K1207" s="1" t="s">
        <v>19</v>
      </c>
      <c r="L1207" s="4" t="s">
        <v>4258</v>
      </c>
    </row>
    <row r="1208">
      <c r="A1208" s="1" t="s">
        <v>12</v>
      </c>
      <c r="B1208" s="1" t="s">
        <v>4259</v>
      </c>
      <c r="C1208" s="1" t="s">
        <v>4260</v>
      </c>
      <c r="D1208" s="1" t="s">
        <v>4261</v>
      </c>
      <c r="E1208" s="2">
        <v>36728.0</v>
      </c>
      <c r="F1208" s="1" t="s">
        <v>62</v>
      </c>
      <c r="G1208" s="1" t="s">
        <v>17</v>
      </c>
      <c r="H1208" s="1" t="s">
        <v>18</v>
      </c>
      <c r="I1208" s="3">
        <f>+2250140940448</f>
        <v>2250140940448</v>
      </c>
      <c r="J1208" s="3">
        <f>+2250101022790</f>
        <v>2250101022790</v>
      </c>
      <c r="K1208" s="1" t="s">
        <v>19</v>
      </c>
      <c r="L1208" s="4" t="s">
        <v>4262</v>
      </c>
    </row>
    <row r="1209">
      <c r="A1209" s="1" t="s">
        <v>12</v>
      </c>
      <c r="B1209" s="1" t="s">
        <v>4263</v>
      </c>
      <c r="C1209" s="1" t="s">
        <v>4264</v>
      </c>
      <c r="D1209" s="1" t="s">
        <v>4265</v>
      </c>
      <c r="E1209" s="2">
        <v>36709.0</v>
      </c>
      <c r="F1209" s="1" t="s">
        <v>53</v>
      </c>
      <c r="G1209" s="1" t="s">
        <v>25</v>
      </c>
      <c r="H1209" s="1" t="s">
        <v>18</v>
      </c>
      <c r="I1209" s="3">
        <f>+2250555038434</f>
        <v>2250555038434</v>
      </c>
      <c r="J1209" s="3">
        <f>+2250505262599</f>
        <v>2250505262599</v>
      </c>
      <c r="K1209" s="1" t="s">
        <v>19</v>
      </c>
      <c r="L1209" s="4" t="s">
        <v>4266</v>
      </c>
    </row>
    <row r="1210">
      <c r="A1210" s="1" t="s">
        <v>12</v>
      </c>
      <c r="B1210" s="1" t="s">
        <v>4267</v>
      </c>
      <c r="C1210" s="1" t="s">
        <v>4268</v>
      </c>
      <c r="D1210" s="1" t="s">
        <v>4269</v>
      </c>
      <c r="E1210" s="5">
        <v>37967.0</v>
      </c>
      <c r="F1210" s="1" t="s">
        <v>62</v>
      </c>
      <c r="G1210" s="1" t="s">
        <v>17</v>
      </c>
      <c r="H1210" s="1" t="s">
        <v>18</v>
      </c>
      <c r="I1210" s="3">
        <f>+2250711624122</f>
        <v>2250711624122</v>
      </c>
      <c r="J1210" s="3">
        <f>+2250707912988</f>
        <v>2250707912988</v>
      </c>
      <c r="K1210" s="1" t="s">
        <v>19</v>
      </c>
      <c r="L1210" s="4" t="s">
        <v>4270</v>
      </c>
    </row>
    <row r="1211">
      <c r="A1211" s="1" t="s">
        <v>12</v>
      </c>
      <c r="B1211" s="1" t="s">
        <v>4271</v>
      </c>
      <c r="C1211" s="1" t="s">
        <v>4272</v>
      </c>
      <c r="D1211" s="1" t="s">
        <v>4273</v>
      </c>
      <c r="E1211" s="2">
        <v>38548.0</v>
      </c>
      <c r="F1211" s="1" t="s">
        <v>24</v>
      </c>
      <c r="G1211" s="1" t="s">
        <v>17</v>
      </c>
      <c r="H1211" s="1" t="s">
        <v>18</v>
      </c>
      <c r="I1211" s="3">
        <f>+2250504967854</f>
        <v>2250504967854</v>
      </c>
      <c r="J1211" s="3">
        <f>+2250153884924</f>
        <v>2250153884924</v>
      </c>
      <c r="K1211" s="1" t="s">
        <v>19</v>
      </c>
      <c r="L1211" s="4" t="s">
        <v>4274</v>
      </c>
    </row>
    <row r="1212">
      <c r="A1212" s="1" t="s">
        <v>12</v>
      </c>
      <c r="B1212" s="1" t="s">
        <v>4275</v>
      </c>
      <c r="C1212" s="1" t="s">
        <v>4276</v>
      </c>
      <c r="D1212" s="1" t="s">
        <v>4277</v>
      </c>
      <c r="E1212" s="5">
        <v>38701.0</v>
      </c>
      <c r="F1212" s="1" t="s">
        <v>70</v>
      </c>
      <c r="G1212" s="1" t="s">
        <v>76</v>
      </c>
      <c r="H1212" s="1" t="s">
        <v>32</v>
      </c>
      <c r="I1212" s="3">
        <f>+2250596759793</f>
        <v>2250596759793</v>
      </c>
      <c r="J1212" s="3">
        <f t="shared" ref="J1212:J1213" si="32">+2250789304114</f>
        <v>2250789304114</v>
      </c>
      <c r="K1212" s="1" t="s">
        <v>19</v>
      </c>
      <c r="L1212" s="4" t="s">
        <v>4278</v>
      </c>
    </row>
    <row r="1213">
      <c r="A1213" s="1" t="s">
        <v>12</v>
      </c>
      <c r="B1213" s="1" t="s">
        <v>4279</v>
      </c>
      <c r="C1213" s="1" t="s">
        <v>4276</v>
      </c>
      <c r="D1213" s="1" t="s">
        <v>4280</v>
      </c>
      <c r="E1213" s="5">
        <v>38701.0</v>
      </c>
      <c r="F1213" s="1" t="s">
        <v>16</v>
      </c>
      <c r="G1213" s="1" t="s">
        <v>25</v>
      </c>
      <c r="H1213" s="1" t="s">
        <v>18</v>
      </c>
      <c r="I1213" s="3">
        <f>+2250160902257</f>
        <v>2250160902257</v>
      </c>
      <c r="J1213" s="3">
        <f t="shared" si="32"/>
        <v>2250789304114</v>
      </c>
      <c r="K1213" s="1" t="s">
        <v>19</v>
      </c>
      <c r="L1213" s="4" t="s">
        <v>4281</v>
      </c>
    </row>
    <row r="1214">
      <c r="A1214" s="1" t="s">
        <v>12</v>
      </c>
      <c r="B1214" s="1" t="s">
        <v>4282</v>
      </c>
      <c r="C1214" s="1" t="s">
        <v>4283</v>
      </c>
      <c r="D1214" s="1" t="s">
        <v>4284</v>
      </c>
      <c r="E1214" s="5">
        <v>38648.0</v>
      </c>
      <c r="F1214" s="1" t="s">
        <v>53</v>
      </c>
      <c r="G1214" s="1" t="s">
        <v>25</v>
      </c>
      <c r="H1214" s="1" t="s">
        <v>18</v>
      </c>
      <c r="I1214" s="3">
        <f>+2250171045442</f>
        <v>2250171045442</v>
      </c>
      <c r="J1214" s="3">
        <f>+2250759111482</f>
        <v>2250759111482</v>
      </c>
      <c r="K1214" s="1" t="s">
        <v>19</v>
      </c>
      <c r="L1214" s="4" t="s">
        <v>4285</v>
      </c>
    </row>
    <row r="1215">
      <c r="A1215" s="1" t="s">
        <v>12</v>
      </c>
      <c r="B1215" s="1" t="s">
        <v>4286</v>
      </c>
      <c r="C1215" s="1" t="s">
        <v>4287</v>
      </c>
      <c r="D1215" s="1" t="s">
        <v>4288</v>
      </c>
      <c r="E1215" s="2">
        <v>37746.0</v>
      </c>
      <c r="F1215" s="1" t="s">
        <v>75</v>
      </c>
      <c r="G1215" s="1" t="s">
        <v>31</v>
      </c>
      <c r="H1215" s="1" t="s">
        <v>32</v>
      </c>
      <c r="I1215" s="3">
        <f>+2250797026934</f>
        <v>2250797026934</v>
      </c>
      <c r="J1215" s="3">
        <f>+2250757813530</f>
        <v>2250757813530</v>
      </c>
      <c r="K1215" s="1" t="s">
        <v>19</v>
      </c>
      <c r="L1215" s="4" t="s">
        <v>4289</v>
      </c>
    </row>
    <row r="1216">
      <c r="A1216" s="1" t="s">
        <v>12</v>
      </c>
      <c r="B1216" s="1" t="s">
        <v>4290</v>
      </c>
      <c r="C1216" s="1" t="s">
        <v>4291</v>
      </c>
      <c r="D1216" s="1" t="s">
        <v>4292</v>
      </c>
      <c r="E1216" s="2">
        <v>38798.0</v>
      </c>
      <c r="F1216" s="1" t="s">
        <v>147</v>
      </c>
      <c r="G1216" s="1" t="s">
        <v>25</v>
      </c>
      <c r="H1216" s="1" t="s">
        <v>18</v>
      </c>
      <c r="I1216" s="3">
        <f>+2250172777347</f>
        <v>2250172777347</v>
      </c>
      <c r="J1216" s="3">
        <f>+2250707737454</f>
        <v>2250707737454</v>
      </c>
      <c r="K1216" s="1" t="s">
        <v>19</v>
      </c>
      <c r="L1216" s="4" t="s">
        <v>4293</v>
      </c>
    </row>
    <row r="1217">
      <c r="A1217" s="1" t="s">
        <v>12</v>
      </c>
      <c r="B1217" s="1" t="s">
        <v>4294</v>
      </c>
      <c r="C1217" s="1" t="s">
        <v>4291</v>
      </c>
      <c r="D1217" s="1" t="s">
        <v>4295</v>
      </c>
      <c r="E1217" s="2">
        <v>37766.0</v>
      </c>
      <c r="F1217" s="1" t="s">
        <v>53</v>
      </c>
      <c r="G1217" s="1" t="s">
        <v>17</v>
      </c>
      <c r="H1217" s="1" t="s">
        <v>18</v>
      </c>
      <c r="I1217" s="3">
        <f>+2250757292427</f>
        <v>2250757292427</v>
      </c>
      <c r="J1217" s="3">
        <f>+2250140759545</f>
        <v>2250140759545</v>
      </c>
      <c r="K1217" s="1" t="s">
        <v>19</v>
      </c>
      <c r="L1217" s="4" t="s">
        <v>4296</v>
      </c>
    </row>
    <row r="1218">
      <c r="A1218" s="1" t="s">
        <v>12</v>
      </c>
      <c r="B1218" s="1" t="s">
        <v>4297</v>
      </c>
      <c r="C1218" s="1" t="s">
        <v>4298</v>
      </c>
      <c r="D1218" s="1" t="s">
        <v>4299</v>
      </c>
      <c r="E1218" s="2">
        <v>37329.0</v>
      </c>
      <c r="F1218" s="1" t="s">
        <v>48</v>
      </c>
      <c r="G1218" s="1" t="s">
        <v>82</v>
      </c>
      <c r="H1218" s="1" t="s">
        <v>18</v>
      </c>
      <c r="I1218" s="3">
        <f>+2250103018297</f>
        <v>2250103018297</v>
      </c>
      <c r="J1218" s="3">
        <f>+2250707791473</f>
        <v>2250707791473</v>
      </c>
      <c r="K1218" s="1" t="s">
        <v>19</v>
      </c>
      <c r="L1218" s="4" t="s">
        <v>4300</v>
      </c>
    </row>
    <row r="1219">
      <c r="A1219" s="1" t="s">
        <v>12</v>
      </c>
      <c r="B1219" s="1" t="s">
        <v>4301</v>
      </c>
      <c r="C1219" s="1" t="s">
        <v>4302</v>
      </c>
      <c r="D1219" s="1" t="s">
        <v>4303</v>
      </c>
      <c r="E1219" s="5">
        <v>37976.0</v>
      </c>
      <c r="F1219" s="1" t="s">
        <v>62</v>
      </c>
      <c r="G1219" s="1" t="s">
        <v>25</v>
      </c>
      <c r="H1219" s="1" t="s">
        <v>18</v>
      </c>
      <c r="I1219" s="3">
        <f>+2250797762949</f>
        <v>2250797762949</v>
      </c>
      <c r="J1219" s="3">
        <f>+2250708844964</f>
        <v>2250708844964</v>
      </c>
      <c r="K1219" s="1" t="s">
        <v>19</v>
      </c>
      <c r="L1219" s="4" t="s">
        <v>4304</v>
      </c>
    </row>
    <row r="1220">
      <c r="A1220" s="1" t="s">
        <v>12</v>
      </c>
      <c r="B1220" s="1" t="s">
        <v>4305</v>
      </c>
      <c r="C1220" s="1" t="s">
        <v>4306</v>
      </c>
      <c r="D1220" s="1" t="s">
        <v>4307</v>
      </c>
      <c r="E1220" s="2">
        <v>37477.0</v>
      </c>
      <c r="F1220" s="1" t="s">
        <v>62</v>
      </c>
      <c r="G1220" s="1" t="s">
        <v>17</v>
      </c>
      <c r="H1220" s="1" t="s">
        <v>18</v>
      </c>
      <c r="I1220" s="3">
        <f>+225059473994</f>
        <v>225059473994</v>
      </c>
      <c r="J1220" s="3">
        <f>+2250101483843</f>
        <v>2250101483843</v>
      </c>
      <c r="K1220" s="1" t="s">
        <v>19</v>
      </c>
      <c r="L1220" s="4" t="s">
        <v>4308</v>
      </c>
    </row>
    <row r="1221">
      <c r="A1221" s="1" t="s">
        <v>12</v>
      </c>
      <c r="B1221" s="1" t="s">
        <v>4309</v>
      </c>
      <c r="C1221" s="1" t="s">
        <v>4310</v>
      </c>
      <c r="D1221" s="1" t="s">
        <v>4311</v>
      </c>
      <c r="E1221" s="2">
        <v>39539.0</v>
      </c>
      <c r="F1221" s="1" t="s">
        <v>70</v>
      </c>
      <c r="G1221" s="1" t="s">
        <v>76</v>
      </c>
      <c r="H1221" s="1" t="s">
        <v>32</v>
      </c>
      <c r="I1221" s="3">
        <f>+2250501358331</f>
        <v>2250501358331</v>
      </c>
      <c r="J1221" s="3">
        <f>+2250707339887</f>
        <v>2250707339887</v>
      </c>
      <c r="K1221" s="1" t="s">
        <v>19</v>
      </c>
      <c r="L1221" s="4" t="s">
        <v>4312</v>
      </c>
    </row>
    <row r="1222">
      <c r="A1222" s="1" t="s">
        <v>12</v>
      </c>
      <c r="B1222" s="1" t="s">
        <v>4313</v>
      </c>
      <c r="C1222" s="1" t="s">
        <v>4314</v>
      </c>
      <c r="D1222" s="1" t="s">
        <v>4315</v>
      </c>
      <c r="E1222" s="5">
        <v>37210.0</v>
      </c>
      <c r="F1222" s="1" t="s">
        <v>167</v>
      </c>
      <c r="G1222" s="1" t="s">
        <v>25</v>
      </c>
      <c r="H1222" s="1" t="s">
        <v>18</v>
      </c>
      <c r="I1222" s="3">
        <f>+2250767286301</f>
        <v>2250767286301</v>
      </c>
      <c r="J1222" s="3">
        <f>+2250707146332</f>
        <v>2250707146332</v>
      </c>
      <c r="K1222" s="1" t="s">
        <v>19</v>
      </c>
      <c r="L1222" s="4" t="s">
        <v>4316</v>
      </c>
    </row>
    <row r="1223">
      <c r="A1223" s="1" t="s">
        <v>12</v>
      </c>
      <c r="B1223" s="1" t="s">
        <v>4317</v>
      </c>
      <c r="C1223" s="1" t="s">
        <v>4314</v>
      </c>
      <c r="D1223" s="1" t="s">
        <v>4318</v>
      </c>
      <c r="E1223" s="2">
        <v>38389.0</v>
      </c>
      <c r="F1223" s="1" t="s">
        <v>92</v>
      </c>
      <c r="G1223" s="1" t="s">
        <v>76</v>
      </c>
      <c r="H1223" s="1" t="s">
        <v>32</v>
      </c>
      <c r="I1223" s="3">
        <f>+2250102899638</f>
        <v>2250102899638</v>
      </c>
      <c r="J1223" s="3">
        <f>+2250707741360</f>
        <v>2250707741360</v>
      </c>
      <c r="K1223" s="1" t="s">
        <v>19</v>
      </c>
      <c r="L1223" s="4" t="s">
        <v>4319</v>
      </c>
    </row>
    <row r="1224">
      <c r="A1224" s="1" t="s">
        <v>12</v>
      </c>
      <c r="B1224" s="1" t="s">
        <v>4320</v>
      </c>
      <c r="C1224" s="1" t="s">
        <v>4314</v>
      </c>
      <c r="D1224" s="1" t="s">
        <v>4321</v>
      </c>
      <c r="E1224" s="2">
        <v>37123.0</v>
      </c>
      <c r="F1224" s="1" t="s">
        <v>16</v>
      </c>
      <c r="G1224" s="1" t="s">
        <v>17</v>
      </c>
      <c r="H1224" s="1" t="s">
        <v>18</v>
      </c>
      <c r="I1224" s="3">
        <f>+2250767506040</f>
        <v>2250767506040</v>
      </c>
      <c r="J1224" s="3">
        <f>+2250757912196</f>
        <v>2250757912196</v>
      </c>
      <c r="K1224" s="1" t="s">
        <v>19</v>
      </c>
      <c r="L1224" s="4" t="s">
        <v>4322</v>
      </c>
    </row>
    <row r="1225">
      <c r="A1225" s="1" t="s">
        <v>12</v>
      </c>
      <c r="B1225" s="1" t="s">
        <v>4323</v>
      </c>
      <c r="C1225" s="1" t="s">
        <v>4314</v>
      </c>
      <c r="D1225" s="1" t="s">
        <v>4324</v>
      </c>
      <c r="E1225" s="5">
        <v>37981.0</v>
      </c>
      <c r="F1225" s="1" t="s">
        <v>167</v>
      </c>
      <c r="G1225" s="1" t="s">
        <v>17</v>
      </c>
      <c r="H1225" s="1" t="s">
        <v>18</v>
      </c>
      <c r="I1225" s="3">
        <f>+2250586896311</f>
        <v>2250586896311</v>
      </c>
      <c r="J1225" s="3">
        <f>+2250103047018</f>
        <v>2250103047018</v>
      </c>
      <c r="K1225" s="1" t="s">
        <v>19</v>
      </c>
      <c r="L1225" s="4" t="s">
        <v>4325</v>
      </c>
    </row>
    <row r="1226">
      <c r="A1226" s="1" t="s">
        <v>12</v>
      </c>
      <c r="B1226" s="1" t="s">
        <v>4326</v>
      </c>
      <c r="C1226" s="1" t="s">
        <v>4314</v>
      </c>
      <c r="D1226" s="1" t="s">
        <v>4327</v>
      </c>
      <c r="E1226" s="2">
        <v>37764.0</v>
      </c>
      <c r="F1226" s="1" t="s">
        <v>62</v>
      </c>
      <c r="G1226" s="1" t="s">
        <v>25</v>
      </c>
      <c r="H1226" s="1" t="s">
        <v>18</v>
      </c>
      <c r="I1226" s="3">
        <f>+2250585844650</f>
        <v>2250585844650</v>
      </c>
      <c r="J1226" s="3">
        <f>+2250141838917</f>
        <v>2250141838917</v>
      </c>
      <c r="K1226" s="1" t="s">
        <v>19</v>
      </c>
      <c r="L1226" s="4" t="s">
        <v>4328</v>
      </c>
    </row>
    <row r="1227">
      <c r="A1227" s="1" t="s">
        <v>12</v>
      </c>
      <c r="B1227" s="1" t="s">
        <v>4329</v>
      </c>
      <c r="C1227" s="1" t="s">
        <v>4330</v>
      </c>
      <c r="D1227" s="1" t="s">
        <v>4331</v>
      </c>
      <c r="E1227" s="2">
        <v>37816.0</v>
      </c>
      <c r="F1227" s="1" t="s">
        <v>155</v>
      </c>
      <c r="G1227" s="1" t="s">
        <v>76</v>
      </c>
      <c r="H1227" s="1" t="s">
        <v>32</v>
      </c>
      <c r="I1227" s="3">
        <f>+2250779254088</f>
        <v>2250779254088</v>
      </c>
      <c r="J1227" s="3">
        <f>+2250708161844</f>
        <v>2250708161844</v>
      </c>
      <c r="K1227" s="1" t="s">
        <v>19</v>
      </c>
      <c r="L1227" s="4" t="s">
        <v>4332</v>
      </c>
    </row>
    <row r="1228">
      <c r="A1228" s="1" t="s">
        <v>12</v>
      </c>
      <c r="B1228" s="1" t="s">
        <v>4333</v>
      </c>
      <c r="C1228" s="1" t="s">
        <v>4334</v>
      </c>
      <c r="D1228" s="1" t="s">
        <v>4335</v>
      </c>
      <c r="E1228" s="2">
        <v>38235.0</v>
      </c>
      <c r="F1228" s="1" t="s">
        <v>53</v>
      </c>
      <c r="G1228" s="1" t="s">
        <v>17</v>
      </c>
      <c r="H1228" s="1" t="s">
        <v>18</v>
      </c>
      <c r="I1228" s="3">
        <f>+2250706650227</f>
        <v>2250706650227</v>
      </c>
      <c r="J1228" s="3">
        <f>+2250708912625</f>
        <v>2250708912625</v>
      </c>
      <c r="K1228" s="1" t="s">
        <v>19</v>
      </c>
      <c r="L1228" s="4" t="s">
        <v>4336</v>
      </c>
    </row>
    <row r="1229">
      <c r="A1229" s="1" t="s">
        <v>12</v>
      </c>
      <c r="B1229" s="1" t="s">
        <v>4337</v>
      </c>
      <c r="C1229" s="1" t="s">
        <v>4338</v>
      </c>
      <c r="D1229" s="1" t="s">
        <v>4339</v>
      </c>
      <c r="E1229" s="2">
        <v>36799.0</v>
      </c>
      <c r="F1229" s="1" t="s">
        <v>288</v>
      </c>
      <c r="G1229" s="1" t="s">
        <v>31</v>
      </c>
      <c r="H1229" s="1" t="s">
        <v>32</v>
      </c>
      <c r="I1229" s="3">
        <f>+2250787437677</f>
        <v>2250787437677</v>
      </c>
      <c r="J1229" s="3">
        <f>+2250709829236</f>
        <v>2250709829236</v>
      </c>
      <c r="K1229" s="1" t="s">
        <v>19</v>
      </c>
      <c r="L1229" s="4" t="s">
        <v>4340</v>
      </c>
    </row>
    <row r="1230">
      <c r="A1230" s="1" t="s">
        <v>12</v>
      </c>
      <c r="B1230" s="1" t="s">
        <v>4341</v>
      </c>
      <c r="C1230" s="1" t="s">
        <v>4342</v>
      </c>
      <c r="D1230" s="1" t="s">
        <v>4343</v>
      </c>
      <c r="E1230" s="2">
        <v>36894.0</v>
      </c>
      <c r="F1230" s="1" t="s">
        <v>16</v>
      </c>
      <c r="G1230" s="1" t="s">
        <v>17</v>
      </c>
      <c r="H1230" s="1" t="s">
        <v>18</v>
      </c>
      <c r="I1230" s="3">
        <f>+2250779458021</f>
        <v>2250779458021</v>
      </c>
      <c r="J1230" s="3">
        <f>+2250748807391</f>
        <v>2250748807391</v>
      </c>
      <c r="K1230" s="1" t="s">
        <v>19</v>
      </c>
      <c r="L1230" s="4" t="s">
        <v>4344</v>
      </c>
    </row>
    <row r="1231">
      <c r="A1231" s="1" t="s">
        <v>12</v>
      </c>
      <c r="B1231" s="1" t="s">
        <v>4345</v>
      </c>
      <c r="C1231" s="1" t="s">
        <v>4346</v>
      </c>
      <c r="D1231" s="1" t="s">
        <v>4347</v>
      </c>
      <c r="E1231" s="2">
        <v>37464.0</v>
      </c>
      <c r="F1231" s="1" t="s">
        <v>62</v>
      </c>
      <c r="G1231" s="1" t="s">
        <v>17</v>
      </c>
      <c r="H1231" s="1" t="s">
        <v>18</v>
      </c>
      <c r="I1231" s="3">
        <f>+2250102579437</f>
        <v>2250102579437</v>
      </c>
      <c r="J1231" s="3">
        <f>+2250707491374</f>
        <v>2250707491374</v>
      </c>
      <c r="K1231" s="1" t="s">
        <v>19</v>
      </c>
      <c r="L1231" s="4" t="s">
        <v>4348</v>
      </c>
    </row>
    <row r="1232">
      <c r="A1232" s="1" t="s">
        <v>12</v>
      </c>
      <c r="B1232" s="1" t="s">
        <v>4349</v>
      </c>
      <c r="C1232" s="1" t="s">
        <v>4350</v>
      </c>
      <c r="D1232" s="1" t="s">
        <v>4351</v>
      </c>
      <c r="E1232" s="5">
        <v>37608.0</v>
      </c>
      <c r="F1232" s="1" t="s">
        <v>62</v>
      </c>
      <c r="G1232" s="1" t="s">
        <v>17</v>
      </c>
      <c r="H1232" s="1" t="s">
        <v>18</v>
      </c>
      <c r="I1232" s="3">
        <f t="shared" ref="I1232:J1232" si="33">+2250594645064</f>
        <v>2250594645064</v>
      </c>
      <c r="J1232" s="3">
        <f t="shared" si="33"/>
        <v>2250594645064</v>
      </c>
      <c r="K1232" s="1" t="s">
        <v>19</v>
      </c>
      <c r="L1232" s="4" t="s">
        <v>4352</v>
      </c>
    </row>
    <row r="1233">
      <c r="A1233" s="1" t="s">
        <v>12</v>
      </c>
      <c r="B1233" s="1" t="s">
        <v>4353</v>
      </c>
      <c r="C1233" s="1" t="s">
        <v>4354</v>
      </c>
      <c r="D1233" s="1" t="s">
        <v>4355</v>
      </c>
      <c r="E1233" s="5">
        <v>36512.0</v>
      </c>
      <c r="F1233" s="1" t="s">
        <v>62</v>
      </c>
      <c r="G1233" s="1" t="s">
        <v>17</v>
      </c>
      <c r="H1233" s="1" t="s">
        <v>18</v>
      </c>
      <c r="I1233" s="3">
        <f>+2250798243703</f>
        <v>2250798243703</v>
      </c>
      <c r="J1233" s="3">
        <f>+2250768402124</f>
        <v>2250768402124</v>
      </c>
      <c r="K1233" s="1" t="s">
        <v>19</v>
      </c>
      <c r="L1233" s="4" t="s">
        <v>4356</v>
      </c>
    </row>
    <row r="1234">
      <c r="A1234" s="1" t="s">
        <v>12</v>
      </c>
      <c r="B1234" s="1" t="s">
        <v>4357</v>
      </c>
      <c r="C1234" s="1" t="s">
        <v>4358</v>
      </c>
      <c r="D1234" s="1" t="s">
        <v>4359</v>
      </c>
      <c r="E1234" s="2">
        <v>37347.0</v>
      </c>
      <c r="F1234" s="1" t="s">
        <v>53</v>
      </c>
      <c r="G1234" s="1" t="s">
        <v>17</v>
      </c>
      <c r="H1234" s="1" t="s">
        <v>18</v>
      </c>
      <c r="I1234" s="3">
        <f>+2250711072853</f>
        <v>2250711072853</v>
      </c>
      <c r="J1234" s="3">
        <f>+2250160552200</f>
        <v>2250160552200</v>
      </c>
      <c r="K1234" s="1" t="s">
        <v>19</v>
      </c>
      <c r="L1234" s="4" t="s">
        <v>4360</v>
      </c>
    </row>
    <row r="1235">
      <c r="A1235" s="1" t="s">
        <v>12</v>
      </c>
      <c r="B1235" s="1" t="s">
        <v>4361</v>
      </c>
      <c r="C1235" s="1" t="s">
        <v>4362</v>
      </c>
      <c r="D1235" s="1" t="s">
        <v>4363</v>
      </c>
      <c r="E1235" s="5">
        <v>37915.0</v>
      </c>
      <c r="F1235" s="1" t="s">
        <v>138</v>
      </c>
      <c r="G1235" s="1" t="s">
        <v>31</v>
      </c>
      <c r="H1235" s="1" t="s">
        <v>32</v>
      </c>
      <c r="I1235" s="3">
        <f>+2250142183763</f>
        <v>2250142183763</v>
      </c>
      <c r="J1235" s="3">
        <f>+2250757117494</f>
        <v>2250757117494</v>
      </c>
      <c r="K1235" s="1" t="s">
        <v>19</v>
      </c>
      <c r="L1235" s="4" t="s">
        <v>4364</v>
      </c>
    </row>
    <row r="1236">
      <c r="A1236" s="1" t="s">
        <v>12</v>
      </c>
      <c r="B1236" s="1" t="s">
        <v>4365</v>
      </c>
      <c r="C1236" s="1" t="s">
        <v>4362</v>
      </c>
      <c r="D1236" s="1" t="s">
        <v>4366</v>
      </c>
      <c r="E1236" s="2">
        <v>37868.0</v>
      </c>
      <c r="F1236" s="1" t="s">
        <v>92</v>
      </c>
      <c r="G1236" s="1" t="s">
        <v>31</v>
      </c>
      <c r="H1236" s="1" t="s">
        <v>32</v>
      </c>
      <c r="I1236" s="3">
        <f>+2250709969717</f>
        <v>2250709969717</v>
      </c>
      <c r="J1236" s="3">
        <f>+2250574780735</f>
        <v>2250574780735</v>
      </c>
      <c r="K1236" s="1" t="s">
        <v>19</v>
      </c>
      <c r="L1236" s="4" t="s">
        <v>4367</v>
      </c>
    </row>
    <row r="1237">
      <c r="A1237" s="1" t="s">
        <v>12</v>
      </c>
      <c r="B1237" s="1" t="s">
        <v>4368</v>
      </c>
      <c r="C1237" s="1" t="s">
        <v>4362</v>
      </c>
      <c r="D1237" s="1" t="s">
        <v>1879</v>
      </c>
      <c r="E1237" s="2">
        <v>38107.0</v>
      </c>
      <c r="F1237" s="1" t="s">
        <v>16</v>
      </c>
      <c r="G1237" s="1" t="s">
        <v>17</v>
      </c>
      <c r="H1237" s="1" t="s">
        <v>18</v>
      </c>
      <c r="I1237" s="3">
        <f>+2250789015812</f>
        <v>2250789015812</v>
      </c>
      <c r="J1237" s="3">
        <f>+2250757644099</f>
        <v>2250757644099</v>
      </c>
      <c r="K1237" s="1" t="s">
        <v>19</v>
      </c>
      <c r="L1237" s="4" t="s">
        <v>4369</v>
      </c>
    </row>
    <row r="1238">
      <c r="A1238" s="1" t="s">
        <v>12</v>
      </c>
      <c r="B1238" s="1" t="s">
        <v>4370</v>
      </c>
      <c r="C1238" s="1" t="s">
        <v>4362</v>
      </c>
      <c r="D1238" s="1" t="s">
        <v>4371</v>
      </c>
      <c r="E1238" s="5">
        <v>37908.0</v>
      </c>
      <c r="F1238" s="1" t="s">
        <v>138</v>
      </c>
      <c r="G1238" s="1" t="s">
        <v>31</v>
      </c>
      <c r="H1238" s="1" t="s">
        <v>32</v>
      </c>
      <c r="I1238" s="3">
        <f>+2250779772487</f>
        <v>2250779772487</v>
      </c>
      <c r="J1238" s="3">
        <f>+2250708269917</f>
        <v>2250708269917</v>
      </c>
      <c r="K1238" s="1" t="s">
        <v>19</v>
      </c>
      <c r="L1238" s="4" t="s">
        <v>4372</v>
      </c>
    </row>
    <row r="1239">
      <c r="A1239" s="1" t="s">
        <v>12</v>
      </c>
      <c r="B1239" s="1" t="s">
        <v>4373</v>
      </c>
      <c r="C1239" s="1" t="s">
        <v>4374</v>
      </c>
      <c r="D1239" s="1" t="s">
        <v>4375</v>
      </c>
      <c r="E1239" s="2">
        <v>37018.0</v>
      </c>
      <c r="F1239" s="1" t="s">
        <v>16</v>
      </c>
      <c r="G1239" s="1" t="s">
        <v>82</v>
      </c>
      <c r="H1239" s="1" t="s">
        <v>18</v>
      </c>
      <c r="I1239" s="3">
        <f>+2250546770627</f>
        <v>2250546770627</v>
      </c>
      <c r="J1239" s="3">
        <f>+2250748811359</f>
        <v>2250748811359</v>
      </c>
      <c r="K1239" s="1" t="s">
        <v>19</v>
      </c>
      <c r="L1239" s="4" t="s">
        <v>4376</v>
      </c>
    </row>
    <row r="1240">
      <c r="A1240" s="1" t="s">
        <v>12</v>
      </c>
      <c r="B1240" s="1" t="s">
        <v>4377</v>
      </c>
      <c r="C1240" s="1" t="s">
        <v>4378</v>
      </c>
      <c r="D1240" s="1" t="s">
        <v>4379</v>
      </c>
      <c r="E1240" s="2">
        <v>38201.0</v>
      </c>
      <c r="F1240" s="1" t="s">
        <v>53</v>
      </c>
      <c r="G1240" s="1" t="s">
        <v>25</v>
      </c>
      <c r="H1240" s="1" t="s">
        <v>18</v>
      </c>
      <c r="I1240" s="3">
        <f>+2250140548506</f>
        <v>2250140548506</v>
      </c>
      <c r="J1240" s="3">
        <f>+2250709277252</f>
        <v>2250709277252</v>
      </c>
      <c r="K1240" s="1" t="s">
        <v>19</v>
      </c>
      <c r="L1240" s="4" t="s">
        <v>4380</v>
      </c>
    </row>
    <row r="1241">
      <c r="A1241" s="1" t="s">
        <v>12</v>
      </c>
      <c r="B1241" s="1" t="s">
        <v>4381</v>
      </c>
      <c r="C1241" s="1" t="s">
        <v>4378</v>
      </c>
      <c r="D1241" s="1" t="s">
        <v>4382</v>
      </c>
      <c r="E1241" s="2">
        <v>38431.0</v>
      </c>
      <c r="F1241" s="1" t="s">
        <v>62</v>
      </c>
      <c r="G1241" s="1" t="s">
        <v>25</v>
      </c>
      <c r="H1241" s="1" t="s">
        <v>18</v>
      </c>
      <c r="I1241" s="3">
        <f>+2250504989443</f>
        <v>2250504989443</v>
      </c>
      <c r="J1241" s="3">
        <f>+2250546271602</f>
        <v>2250546271602</v>
      </c>
      <c r="K1241" s="1" t="s">
        <v>19</v>
      </c>
      <c r="L1241" s="4" t="s">
        <v>4383</v>
      </c>
    </row>
    <row r="1242">
      <c r="A1242" s="1" t="s">
        <v>12</v>
      </c>
      <c r="B1242" s="1" t="s">
        <v>4384</v>
      </c>
      <c r="C1242" s="1" t="s">
        <v>4378</v>
      </c>
      <c r="D1242" s="1" t="s">
        <v>4385</v>
      </c>
      <c r="E1242" s="2">
        <v>38534.0</v>
      </c>
      <c r="F1242" s="1" t="s">
        <v>53</v>
      </c>
      <c r="G1242" s="1" t="s">
        <v>17</v>
      </c>
      <c r="H1242" s="1" t="s">
        <v>18</v>
      </c>
      <c r="I1242" s="3">
        <f>+2250777828316</f>
        <v>2250777828316</v>
      </c>
      <c r="J1242" s="3">
        <f>+2250707144180</f>
        <v>2250707144180</v>
      </c>
      <c r="K1242" s="1" t="s">
        <v>19</v>
      </c>
      <c r="L1242" s="4" t="s">
        <v>4386</v>
      </c>
    </row>
    <row r="1243">
      <c r="A1243" s="1" t="s">
        <v>12</v>
      </c>
      <c r="B1243" s="1" t="s">
        <v>4387</v>
      </c>
      <c r="C1243" s="1" t="s">
        <v>4388</v>
      </c>
      <c r="D1243" s="1" t="s">
        <v>4389</v>
      </c>
      <c r="E1243" s="5">
        <v>37184.0</v>
      </c>
      <c r="F1243" s="1" t="s">
        <v>53</v>
      </c>
      <c r="G1243" s="1" t="s">
        <v>17</v>
      </c>
      <c r="H1243" s="1" t="s">
        <v>18</v>
      </c>
      <c r="I1243" s="3">
        <f>+2250798692829</f>
        <v>2250798692829</v>
      </c>
      <c r="J1243" s="3">
        <f>+2250171996579</f>
        <v>2250171996579</v>
      </c>
      <c r="K1243" s="1" t="s">
        <v>19</v>
      </c>
      <c r="L1243" s="4" t="s">
        <v>4390</v>
      </c>
    </row>
    <row r="1244">
      <c r="A1244" s="1" t="s">
        <v>12</v>
      </c>
      <c r="B1244" s="1" t="s">
        <v>4391</v>
      </c>
      <c r="C1244" s="1" t="s">
        <v>4392</v>
      </c>
      <c r="D1244" s="1" t="s">
        <v>4393</v>
      </c>
      <c r="E1244" s="5">
        <v>36853.0</v>
      </c>
      <c r="F1244" s="1" t="s">
        <v>342</v>
      </c>
      <c r="G1244" s="1" t="s">
        <v>82</v>
      </c>
      <c r="H1244" s="1" t="s">
        <v>18</v>
      </c>
      <c r="I1244" s="3">
        <f>+2250575046296</f>
        <v>2250575046296</v>
      </c>
      <c r="J1244" s="3">
        <f>+2250506435725</f>
        <v>2250506435725</v>
      </c>
      <c r="K1244" s="1" t="s">
        <v>19</v>
      </c>
      <c r="L1244" s="4" t="s">
        <v>4394</v>
      </c>
    </row>
    <row r="1245">
      <c r="A1245" s="1" t="s">
        <v>12</v>
      </c>
      <c r="B1245" s="1" t="s">
        <v>4395</v>
      </c>
      <c r="C1245" s="1" t="s">
        <v>4396</v>
      </c>
      <c r="D1245" s="1" t="s">
        <v>4397</v>
      </c>
      <c r="E1245" s="2">
        <v>37461.0</v>
      </c>
      <c r="F1245" s="1" t="s">
        <v>138</v>
      </c>
      <c r="G1245" s="1" t="s">
        <v>31</v>
      </c>
      <c r="H1245" s="1" t="s">
        <v>32</v>
      </c>
      <c r="I1245" s="3">
        <f>+2250141495209</f>
        <v>2250141495209</v>
      </c>
      <c r="J1245" s="3">
        <f>+2250758873735</f>
        <v>2250758873735</v>
      </c>
      <c r="K1245" s="1" t="s">
        <v>19</v>
      </c>
      <c r="L1245" s="4" t="s">
        <v>4398</v>
      </c>
    </row>
    <row r="1246">
      <c r="A1246" s="1" t="s">
        <v>12</v>
      </c>
      <c r="B1246" s="1" t="s">
        <v>4399</v>
      </c>
      <c r="C1246" s="1" t="s">
        <v>4400</v>
      </c>
      <c r="D1246" s="1" t="s">
        <v>4401</v>
      </c>
      <c r="E1246" s="2">
        <v>37501.0</v>
      </c>
      <c r="F1246" s="1" t="s">
        <v>48</v>
      </c>
      <c r="G1246" s="1" t="s">
        <v>76</v>
      </c>
      <c r="H1246" s="1" t="s">
        <v>32</v>
      </c>
      <c r="I1246" s="3">
        <f>+2250700933631</f>
        <v>2250700933631</v>
      </c>
      <c r="J1246" s="3">
        <f>+2250708819203</f>
        <v>2250708819203</v>
      </c>
      <c r="K1246" s="1" t="s">
        <v>19</v>
      </c>
      <c r="L1246" s="4" t="s">
        <v>4402</v>
      </c>
    </row>
    <row r="1247">
      <c r="A1247" s="1" t="s">
        <v>12</v>
      </c>
      <c r="B1247" s="1" t="s">
        <v>4403</v>
      </c>
      <c r="C1247" s="1" t="s">
        <v>4400</v>
      </c>
      <c r="D1247" s="1" t="s">
        <v>4404</v>
      </c>
      <c r="E1247" s="2">
        <v>38049.0</v>
      </c>
      <c r="F1247" s="1" t="s">
        <v>24</v>
      </c>
      <c r="G1247" s="1" t="s">
        <v>25</v>
      </c>
      <c r="H1247" s="1" t="s">
        <v>18</v>
      </c>
      <c r="I1247" s="3">
        <f>+2250172526595</f>
        <v>2250172526595</v>
      </c>
      <c r="J1247" s="3">
        <f>+2250102024610</f>
        <v>2250102024610</v>
      </c>
      <c r="K1247" s="1" t="s">
        <v>19</v>
      </c>
      <c r="L1247" s="4" t="s">
        <v>4405</v>
      </c>
    </row>
    <row r="1248">
      <c r="A1248" s="1" t="s">
        <v>12</v>
      </c>
      <c r="B1248" s="1" t="s">
        <v>4406</v>
      </c>
      <c r="C1248" s="1" t="s">
        <v>4407</v>
      </c>
      <c r="D1248" s="1" t="s">
        <v>4408</v>
      </c>
      <c r="E1248" s="2">
        <v>37367.0</v>
      </c>
      <c r="F1248" s="1" t="s">
        <v>16</v>
      </c>
      <c r="G1248" s="1" t="s">
        <v>25</v>
      </c>
      <c r="H1248" s="1" t="s">
        <v>18</v>
      </c>
      <c r="I1248" s="3">
        <f>+2250777095697</f>
        <v>2250777095697</v>
      </c>
      <c r="J1248" s="3">
        <f>+2250505736292</f>
        <v>2250505736292</v>
      </c>
      <c r="K1248" s="1" t="s">
        <v>19</v>
      </c>
      <c r="L1248" s="4" t="s">
        <v>4409</v>
      </c>
    </row>
    <row r="1249">
      <c r="A1249" s="1" t="s">
        <v>12</v>
      </c>
      <c r="B1249" s="1" t="s">
        <v>4410</v>
      </c>
      <c r="C1249" s="1" t="s">
        <v>4407</v>
      </c>
      <c r="D1249" s="1" t="s">
        <v>2709</v>
      </c>
      <c r="E1249" s="5">
        <v>37937.0</v>
      </c>
      <c r="F1249" s="1" t="s">
        <v>155</v>
      </c>
      <c r="G1249" s="1" t="s">
        <v>82</v>
      </c>
      <c r="H1249" s="1" t="s">
        <v>18</v>
      </c>
      <c r="I1249" s="3">
        <f>+2250575014514</f>
        <v>2250575014514</v>
      </c>
      <c r="J1249" s="3">
        <f>+2250505193276</f>
        <v>2250505193276</v>
      </c>
      <c r="K1249" s="1" t="s">
        <v>19</v>
      </c>
      <c r="L1249" s="4" t="s">
        <v>4411</v>
      </c>
    </row>
    <row r="1250">
      <c r="A1250" s="1" t="s">
        <v>12</v>
      </c>
      <c r="B1250" s="1" t="s">
        <v>4412</v>
      </c>
      <c r="C1250" s="1" t="s">
        <v>4407</v>
      </c>
      <c r="D1250" s="1" t="s">
        <v>2686</v>
      </c>
      <c r="E1250" s="2">
        <v>37089.0</v>
      </c>
      <c r="F1250" s="1" t="s">
        <v>586</v>
      </c>
      <c r="G1250" s="1" t="s">
        <v>82</v>
      </c>
      <c r="H1250" s="1" t="s">
        <v>18</v>
      </c>
      <c r="I1250" s="3">
        <f>+2250101635822</f>
        <v>2250101635822</v>
      </c>
      <c r="J1250" s="3">
        <f>+2250505951813</f>
        <v>2250505951813</v>
      </c>
      <c r="K1250" s="1" t="s">
        <v>19</v>
      </c>
      <c r="L1250" s="4" t="s">
        <v>4413</v>
      </c>
    </row>
    <row r="1251">
      <c r="A1251" s="1" t="s">
        <v>12</v>
      </c>
      <c r="B1251" s="1" t="s">
        <v>4414</v>
      </c>
      <c r="C1251" s="1" t="s">
        <v>4407</v>
      </c>
      <c r="D1251" s="1" t="s">
        <v>4415</v>
      </c>
      <c r="E1251" s="2">
        <v>38393.0</v>
      </c>
      <c r="F1251" s="1" t="s">
        <v>53</v>
      </c>
      <c r="G1251" s="1" t="s">
        <v>25</v>
      </c>
      <c r="H1251" s="1" t="s">
        <v>18</v>
      </c>
      <c r="I1251" s="3">
        <f>+2250704037768</f>
        <v>2250704037768</v>
      </c>
      <c r="J1251" s="3">
        <f>+2250709917227</f>
        <v>2250709917227</v>
      </c>
      <c r="K1251" s="1" t="s">
        <v>19</v>
      </c>
      <c r="L1251" s="4" t="s">
        <v>4416</v>
      </c>
    </row>
    <row r="1252">
      <c r="A1252" s="1" t="s">
        <v>12</v>
      </c>
      <c r="B1252" s="1" t="s">
        <v>4417</v>
      </c>
      <c r="C1252" s="1" t="s">
        <v>4407</v>
      </c>
      <c r="D1252" s="1" t="s">
        <v>4418</v>
      </c>
      <c r="E1252" s="2">
        <v>38095.0</v>
      </c>
      <c r="F1252" s="1" t="s">
        <v>48</v>
      </c>
      <c r="G1252" s="1" t="s">
        <v>31</v>
      </c>
      <c r="H1252" s="1" t="s">
        <v>32</v>
      </c>
      <c r="I1252" s="3">
        <f>+2250101222497</f>
        <v>2250101222497</v>
      </c>
      <c r="J1252" s="3">
        <f>+2250545910434</f>
        <v>2250545910434</v>
      </c>
      <c r="K1252" s="1" t="s">
        <v>19</v>
      </c>
      <c r="L1252" s="4" t="s">
        <v>4419</v>
      </c>
    </row>
    <row r="1253">
      <c r="A1253" s="1" t="s">
        <v>12</v>
      </c>
      <c r="B1253" s="1" t="s">
        <v>4420</v>
      </c>
      <c r="C1253" s="1" t="s">
        <v>4407</v>
      </c>
      <c r="D1253" s="1" t="s">
        <v>4421</v>
      </c>
      <c r="E1253" s="5">
        <v>37220.0</v>
      </c>
      <c r="F1253" s="1" t="s">
        <v>75</v>
      </c>
      <c r="G1253" s="1" t="s">
        <v>31</v>
      </c>
      <c r="H1253" s="1" t="s">
        <v>32</v>
      </c>
      <c r="I1253" s="3">
        <f>+2250767123942</f>
        <v>2250767123942</v>
      </c>
      <c r="J1253" s="3">
        <f>+2250172872578</f>
        <v>2250172872578</v>
      </c>
      <c r="K1253" s="1" t="s">
        <v>19</v>
      </c>
      <c r="L1253" s="4" t="s">
        <v>4422</v>
      </c>
    </row>
    <row r="1254">
      <c r="A1254" s="1" t="s">
        <v>12</v>
      </c>
      <c r="B1254" s="1" t="s">
        <v>4423</v>
      </c>
      <c r="C1254" s="1" t="s">
        <v>4407</v>
      </c>
      <c r="D1254" s="1" t="s">
        <v>4424</v>
      </c>
      <c r="E1254" s="2">
        <v>37743.0</v>
      </c>
      <c r="F1254" s="1" t="s">
        <v>16</v>
      </c>
      <c r="G1254" s="1" t="s">
        <v>17</v>
      </c>
      <c r="H1254" s="1" t="s">
        <v>18</v>
      </c>
      <c r="I1254" s="3">
        <f>+2250706558755</f>
        <v>2250706558755</v>
      </c>
      <c r="J1254" s="3">
        <f>+2250101388962</f>
        <v>2250101388962</v>
      </c>
      <c r="K1254" s="1" t="s">
        <v>19</v>
      </c>
      <c r="L1254" s="4" t="s">
        <v>4425</v>
      </c>
    </row>
    <row r="1255">
      <c r="A1255" s="1" t="s">
        <v>12</v>
      </c>
      <c r="B1255" s="1" t="s">
        <v>4426</v>
      </c>
      <c r="C1255" s="1" t="s">
        <v>4407</v>
      </c>
      <c r="D1255" s="1" t="s">
        <v>4427</v>
      </c>
      <c r="E1255" s="2">
        <v>37933.0</v>
      </c>
      <c r="F1255" s="1" t="s">
        <v>48</v>
      </c>
      <c r="G1255" s="1" t="s">
        <v>31</v>
      </c>
      <c r="H1255" s="1" t="s">
        <v>32</v>
      </c>
      <c r="I1255" s="3">
        <f>+2250700669675</f>
        <v>2250700669675</v>
      </c>
      <c r="J1255" s="3">
        <f>+2250506646818</f>
        <v>2250506646818</v>
      </c>
      <c r="K1255" s="1" t="s">
        <v>19</v>
      </c>
      <c r="L1255" s="4" t="s">
        <v>4428</v>
      </c>
    </row>
    <row r="1256">
      <c r="A1256" s="1" t="s">
        <v>12</v>
      </c>
      <c r="B1256" s="1" t="s">
        <v>4429</v>
      </c>
      <c r="C1256" s="1" t="s">
        <v>4407</v>
      </c>
      <c r="D1256" s="1" t="s">
        <v>4430</v>
      </c>
      <c r="E1256" s="2">
        <v>38410.0</v>
      </c>
      <c r="F1256" s="1" t="s">
        <v>48</v>
      </c>
      <c r="G1256" s="1" t="s">
        <v>76</v>
      </c>
      <c r="H1256" s="1" t="s">
        <v>32</v>
      </c>
      <c r="I1256" s="3">
        <f>+2250574335265</f>
        <v>2250574335265</v>
      </c>
      <c r="J1256" s="3">
        <f>+2250707920952</f>
        <v>2250707920952</v>
      </c>
      <c r="K1256" s="1" t="s">
        <v>19</v>
      </c>
      <c r="L1256" s="4" t="s">
        <v>4431</v>
      </c>
    </row>
    <row r="1257">
      <c r="A1257" s="1" t="s">
        <v>12</v>
      </c>
      <c r="B1257" s="1" t="s">
        <v>4432</v>
      </c>
      <c r="C1257" s="1" t="s">
        <v>4407</v>
      </c>
      <c r="D1257" s="1" t="s">
        <v>4433</v>
      </c>
      <c r="E1257" s="2">
        <v>38474.0</v>
      </c>
      <c r="F1257" s="1" t="s">
        <v>24</v>
      </c>
      <c r="G1257" s="1" t="s">
        <v>17</v>
      </c>
      <c r="H1257" s="1" t="s">
        <v>18</v>
      </c>
      <c r="I1257" s="3">
        <f>+2250758848875</f>
        <v>2250758848875</v>
      </c>
      <c r="J1257" s="3">
        <f>+2250102504126</f>
        <v>2250102504126</v>
      </c>
      <c r="K1257" s="1" t="s">
        <v>19</v>
      </c>
      <c r="L1257" s="4" t="s">
        <v>4434</v>
      </c>
    </row>
    <row r="1258">
      <c r="A1258" s="1" t="s">
        <v>12</v>
      </c>
      <c r="B1258" s="1" t="s">
        <v>4435</v>
      </c>
      <c r="C1258" s="1" t="s">
        <v>4407</v>
      </c>
      <c r="D1258" s="1" t="s">
        <v>2166</v>
      </c>
      <c r="E1258" s="2">
        <v>38268.0</v>
      </c>
      <c r="F1258" s="1" t="s">
        <v>570</v>
      </c>
      <c r="G1258" s="1" t="s">
        <v>82</v>
      </c>
      <c r="H1258" s="1" t="s">
        <v>18</v>
      </c>
      <c r="I1258" s="3">
        <f>+2250143053104</f>
        <v>2250143053104</v>
      </c>
      <c r="J1258" s="3">
        <f>+2250505991435</f>
        <v>2250505991435</v>
      </c>
      <c r="K1258" s="1" t="s">
        <v>19</v>
      </c>
      <c r="L1258" s="4" t="s">
        <v>4436</v>
      </c>
    </row>
    <row r="1259">
      <c r="A1259" s="1" t="s">
        <v>12</v>
      </c>
      <c r="B1259" s="1" t="s">
        <v>4437</v>
      </c>
      <c r="C1259" s="1" t="s">
        <v>4407</v>
      </c>
      <c r="D1259" s="1" t="s">
        <v>4438</v>
      </c>
      <c r="E1259" s="2">
        <v>38324.0</v>
      </c>
      <c r="F1259" s="1" t="s">
        <v>101</v>
      </c>
      <c r="G1259" s="1" t="s">
        <v>31</v>
      </c>
      <c r="H1259" s="1" t="s">
        <v>32</v>
      </c>
      <c r="I1259" s="3">
        <f>+2250595821347</f>
        <v>2250595821347</v>
      </c>
      <c r="J1259" s="3">
        <f>+2250504662359</f>
        <v>2250504662359</v>
      </c>
      <c r="K1259" s="1" t="s">
        <v>19</v>
      </c>
      <c r="L1259" s="4" t="s">
        <v>4439</v>
      </c>
    </row>
    <row r="1260">
      <c r="A1260" s="1" t="s">
        <v>12</v>
      </c>
      <c r="B1260" s="1" t="s">
        <v>4440</v>
      </c>
      <c r="C1260" s="1" t="s">
        <v>4407</v>
      </c>
      <c r="D1260" s="1" t="s">
        <v>1853</v>
      </c>
      <c r="E1260" s="2">
        <v>37530.0</v>
      </c>
      <c r="F1260" s="1" t="s">
        <v>53</v>
      </c>
      <c r="G1260" s="1" t="s">
        <v>25</v>
      </c>
      <c r="H1260" s="1" t="s">
        <v>18</v>
      </c>
      <c r="I1260" s="3">
        <f>+2250506063887</f>
        <v>2250506063887</v>
      </c>
      <c r="J1260" s="3">
        <f>+2250709031311</f>
        <v>2250709031311</v>
      </c>
      <c r="K1260" s="1" t="s">
        <v>19</v>
      </c>
      <c r="L1260" s="4" t="s">
        <v>4441</v>
      </c>
    </row>
    <row r="1261">
      <c r="A1261" s="1" t="s">
        <v>12</v>
      </c>
      <c r="B1261" s="1" t="s">
        <v>4442</v>
      </c>
      <c r="C1261" s="1" t="s">
        <v>4407</v>
      </c>
      <c r="D1261" s="1" t="s">
        <v>1774</v>
      </c>
      <c r="E1261" s="2">
        <v>38049.0</v>
      </c>
      <c r="F1261" s="1" t="s">
        <v>167</v>
      </c>
      <c r="G1261" s="1" t="s">
        <v>17</v>
      </c>
      <c r="H1261" s="1" t="s">
        <v>18</v>
      </c>
      <c r="I1261" s="3">
        <f>+2250500338000</f>
        <v>2250500338000</v>
      </c>
      <c r="J1261" s="3">
        <f>+2250565393517</f>
        <v>2250565393517</v>
      </c>
      <c r="K1261" s="1" t="s">
        <v>19</v>
      </c>
      <c r="L1261" s="4" t="s">
        <v>4443</v>
      </c>
    </row>
    <row r="1262">
      <c r="A1262" s="1" t="s">
        <v>12</v>
      </c>
      <c r="B1262" s="1" t="s">
        <v>4444</v>
      </c>
      <c r="C1262" s="1" t="s">
        <v>4407</v>
      </c>
      <c r="D1262" s="1" t="s">
        <v>4445</v>
      </c>
      <c r="E1262" s="2">
        <v>38091.0</v>
      </c>
      <c r="F1262" s="1" t="s">
        <v>16</v>
      </c>
      <c r="G1262" s="1" t="s">
        <v>25</v>
      </c>
      <c r="H1262" s="1" t="s">
        <v>18</v>
      </c>
      <c r="I1262" s="3">
        <f>+2250101385324</f>
        <v>2250101385324</v>
      </c>
      <c r="J1262" s="3">
        <f>+2250747293913</f>
        <v>2250747293913</v>
      </c>
      <c r="K1262" s="1" t="s">
        <v>19</v>
      </c>
      <c r="L1262" s="4" t="s">
        <v>4446</v>
      </c>
    </row>
    <row r="1263">
      <c r="A1263" s="1" t="s">
        <v>12</v>
      </c>
      <c r="B1263" s="1" t="s">
        <v>4447</v>
      </c>
      <c r="C1263" s="1" t="s">
        <v>4407</v>
      </c>
      <c r="D1263" s="1" t="s">
        <v>4448</v>
      </c>
      <c r="E1263" s="5">
        <v>37184.0</v>
      </c>
      <c r="F1263" s="1" t="s">
        <v>16</v>
      </c>
      <c r="G1263" s="1" t="s">
        <v>17</v>
      </c>
      <c r="H1263" s="1" t="s">
        <v>18</v>
      </c>
      <c r="I1263" s="3">
        <f>+2250787738886</f>
        <v>2250787738886</v>
      </c>
      <c r="J1263" s="3">
        <f>+2250709810129</f>
        <v>2250709810129</v>
      </c>
      <c r="K1263" s="1" t="s">
        <v>19</v>
      </c>
      <c r="L1263" s="4" t="s">
        <v>4449</v>
      </c>
    </row>
    <row r="1264">
      <c r="A1264" s="1" t="s">
        <v>12</v>
      </c>
      <c r="B1264" s="1" t="s">
        <v>4450</v>
      </c>
      <c r="C1264" s="1" t="s">
        <v>4407</v>
      </c>
      <c r="D1264" s="1" t="s">
        <v>4451</v>
      </c>
      <c r="E1264" s="2">
        <v>37877.0</v>
      </c>
      <c r="F1264" s="1" t="s">
        <v>62</v>
      </c>
      <c r="G1264" s="1" t="s">
        <v>17</v>
      </c>
      <c r="H1264" s="1" t="s">
        <v>18</v>
      </c>
      <c r="I1264" s="3">
        <f>+2250586130218</f>
        <v>2250586130218</v>
      </c>
      <c r="J1264" s="3">
        <f>+2250101018020</f>
        <v>2250101018020</v>
      </c>
      <c r="K1264" s="1" t="s">
        <v>19</v>
      </c>
      <c r="L1264" s="4" t="s">
        <v>4452</v>
      </c>
    </row>
    <row r="1265">
      <c r="A1265" s="1" t="s">
        <v>12</v>
      </c>
      <c r="B1265" s="1" t="s">
        <v>4453</v>
      </c>
      <c r="C1265" s="1" t="s">
        <v>4407</v>
      </c>
      <c r="D1265" s="1" t="s">
        <v>4454</v>
      </c>
      <c r="E1265" s="5">
        <v>37620.0</v>
      </c>
      <c r="F1265" s="1" t="s">
        <v>62</v>
      </c>
      <c r="G1265" s="1" t="s">
        <v>17</v>
      </c>
      <c r="H1265" s="1" t="s">
        <v>18</v>
      </c>
      <c r="I1265" s="3">
        <f>+2250702223143</f>
        <v>2250702223143</v>
      </c>
      <c r="J1265" s="3">
        <f>+2250707047395</f>
        <v>2250707047395</v>
      </c>
      <c r="K1265" s="1" t="s">
        <v>19</v>
      </c>
      <c r="L1265" s="4" t="s">
        <v>4455</v>
      </c>
    </row>
    <row r="1266">
      <c r="A1266" s="1" t="s">
        <v>12</v>
      </c>
      <c r="B1266" s="1" t="s">
        <v>4456</v>
      </c>
      <c r="C1266" s="1" t="s">
        <v>4407</v>
      </c>
      <c r="D1266" s="1" t="s">
        <v>4457</v>
      </c>
      <c r="E1266" s="5">
        <v>37920.0</v>
      </c>
      <c r="F1266" s="1" t="s">
        <v>24</v>
      </c>
      <c r="G1266" s="1" t="s">
        <v>17</v>
      </c>
      <c r="H1266" s="1" t="s">
        <v>18</v>
      </c>
      <c r="I1266" s="3">
        <f>+2250702771769</f>
        <v>2250702771769</v>
      </c>
      <c r="J1266" s="3">
        <f>+2250707697050</f>
        <v>2250707697050</v>
      </c>
      <c r="K1266" s="1" t="s">
        <v>19</v>
      </c>
      <c r="L1266" s="4" t="s">
        <v>4458</v>
      </c>
    </row>
    <row r="1267">
      <c r="A1267" s="1" t="s">
        <v>12</v>
      </c>
      <c r="B1267" s="1" t="s">
        <v>4459</v>
      </c>
      <c r="C1267" s="1" t="s">
        <v>4407</v>
      </c>
      <c r="D1267" s="1" t="s">
        <v>4460</v>
      </c>
      <c r="E1267" s="2">
        <v>38468.0</v>
      </c>
      <c r="F1267" s="1" t="s">
        <v>53</v>
      </c>
      <c r="G1267" s="1" t="s">
        <v>25</v>
      </c>
      <c r="H1267" s="1" t="s">
        <v>18</v>
      </c>
      <c r="I1267" s="3">
        <f>+2250501338835</f>
        <v>2250501338835</v>
      </c>
      <c r="J1267" s="3">
        <f>+2250544113537</f>
        <v>2250544113537</v>
      </c>
      <c r="K1267" s="1" t="s">
        <v>19</v>
      </c>
      <c r="L1267" s="4" t="s">
        <v>4461</v>
      </c>
    </row>
    <row r="1268">
      <c r="A1268" s="1" t="s">
        <v>12</v>
      </c>
      <c r="B1268" s="1" t="s">
        <v>4462</v>
      </c>
      <c r="C1268" s="1" t="s">
        <v>4407</v>
      </c>
      <c r="D1268" s="1" t="s">
        <v>4463</v>
      </c>
      <c r="E1268" s="5">
        <v>37609.0</v>
      </c>
      <c r="F1268" s="1" t="s">
        <v>92</v>
      </c>
      <c r="G1268" s="1" t="s">
        <v>31</v>
      </c>
      <c r="H1268" s="1" t="s">
        <v>32</v>
      </c>
      <c r="I1268" s="3">
        <f>+2250767536461</f>
        <v>2250767536461</v>
      </c>
      <c r="J1268" s="3">
        <f>+2250767783874</f>
        <v>2250767783874</v>
      </c>
      <c r="K1268" s="1" t="s">
        <v>19</v>
      </c>
      <c r="L1268" s="4" t="s">
        <v>4464</v>
      </c>
    </row>
    <row r="1269">
      <c r="A1269" s="1" t="s">
        <v>12</v>
      </c>
      <c r="B1269" s="1" t="s">
        <v>4465</v>
      </c>
      <c r="C1269" s="1" t="s">
        <v>4407</v>
      </c>
      <c r="D1269" s="1" t="s">
        <v>4466</v>
      </c>
      <c r="E1269" s="2">
        <v>37164.0</v>
      </c>
      <c r="F1269" s="1" t="s">
        <v>155</v>
      </c>
      <c r="G1269" s="1" t="s">
        <v>31</v>
      </c>
      <c r="H1269" s="1" t="s">
        <v>32</v>
      </c>
      <c r="I1269" s="3">
        <f>+2250140458086</f>
        <v>2250140458086</v>
      </c>
      <c r="J1269" s="3">
        <f>+2250101244223</f>
        <v>2250101244223</v>
      </c>
      <c r="K1269" s="1" t="s">
        <v>19</v>
      </c>
      <c r="L1269" s="4" t="s">
        <v>4467</v>
      </c>
    </row>
    <row r="1270">
      <c r="A1270" s="1" t="s">
        <v>12</v>
      </c>
      <c r="B1270" s="1" t="s">
        <v>4468</v>
      </c>
      <c r="C1270" s="1" t="s">
        <v>4407</v>
      </c>
      <c r="D1270" s="1" t="s">
        <v>3398</v>
      </c>
      <c r="E1270" s="2">
        <v>38772.0</v>
      </c>
      <c r="F1270" s="1" t="s">
        <v>155</v>
      </c>
      <c r="G1270" s="1" t="s">
        <v>76</v>
      </c>
      <c r="H1270" s="1" t="s">
        <v>32</v>
      </c>
      <c r="I1270" s="3">
        <f>+2250545445206</f>
        <v>2250545445206</v>
      </c>
      <c r="J1270" s="3">
        <f>+2250707842092</f>
        <v>2250707842092</v>
      </c>
      <c r="K1270" s="1" t="s">
        <v>19</v>
      </c>
      <c r="L1270" s="4" t="s">
        <v>4469</v>
      </c>
    </row>
    <row r="1271">
      <c r="A1271" s="1" t="s">
        <v>12</v>
      </c>
      <c r="B1271" s="1" t="s">
        <v>4470</v>
      </c>
      <c r="C1271" s="1" t="s">
        <v>4407</v>
      </c>
      <c r="D1271" s="1" t="s">
        <v>4471</v>
      </c>
      <c r="E1271" s="2">
        <v>37385.0</v>
      </c>
      <c r="F1271" s="1" t="s">
        <v>155</v>
      </c>
      <c r="G1271" s="1" t="s">
        <v>76</v>
      </c>
      <c r="H1271" s="1" t="s">
        <v>32</v>
      </c>
      <c r="I1271" s="3">
        <f>+2250757348587</f>
        <v>2250757348587</v>
      </c>
      <c r="J1271" s="3">
        <f>+2250709842286</f>
        <v>2250709842286</v>
      </c>
      <c r="K1271" s="1" t="s">
        <v>19</v>
      </c>
      <c r="L1271" s="4" t="s">
        <v>4472</v>
      </c>
    </row>
    <row r="1272">
      <c r="A1272" s="1" t="s">
        <v>12</v>
      </c>
      <c r="B1272" s="1" t="s">
        <v>4473</v>
      </c>
      <c r="C1272" s="1" t="s">
        <v>4407</v>
      </c>
      <c r="D1272" s="1" t="s">
        <v>4474</v>
      </c>
      <c r="E1272" s="5">
        <v>37970.0</v>
      </c>
      <c r="F1272" s="1" t="s">
        <v>155</v>
      </c>
      <c r="G1272" s="1" t="s">
        <v>25</v>
      </c>
      <c r="H1272" s="1" t="s">
        <v>18</v>
      </c>
      <c r="I1272" s="3">
        <f>+2250575801768</f>
        <v>2250575801768</v>
      </c>
      <c r="J1272" s="3">
        <f>+2250707363956</f>
        <v>2250707363956</v>
      </c>
      <c r="K1272" s="1" t="s">
        <v>19</v>
      </c>
      <c r="L1272" s="4" t="s">
        <v>4475</v>
      </c>
    </row>
    <row r="1273">
      <c r="A1273" s="1" t="s">
        <v>12</v>
      </c>
      <c r="B1273" s="1" t="s">
        <v>4476</v>
      </c>
      <c r="C1273" s="1" t="s">
        <v>4407</v>
      </c>
      <c r="D1273" s="1" t="s">
        <v>4477</v>
      </c>
      <c r="E1273" s="2">
        <v>37714.0</v>
      </c>
      <c r="F1273" s="1" t="s">
        <v>16</v>
      </c>
      <c r="G1273" s="1" t="s">
        <v>17</v>
      </c>
      <c r="H1273" s="1" t="s">
        <v>18</v>
      </c>
      <c r="I1273" s="3">
        <f>+2250799996024</f>
        <v>2250799996024</v>
      </c>
      <c r="J1273" s="3">
        <f>+2250748048035</f>
        <v>2250748048035</v>
      </c>
      <c r="K1273" s="1" t="s">
        <v>19</v>
      </c>
      <c r="L1273" s="4" t="s">
        <v>4478</v>
      </c>
    </row>
    <row r="1274">
      <c r="A1274" s="1" t="s">
        <v>12</v>
      </c>
      <c r="B1274" s="1" t="s">
        <v>4479</v>
      </c>
      <c r="C1274" s="1" t="s">
        <v>4480</v>
      </c>
      <c r="D1274" s="1" t="s">
        <v>4481</v>
      </c>
      <c r="E1274" s="2">
        <v>37382.0</v>
      </c>
      <c r="F1274" s="1" t="s">
        <v>62</v>
      </c>
      <c r="G1274" s="1" t="s">
        <v>17</v>
      </c>
      <c r="H1274" s="1" t="s">
        <v>18</v>
      </c>
      <c r="I1274" s="3">
        <f>+2250779617979</f>
        <v>2250779617979</v>
      </c>
      <c r="J1274" s="3">
        <f>+2250707848923</f>
        <v>2250707848923</v>
      </c>
      <c r="K1274" s="1" t="s">
        <v>19</v>
      </c>
      <c r="L1274" s="4" t="s">
        <v>4482</v>
      </c>
    </row>
    <row r="1275">
      <c r="A1275" s="1" t="s">
        <v>12</v>
      </c>
      <c r="B1275" s="1" t="s">
        <v>4483</v>
      </c>
      <c r="C1275" s="1" t="s">
        <v>4484</v>
      </c>
      <c r="D1275" s="1" t="s">
        <v>3440</v>
      </c>
      <c r="E1275" s="2">
        <v>37274.0</v>
      </c>
      <c r="F1275" s="1" t="s">
        <v>155</v>
      </c>
      <c r="G1275" s="1" t="s">
        <v>76</v>
      </c>
      <c r="H1275" s="1" t="s">
        <v>32</v>
      </c>
      <c r="I1275" s="3">
        <f>+2250502734844</f>
        <v>2250502734844</v>
      </c>
      <c r="J1275" s="3">
        <f>+2250707472665</f>
        <v>2250707472665</v>
      </c>
      <c r="K1275" s="1" t="s">
        <v>19</v>
      </c>
      <c r="L1275" s="4" t="s">
        <v>4485</v>
      </c>
    </row>
    <row r="1276">
      <c r="A1276" s="1" t="s">
        <v>12</v>
      </c>
      <c r="B1276" s="1" t="s">
        <v>4486</v>
      </c>
      <c r="C1276" s="1" t="s">
        <v>4487</v>
      </c>
      <c r="D1276" s="1" t="s">
        <v>4488</v>
      </c>
      <c r="E1276" s="5">
        <v>37917.0</v>
      </c>
      <c r="F1276" s="1" t="s">
        <v>62</v>
      </c>
      <c r="G1276" s="1" t="s">
        <v>17</v>
      </c>
      <c r="H1276" s="1" t="s">
        <v>18</v>
      </c>
      <c r="I1276" s="3">
        <f>+2250779308014</f>
        <v>2250779308014</v>
      </c>
      <c r="J1276" s="3">
        <f>+2250747342725</f>
        <v>2250747342725</v>
      </c>
      <c r="K1276" s="1" t="s">
        <v>19</v>
      </c>
      <c r="L1276" s="4" t="s">
        <v>4489</v>
      </c>
    </row>
    <row r="1277">
      <c r="A1277" s="1" t="s">
        <v>12</v>
      </c>
      <c r="B1277" s="1" t="s">
        <v>4490</v>
      </c>
      <c r="C1277" s="1" t="s">
        <v>4491</v>
      </c>
      <c r="D1277" s="1" t="s">
        <v>4492</v>
      </c>
      <c r="E1277" s="2">
        <v>37311.0</v>
      </c>
      <c r="F1277" s="1" t="s">
        <v>62</v>
      </c>
      <c r="G1277" s="1" t="s">
        <v>17</v>
      </c>
      <c r="H1277" s="1" t="s">
        <v>18</v>
      </c>
      <c r="I1277" s="3">
        <f>+2250501918800</f>
        <v>2250501918800</v>
      </c>
      <c r="J1277" s="3">
        <f>+2250708741828</f>
        <v>2250708741828</v>
      </c>
      <c r="K1277" s="1" t="s">
        <v>19</v>
      </c>
      <c r="L1277" s="4" t="s">
        <v>4493</v>
      </c>
    </row>
    <row r="1278">
      <c r="A1278" s="1" t="s">
        <v>12</v>
      </c>
      <c r="B1278" s="1" t="s">
        <v>4494</v>
      </c>
      <c r="C1278" s="1" t="s">
        <v>4495</v>
      </c>
      <c r="D1278" s="1" t="s">
        <v>4496</v>
      </c>
      <c r="E1278" s="5">
        <v>38308.0</v>
      </c>
      <c r="F1278" s="1" t="s">
        <v>167</v>
      </c>
      <c r="G1278" s="1" t="s">
        <v>25</v>
      </c>
      <c r="H1278" s="1" t="s">
        <v>18</v>
      </c>
      <c r="I1278" s="3">
        <f>+2250556805269</f>
        <v>2250556805269</v>
      </c>
      <c r="J1278" s="3">
        <f>+2250708741454</f>
        <v>2250708741454</v>
      </c>
      <c r="K1278" s="1" t="s">
        <v>19</v>
      </c>
      <c r="L1278" s="4" t="s">
        <v>4497</v>
      </c>
    </row>
    <row r="1279">
      <c r="A1279" s="1" t="s">
        <v>12</v>
      </c>
      <c r="B1279" s="1" t="s">
        <v>4498</v>
      </c>
      <c r="C1279" s="1" t="s">
        <v>4499</v>
      </c>
      <c r="D1279" s="1" t="s">
        <v>4500</v>
      </c>
      <c r="E1279" s="2">
        <v>37664.0</v>
      </c>
      <c r="F1279" s="1" t="s">
        <v>24</v>
      </c>
      <c r="G1279" s="1" t="s">
        <v>25</v>
      </c>
      <c r="H1279" s="1" t="s">
        <v>18</v>
      </c>
      <c r="I1279" s="3">
        <f>+2250769256432</f>
        <v>2250769256432</v>
      </c>
      <c r="J1279" s="3">
        <f>+2250747009093</f>
        <v>2250747009093</v>
      </c>
      <c r="K1279" s="1" t="s">
        <v>19</v>
      </c>
      <c r="L1279" s="4" t="s">
        <v>4501</v>
      </c>
    </row>
    <row r="1280">
      <c r="A1280" s="1" t="s">
        <v>12</v>
      </c>
      <c r="B1280" s="1" t="s">
        <v>4502</v>
      </c>
      <c r="C1280" s="1" t="s">
        <v>4503</v>
      </c>
      <c r="D1280" s="1" t="s">
        <v>4504</v>
      </c>
      <c r="E1280" s="2">
        <v>37739.0</v>
      </c>
      <c r="F1280" s="1" t="s">
        <v>62</v>
      </c>
      <c r="G1280" s="1" t="s">
        <v>17</v>
      </c>
      <c r="H1280" s="1" t="s">
        <v>18</v>
      </c>
      <c r="I1280" s="3">
        <f>+2250574141812</f>
        <v>2250574141812</v>
      </c>
      <c r="J1280" s="3">
        <f>+2250575998801</f>
        <v>2250575998801</v>
      </c>
      <c r="K1280" s="1" t="s">
        <v>19</v>
      </c>
      <c r="L1280" s="4" t="s">
        <v>4505</v>
      </c>
    </row>
    <row r="1281">
      <c r="A1281" s="1" t="s">
        <v>12</v>
      </c>
      <c r="B1281" s="1" t="s">
        <v>4506</v>
      </c>
      <c r="C1281" s="1" t="s">
        <v>4507</v>
      </c>
      <c r="D1281" s="1" t="s">
        <v>4508</v>
      </c>
      <c r="E1281" s="2">
        <v>37260.0</v>
      </c>
      <c r="F1281" s="1" t="s">
        <v>138</v>
      </c>
      <c r="G1281" s="1" t="s">
        <v>76</v>
      </c>
      <c r="H1281" s="1" t="s">
        <v>32</v>
      </c>
      <c r="I1281" s="3">
        <f>+2250584370804</f>
        <v>2250584370804</v>
      </c>
      <c r="J1281" s="3">
        <f>+2250747427070</f>
        <v>2250747427070</v>
      </c>
      <c r="K1281" s="1" t="s">
        <v>19</v>
      </c>
      <c r="L1281" s="4" t="s">
        <v>4509</v>
      </c>
    </row>
    <row r="1282">
      <c r="A1282" s="1" t="s">
        <v>12</v>
      </c>
      <c r="B1282" s="1" t="s">
        <v>4510</v>
      </c>
      <c r="C1282" s="1" t="s">
        <v>4511</v>
      </c>
      <c r="D1282" s="1" t="s">
        <v>4512</v>
      </c>
      <c r="E1282" s="2">
        <v>38140.0</v>
      </c>
      <c r="F1282" s="1" t="s">
        <v>16</v>
      </c>
      <c r="G1282" s="1" t="s">
        <v>17</v>
      </c>
      <c r="H1282" s="1" t="s">
        <v>18</v>
      </c>
      <c r="I1282" s="3">
        <f>+2250151855264</f>
        <v>2250151855264</v>
      </c>
      <c r="J1282" s="3">
        <f>+2250777369980</f>
        <v>2250777369980</v>
      </c>
      <c r="K1282" s="1" t="s">
        <v>19</v>
      </c>
      <c r="L1282" s="4" t="s">
        <v>4513</v>
      </c>
    </row>
    <row r="1283">
      <c r="A1283" s="1" t="s">
        <v>12</v>
      </c>
      <c r="B1283" s="1" t="s">
        <v>4514</v>
      </c>
      <c r="C1283" s="1" t="s">
        <v>4515</v>
      </c>
      <c r="D1283" s="1" t="s">
        <v>4516</v>
      </c>
      <c r="E1283" s="5">
        <v>37606.0</v>
      </c>
      <c r="F1283" s="1" t="s">
        <v>167</v>
      </c>
      <c r="G1283" s="1" t="s">
        <v>17</v>
      </c>
      <c r="H1283" s="1" t="s">
        <v>18</v>
      </c>
      <c r="I1283" s="3">
        <f>+2250575838147</f>
        <v>2250575838147</v>
      </c>
      <c r="J1283" s="3">
        <f>+2250778369149</f>
        <v>2250778369149</v>
      </c>
      <c r="K1283" s="1" t="s">
        <v>19</v>
      </c>
      <c r="L1283" s="4" t="s">
        <v>4517</v>
      </c>
    </row>
    <row r="1284">
      <c r="A1284" s="1" t="s">
        <v>12</v>
      </c>
      <c r="B1284" s="1" t="s">
        <v>4518</v>
      </c>
      <c r="C1284" s="1" t="s">
        <v>4519</v>
      </c>
      <c r="D1284" s="1" t="s">
        <v>4520</v>
      </c>
      <c r="E1284" s="2">
        <v>37047.0</v>
      </c>
      <c r="F1284" s="1" t="s">
        <v>62</v>
      </c>
      <c r="G1284" s="1" t="s">
        <v>25</v>
      </c>
      <c r="H1284" s="1" t="s">
        <v>18</v>
      </c>
      <c r="I1284" s="3">
        <f>+2250777923994</f>
        <v>2250777923994</v>
      </c>
      <c r="J1284" s="3">
        <f>+2250749194391</f>
        <v>2250749194391</v>
      </c>
      <c r="K1284" s="1" t="s">
        <v>19</v>
      </c>
      <c r="L1284" s="4" t="s">
        <v>4521</v>
      </c>
    </row>
    <row r="1285">
      <c r="A1285" s="1" t="s">
        <v>12</v>
      </c>
      <c r="B1285" s="1" t="s">
        <v>4522</v>
      </c>
      <c r="C1285" s="1" t="s">
        <v>4523</v>
      </c>
      <c r="D1285" s="1" t="s">
        <v>3437</v>
      </c>
      <c r="E1285" s="2">
        <v>37069.0</v>
      </c>
      <c r="F1285" s="1" t="s">
        <v>48</v>
      </c>
      <c r="G1285" s="1" t="s">
        <v>82</v>
      </c>
      <c r="H1285" s="1" t="s">
        <v>18</v>
      </c>
      <c r="I1285" s="3">
        <f>+2250778882636</f>
        <v>2250778882636</v>
      </c>
      <c r="J1285" s="3">
        <f>+2250747181965</f>
        <v>2250747181965</v>
      </c>
      <c r="K1285" s="1" t="s">
        <v>19</v>
      </c>
      <c r="L1285" s="4" t="s">
        <v>4524</v>
      </c>
    </row>
    <row r="1286">
      <c r="A1286" s="1" t="s">
        <v>12</v>
      </c>
      <c r="B1286" s="1" t="s">
        <v>4525</v>
      </c>
      <c r="C1286" s="1" t="s">
        <v>4526</v>
      </c>
      <c r="D1286" s="1" t="s">
        <v>4527</v>
      </c>
      <c r="E1286" s="2">
        <v>38838.0</v>
      </c>
      <c r="F1286" s="1" t="s">
        <v>30</v>
      </c>
      <c r="G1286" s="1" t="s">
        <v>76</v>
      </c>
      <c r="H1286" s="1" t="s">
        <v>32</v>
      </c>
      <c r="I1286" s="3">
        <f t="shared" ref="I1286:J1286" si="34">+2250777149944</f>
        <v>2250777149944</v>
      </c>
      <c r="J1286" s="3">
        <f t="shared" si="34"/>
        <v>2250777149944</v>
      </c>
      <c r="K1286" s="1" t="s">
        <v>19</v>
      </c>
      <c r="L1286" s="4" t="s">
        <v>4528</v>
      </c>
    </row>
    <row r="1287">
      <c r="A1287" s="1" t="s">
        <v>12</v>
      </c>
      <c r="B1287" s="1" t="s">
        <v>4529</v>
      </c>
      <c r="C1287" s="1" t="s">
        <v>4530</v>
      </c>
      <c r="D1287" s="1" t="s">
        <v>4531</v>
      </c>
      <c r="E1287" s="5">
        <v>38270.0</v>
      </c>
      <c r="F1287" s="1" t="s">
        <v>53</v>
      </c>
      <c r="G1287" s="1" t="s">
        <v>25</v>
      </c>
      <c r="H1287" s="1" t="s">
        <v>18</v>
      </c>
      <c r="I1287" s="3">
        <f>+2250150189871</f>
        <v>2250150189871</v>
      </c>
      <c r="J1287" s="3">
        <f>+2250777182688</f>
        <v>2250777182688</v>
      </c>
      <c r="K1287" s="1" t="s">
        <v>19</v>
      </c>
      <c r="L1287" s="4" t="s">
        <v>4532</v>
      </c>
    </row>
    <row r="1288">
      <c r="A1288" s="1" t="s">
        <v>12</v>
      </c>
      <c r="B1288" s="1" t="s">
        <v>4533</v>
      </c>
      <c r="C1288" s="1" t="s">
        <v>4534</v>
      </c>
      <c r="D1288" s="1" t="s">
        <v>4535</v>
      </c>
      <c r="E1288" s="2">
        <v>36892.0</v>
      </c>
      <c r="F1288" s="1" t="s">
        <v>53</v>
      </c>
      <c r="G1288" s="1" t="s">
        <v>25</v>
      </c>
      <c r="H1288" s="1" t="s">
        <v>18</v>
      </c>
      <c r="I1288" s="3">
        <f>+2250757297899</f>
        <v>2250757297899</v>
      </c>
      <c r="J1288" s="3">
        <f>+2250574535550</f>
        <v>2250574535550</v>
      </c>
      <c r="K1288" s="1" t="s">
        <v>19</v>
      </c>
      <c r="L1288" s="4" t="s">
        <v>4536</v>
      </c>
    </row>
    <row r="1289">
      <c r="A1289" s="1" t="s">
        <v>12</v>
      </c>
      <c r="B1289" s="1" t="s">
        <v>4537</v>
      </c>
      <c r="C1289" s="1" t="s">
        <v>4538</v>
      </c>
      <c r="D1289" s="1" t="s">
        <v>4539</v>
      </c>
      <c r="E1289" s="2">
        <v>36706.0</v>
      </c>
      <c r="F1289" s="1" t="s">
        <v>92</v>
      </c>
      <c r="G1289" s="1" t="s">
        <v>31</v>
      </c>
      <c r="H1289" s="1" t="s">
        <v>32</v>
      </c>
      <c r="I1289" s="3">
        <f>+2250711458570</f>
        <v>2250711458570</v>
      </c>
      <c r="J1289" s="3">
        <f>+2250103419476</f>
        <v>2250103419476</v>
      </c>
      <c r="K1289" s="1" t="s">
        <v>19</v>
      </c>
      <c r="L1289" s="4" t="s">
        <v>4540</v>
      </c>
    </row>
    <row r="1290">
      <c r="A1290" s="1" t="s">
        <v>12</v>
      </c>
      <c r="B1290" s="1" t="s">
        <v>4541</v>
      </c>
      <c r="C1290" s="1" t="s">
        <v>4542</v>
      </c>
      <c r="D1290" s="1" t="s">
        <v>4543</v>
      </c>
      <c r="E1290" s="2">
        <v>37732.0</v>
      </c>
      <c r="F1290" s="1" t="s">
        <v>138</v>
      </c>
      <c r="G1290" s="1" t="s">
        <v>31</v>
      </c>
      <c r="H1290" s="1" t="s">
        <v>32</v>
      </c>
      <c r="I1290" s="3">
        <f>+2250574929192</f>
        <v>2250574929192</v>
      </c>
      <c r="J1290" s="3">
        <f>+2250709195513</f>
        <v>2250709195513</v>
      </c>
      <c r="K1290" s="1" t="s">
        <v>19</v>
      </c>
      <c r="L1290" s="4" t="s">
        <v>4544</v>
      </c>
    </row>
    <row r="1291">
      <c r="A1291" s="1" t="s">
        <v>12</v>
      </c>
      <c r="B1291" s="1" t="s">
        <v>4545</v>
      </c>
      <c r="C1291" s="1" t="s">
        <v>4546</v>
      </c>
      <c r="D1291" s="1" t="s">
        <v>4547</v>
      </c>
      <c r="E1291" s="2">
        <v>38088.0</v>
      </c>
      <c r="F1291" s="1" t="s">
        <v>16</v>
      </c>
      <c r="G1291" s="1" t="s">
        <v>25</v>
      </c>
      <c r="H1291" s="1" t="s">
        <v>18</v>
      </c>
      <c r="I1291" s="3">
        <f>+2250103600668</f>
        <v>2250103600668</v>
      </c>
      <c r="J1291" s="3">
        <f>+2250101064869</f>
        <v>2250101064869</v>
      </c>
      <c r="K1291" s="1" t="s">
        <v>19</v>
      </c>
      <c r="L1291" s="4" t="s">
        <v>4548</v>
      </c>
    </row>
    <row r="1292">
      <c r="A1292" s="1" t="s">
        <v>12</v>
      </c>
      <c r="B1292" s="1" t="s">
        <v>4549</v>
      </c>
      <c r="C1292" s="1" t="s">
        <v>4550</v>
      </c>
      <c r="D1292" s="1" t="s">
        <v>4551</v>
      </c>
      <c r="E1292" s="2">
        <v>36978.0</v>
      </c>
      <c r="F1292" s="1" t="s">
        <v>48</v>
      </c>
      <c r="G1292" s="1" t="s">
        <v>76</v>
      </c>
      <c r="H1292" s="1" t="s">
        <v>32</v>
      </c>
      <c r="I1292" s="3">
        <f>+2250767903247</f>
        <v>2250767903247</v>
      </c>
      <c r="J1292" s="3">
        <f>+2250140127998</f>
        <v>2250140127998</v>
      </c>
      <c r="K1292" s="1" t="s">
        <v>19</v>
      </c>
      <c r="L1292" s="4" t="s">
        <v>4552</v>
      </c>
    </row>
    <row r="1293">
      <c r="A1293" s="1" t="s">
        <v>12</v>
      </c>
      <c r="B1293" s="1" t="s">
        <v>4553</v>
      </c>
      <c r="C1293" s="1" t="s">
        <v>4554</v>
      </c>
      <c r="D1293" s="1" t="s">
        <v>4555</v>
      </c>
      <c r="E1293" s="2">
        <v>37987.0</v>
      </c>
      <c r="F1293" s="1" t="s">
        <v>53</v>
      </c>
      <c r="G1293" s="1" t="s">
        <v>25</v>
      </c>
      <c r="H1293" s="1" t="s">
        <v>18</v>
      </c>
      <c r="I1293" s="3">
        <f>+2250152600223</f>
        <v>2250152600223</v>
      </c>
      <c r="J1293" s="3">
        <f>+2250749288076</f>
        <v>2250749288076</v>
      </c>
      <c r="K1293" s="1" t="s">
        <v>19</v>
      </c>
      <c r="L1293" s="4" t="s">
        <v>4556</v>
      </c>
    </row>
    <row r="1294">
      <c r="A1294" s="1" t="s">
        <v>12</v>
      </c>
      <c r="B1294" s="1" t="s">
        <v>4557</v>
      </c>
      <c r="C1294" s="1" t="s">
        <v>4558</v>
      </c>
      <c r="D1294" s="1" t="s">
        <v>4559</v>
      </c>
      <c r="E1294" s="5">
        <v>35718.0</v>
      </c>
      <c r="F1294" s="1" t="s">
        <v>62</v>
      </c>
      <c r="G1294" s="1" t="s">
        <v>17</v>
      </c>
      <c r="H1294" s="1" t="s">
        <v>18</v>
      </c>
      <c r="I1294" s="3">
        <f>+2250705154118</f>
        <v>2250705154118</v>
      </c>
      <c r="J1294" s="3">
        <f>+2250576495153</f>
        <v>2250576495153</v>
      </c>
      <c r="K1294" s="1" t="s">
        <v>19</v>
      </c>
      <c r="L1294" s="4" t="s">
        <v>4560</v>
      </c>
    </row>
    <row r="1295">
      <c r="A1295" s="1" t="s">
        <v>12</v>
      </c>
      <c r="B1295" s="1" t="s">
        <v>4561</v>
      </c>
      <c r="C1295" s="1" t="s">
        <v>4562</v>
      </c>
      <c r="D1295" s="1" t="s">
        <v>4563</v>
      </c>
      <c r="E1295" s="2">
        <v>37169.0</v>
      </c>
      <c r="F1295" s="1" t="s">
        <v>62</v>
      </c>
      <c r="G1295" s="1" t="s">
        <v>17</v>
      </c>
      <c r="H1295" s="1" t="s">
        <v>18</v>
      </c>
      <c r="I1295" s="3">
        <f>+2250767181794</f>
        <v>2250767181794</v>
      </c>
      <c r="J1295" s="3">
        <f>+2250749318716</f>
        <v>2250749318716</v>
      </c>
      <c r="K1295" s="1" t="s">
        <v>19</v>
      </c>
      <c r="L1295" s="4" t="s">
        <v>4564</v>
      </c>
    </row>
    <row r="1296">
      <c r="A1296" s="1" t="s">
        <v>12</v>
      </c>
      <c r="B1296" s="1" t="s">
        <v>4565</v>
      </c>
      <c r="C1296" s="1" t="s">
        <v>4566</v>
      </c>
      <c r="D1296" s="1" t="s">
        <v>4567</v>
      </c>
      <c r="E1296" s="2">
        <v>37687.0</v>
      </c>
      <c r="F1296" s="1" t="s">
        <v>62</v>
      </c>
      <c r="G1296" s="1" t="s">
        <v>25</v>
      </c>
      <c r="H1296" s="1" t="s">
        <v>18</v>
      </c>
      <c r="I1296" s="3">
        <f>+2250554693818</f>
        <v>2250554693818</v>
      </c>
      <c r="J1296" s="3">
        <f>+2250556669415</f>
        <v>2250556669415</v>
      </c>
      <c r="K1296" s="1" t="s">
        <v>19</v>
      </c>
      <c r="L1296" s="4" t="s">
        <v>4568</v>
      </c>
    </row>
    <row r="1297">
      <c r="A1297" s="1" t="s">
        <v>12</v>
      </c>
      <c r="B1297" s="1" t="s">
        <v>4569</v>
      </c>
      <c r="C1297" s="1" t="s">
        <v>4570</v>
      </c>
      <c r="D1297" s="1" t="s">
        <v>4571</v>
      </c>
      <c r="E1297" s="5">
        <v>37192.0</v>
      </c>
      <c r="F1297" s="1" t="s">
        <v>16</v>
      </c>
      <c r="G1297" s="1" t="s">
        <v>17</v>
      </c>
      <c r="H1297" s="1" t="s">
        <v>18</v>
      </c>
      <c r="I1297" s="3">
        <f>+2250172038671</f>
        <v>2250172038671</v>
      </c>
      <c r="J1297" s="3">
        <f>+2250777149482</f>
        <v>2250777149482</v>
      </c>
      <c r="K1297" s="1" t="s">
        <v>19</v>
      </c>
      <c r="L1297" s="4" t="s">
        <v>4572</v>
      </c>
    </row>
    <row r="1298">
      <c r="A1298" s="1" t="s">
        <v>12</v>
      </c>
      <c r="B1298" s="1" t="s">
        <v>4573</v>
      </c>
      <c r="C1298" s="1" t="s">
        <v>4574</v>
      </c>
      <c r="D1298" s="1" t="s">
        <v>4575</v>
      </c>
      <c r="E1298" s="2">
        <v>38178.0</v>
      </c>
      <c r="F1298" s="1" t="s">
        <v>155</v>
      </c>
      <c r="G1298" s="1" t="s">
        <v>76</v>
      </c>
      <c r="H1298" s="1" t="s">
        <v>32</v>
      </c>
      <c r="I1298" s="3">
        <f>+2250566239998</f>
        <v>2250566239998</v>
      </c>
      <c r="J1298" s="3">
        <f>+2250748211183</f>
        <v>2250748211183</v>
      </c>
      <c r="K1298" s="1" t="s">
        <v>19</v>
      </c>
      <c r="L1298" s="4" t="s">
        <v>4576</v>
      </c>
    </row>
    <row r="1299">
      <c r="A1299" s="1" t="s">
        <v>12</v>
      </c>
      <c r="B1299" s="1" t="s">
        <v>4577</v>
      </c>
      <c r="C1299" s="1" t="s">
        <v>4578</v>
      </c>
      <c r="D1299" s="1" t="s">
        <v>4579</v>
      </c>
      <c r="E1299" s="2">
        <v>38032.0</v>
      </c>
      <c r="F1299" s="1" t="s">
        <v>1850</v>
      </c>
      <c r="G1299" s="1" t="s">
        <v>76</v>
      </c>
      <c r="H1299" s="1" t="s">
        <v>32</v>
      </c>
      <c r="I1299" s="3">
        <f>+2250787404013</f>
        <v>2250787404013</v>
      </c>
      <c r="J1299" s="3">
        <f>+2250707076526</f>
        <v>2250707076526</v>
      </c>
      <c r="K1299" s="1" t="s">
        <v>19</v>
      </c>
      <c r="L1299" s="4" t="s">
        <v>4580</v>
      </c>
    </row>
    <row r="1300">
      <c r="A1300" s="1" t="s">
        <v>12</v>
      </c>
      <c r="B1300" s="1" t="s">
        <v>4581</v>
      </c>
      <c r="C1300" s="1" t="s">
        <v>4582</v>
      </c>
      <c r="D1300" s="1" t="s">
        <v>4583</v>
      </c>
      <c r="E1300" s="2">
        <v>38477.0</v>
      </c>
      <c r="F1300" s="1" t="s">
        <v>155</v>
      </c>
      <c r="G1300" s="1" t="s">
        <v>76</v>
      </c>
      <c r="H1300" s="1" t="s">
        <v>32</v>
      </c>
      <c r="I1300" s="3">
        <f>+2250153733771</f>
        <v>2250153733771</v>
      </c>
      <c r="J1300" s="3">
        <f>+2250173265246</f>
        <v>2250173265246</v>
      </c>
      <c r="K1300" s="1" t="s">
        <v>19</v>
      </c>
      <c r="L1300" s="4" t="s">
        <v>4584</v>
      </c>
    </row>
    <row r="1301">
      <c r="A1301" s="1" t="s">
        <v>12</v>
      </c>
      <c r="B1301" s="1" t="s">
        <v>4585</v>
      </c>
      <c r="C1301" s="1" t="s">
        <v>4586</v>
      </c>
      <c r="D1301" s="1" t="s">
        <v>4587</v>
      </c>
      <c r="E1301" s="2">
        <v>38876.0</v>
      </c>
      <c r="F1301" s="1" t="s">
        <v>101</v>
      </c>
      <c r="G1301" s="1" t="s">
        <v>76</v>
      </c>
      <c r="H1301" s="1" t="s">
        <v>32</v>
      </c>
      <c r="I1301" s="3">
        <f>+2250775442302</f>
        <v>2250775442302</v>
      </c>
      <c r="J1301" s="3">
        <f>+2250545796909</f>
        <v>2250545796909</v>
      </c>
      <c r="K1301" s="1" t="s">
        <v>19</v>
      </c>
      <c r="L1301" s="4" t="s">
        <v>4588</v>
      </c>
    </row>
    <row r="1302">
      <c r="A1302" s="1" t="s">
        <v>12</v>
      </c>
      <c r="B1302" s="1" t="s">
        <v>4589</v>
      </c>
      <c r="C1302" s="1" t="s">
        <v>4590</v>
      </c>
      <c r="D1302" s="1" t="s">
        <v>4591</v>
      </c>
      <c r="E1302" s="2">
        <v>37483.0</v>
      </c>
      <c r="F1302" s="1" t="s">
        <v>62</v>
      </c>
      <c r="G1302" s="1" t="s">
        <v>17</v>
      </c>
      <c r="H1302" s="1" t="s">
        <v>18</v>
      </c>
      <c r="I1302" s="3">
        <f>+2250566767323</f>
        <v>2250566767323</v>
      </c>
      <c r="J1302" s="3">
        <f>+2250101359816</f>
        <v>2250101359816</v>
      </c>
      <c r="K1302" s="1" t="s">
        <v>19</v>
      </c>
      <c r="L1302" s="4" t="s">
        <v>4592</v>
      </c>
    </row>
    <row r="1303">
      <c r="A1303" s="1" t="s">
        <v>12</v>
      </c>
      <c r="B1303" s="1" t="s">
        <v>4593</v>
      </c>
      <c r="C1303" s="1" t="s">
        <v>4594</v>
      </c>
      <c r="D1303" s="1" t="s">
        <v>4595</v>
      </c>
      <c r="E1303" s="2">
        <v>38837.0</v>
      </c>
      <c r="F1303" s="1" t="s">
        <v>24</v>
      </c>
      <c r="G1303" s="1" t="s">
        <v>25</v>
      </c>
      <c r="H1303" s="1" t="s">
        <v>18</v>
      </c>
      <c r="I1303" s="3">
        <f>+2250151069510</f>
        <v>2250151069510</v>
      </c>
      <c r="J1303" s="3">
        <f>+2250787729503</f>
        <v>2250787729503</v>
      </c>
      <c r="K1303" s="1" t="s">
        <v>19</v>
      </c>
      <c r="L1303" s="4" t="s">
        <v>4596</v>
      </c>
    </row>
    <row r="1304">
      <c r="A1304" s="1" t="s">
        <v>12</v>
      </c>
      <c r="B1304" s="1" t="s">
        <v>4597</v>
      </c>
      <c r="C1304" s="1" t="s">
        <v>4598</v>
      </c>
      <c r="D1304" s="1" t="s">
        <v>4599</v>
      </c>
      <c r="E1304" s="2">
        <v>37897.0</v>
      </c>
      <c r="F1304" s="1" t="s">
        <v>53</v>
      </c>
      <c r="G1304" s="1" t="s">
        <v>17</v>
      </c>
      <c r="H1304" s="1" t="s">
        <v>18</v>
      </c>
      <c r="I1304" s="3">
        <f>+2250502085167</f>
        <v>2250502085167</v>
      </c>
      <c r="J1304" s="3">
        <f>+2250505607459</f>
        <v>2250505607459</v>
      </c>
      <c r="K1304" s="1" t="s">
        <v>19</v>
      </c>
      <c r="L1304" s="4" t="s">
        <v>4600</v>
      </c>
    </row>
    <row r="1305">
      <c r="A1305" s="1" t="s">
        <v>12</v>
      </c>
      <c r="B1305" s="1" t="s">
        <v>4601</v>
      </c>
      <c r="C1305" s="1" t="s">
        <v>4598</v>
      </c>
      <c r="D1305" s="1" t="s">
        <v>4602</v>
      </c>
      <c r="E1305" s="5">
        <v>37182.0</v>
      </c>
      <c r="F1305" s="1" t="s">
        <v>147</v>
      </c>
      <c r="G1305" s="1" t="s">
        <v>25</v>
      </c>
      <c r="H1305" s="1" t="s">
        <v>18</v>
      </c>
      <c r="I1305" s="3">
        <f>+2250748003522</f>
        <v>2250748003522</v>
      </c>
      <c r="J1305" s="3">
        <f>+2250504214280</f>
        <v>2250504214280</v>
      </c>
      <c r="K1305" s="1" t="s">
        <v>19</v>
      </c>
      <c r="L1305" s="4" t="s">
        <v>4603</v>
      </c>
    </row>
    <row r="1306">
      <c r="A1306" s="1" t="s">
        <v>12</v>
      </c>
      <c r="B1306" s="1" t="s">
        <v>4604</v>
      </c>
      <c r="C1306" s="1" t="s">
        <v>4605</v>
      </c>
      <c r="D1306" s="1" t="s">
        <v>4606</v>
      </c>
      <c r="E1306" s="2">
        <v>37524.0</v>
      </c>
      <c r="F1306" s="1" t="s">
        <v>155</v>
      </c>
      <c r="G1306" s="1" t="s">
        <v>31</v>
      </c>
      <c r="H1306" s="1" t="s">
        <v>32</v>
      </c>
      <c r="I1306" s="3">
        <f>+2250767336441</f>
        <v>2250767336441</v>
      </c>
      <c r="J1306" s="3">
        <f>+225010361775</f>
        <v>225010361775</v>
      </c>
      <c r="K1306" s="1" t="s">
        <v>19</v>
      </c>
      <c r="L1306" s="4" t="s">
        <v>4607</v>
      </c>
    </row>
    <row r="1307">
      <c r="A1307" s="1" t="s">
        <v>12</v>
      </c>
      <c r="B1307" s="1" t="s">
        <v>4608</v>
      </c>
      <c r="C1307" s="1" t="s">
        <v>4609</v>
      </c>
      <c r="D1307" s="1" t="s">
        <v>4610</v>
      </c>
      <c r="E1307" s="2">
        <v>38048.0</v>
      </c>
      <c r="F1307" s="1" t="s">
        <v>48</v>
      </c>
      <c r="G1307" s="1" t="s">
        <v>31</v>
      </c>
      <c r="H1307" s="1" t="s">
        <v>32</v>
      </c>
      <c r="I1307" s="3">
        <f>+2250797273301</f>
        <v>2250797273301</v>
      </c>
      <c r="J1307" s="3">
        <f>+2250708451774</f>
        <v>2250708451774</v>
      </c>
      <c r="K1307" s="1" t="s">
        <v>19</v>
      </c>
      <c r="L1307" s="4" t="s">
        <v>4611</v>
      </c>
    </row>
    <row r="1308">
      <c r="A1308" s="1" t="s">
        <v>12</v>
      </c>
      <c r="B1308" s="1" t="s">
        <v>4612</v>
      </c>
      <c r="C1308" s="1" t="s">
        <v>4609</v>
      </c>
      <c r="D1308" s="1" t="s">
        <v>4613</v>
      </c>
      <c r="E1308" s="5">
        <v>37559.0</v>
      </c>
      <c r="F1308" s="1" t="s">
        <v>48</v>
      </c>
      <c r="G1308" s="1" t="s">
        <v>82</v>
      </c>
      <c r="H1308" s="1" t="s">
        <v>18</v>
      </c>
      <c r="I1308" s="3">
        <f>+2250787581359</f>
        <v>2250787581359</v>
      </c>
      <c r="J1308" s="3">
        <f>+2250778751365</f>
        <v>2250778751365</v>
      </c>
      <c r="K1308" s="1" t="s">
        <v>19</v>
      </c>
      <c r="L1308" s="4" t="s">
        <v>4614</v>
      </c>
    </row>
    <row r="1309">
      <c r="A1309" s="1" t="s">
        <v>12</v>
      </c>
      <c r="B1309" s="1" t="s">
        <v>4615</v>
      </c>
      <c r="C1309" s="1" t="s">
        <v>4609</v>
      </c>
      <c r="D1309" s="1" t="s">
        <v>4616</v>
      </c>
      <c r="E1309" s="5">
        <v>38316.0</v>
      </c>
      <c r="F1309" s="1" t="s">
        <v>62</v>
      </c>
      <c r="G1309" s="1" t="s">
        <v>17</v>
      </c>
      <c r="H1309" s="1" t="s">
        <v>18</v>
      </c>
      <c r="I1309" s="3">
        <f>+2250710520713</f>
        <v>2250710520713</v>
      </c>
      <c r="J1309" s="3">
        <f>+2250707644472</f>
        <v>2250707644472</v>
      </c>
      <c r="K1309" s="1" t="s">
        <v>19</v>
      </c>
      <c r="L1309" s="4" t="s">
        <v>4617</v>
      </c>
    </row>
    <row r="1310">
      <c r="A1310" s="1" t="s">
        <v>12</v>
      </c>
      <c r="B1310" s="1" t="s">
        <v>4618</v>
      </c>
      <c r="C1310" s="1" t="s">
        <v>4619</v>
      </c>
      <c r="D1310" s="1" t="s">
        <v>4620</v>
      </c>
      <c r="E1310" s="2">
        <v>38323.0</v>
      </c>
      <c r="F1310" s="1" t="s">
        <v>62</v>
      </c>
      <c r="G1310" s="1" t="s">
        <v>17</v>
      </c>
      <c r="H1310" s="1" t="s">
        <v>18</v>
      </c>
      <c r="I1310" s="3">
        <f>+2250585513880</f>
        <v>2250585513880</v>
      </c>
      <c r="J1310" s="3">
        <f>+2250141384564</f>
        <v>2250141384564</v>
      </c>
      <c r="K1310" s="1" t="s">
        <v>19</v>
      </c>
      <c r="L1310" s="4" t="s">
        <v>4621</v>
      </c>
    </row>
    <row r="1311">
      <c r="A1311" s="1" t="s">
        <v>12</v>
      </c>
      <c r="B1311" s="1" t="s">
        <v>4622</v>
      </c>
      <c r="C1311" s="1" t="s">
        <v>4619</v>
      </c>
      <c r="D1311" s="1" t="s">
        <v>4623</v>
      </c>
      <c r="E1311" s="2">
        <v>38794.0</v>
      </c>
      <c r="F1311" s="1" t="s">
        <v>53</v>
      </c>
      <c r="G1311" s="1" t="s">
        <v>25</v>
      </c>
      <c r="H1311" s="1" t="s">
        <v>18</v>
      </c>
      <c r="I1311" s="3">
        <f>+2250556858221</f>
        <v>2250556858221</v>
      </c>
      <c r="J1311" s="3">
        <f>+2250141169189</f>
        <v>2250141169189</v>
      </c>
      <c r="K1311" s="1" t="s">
        <v>19</v>
      </c>
      <c r="L1311" s="4" t="s">
        <v>4624</v>
      </c>
    </row>
    <row r="1312">
      <c r="A1312" s="1" t="s">
        <v>12</v>
      </c>
      <c r="B1312" s="1" t="s">
        <v>4625</v>
      </c>
      <c r="C1312" s="1" t="s">
        <v>4626</v>
      </c>
      <c r="D1312" s="1" t="s">
        <v>4627</v>
      </c>
      <c r="E1312" s="2">
        <v>39215.0</v>
      </c>
      <c r="F1312" s="1" t="s">
        <v>30</v>
      </c>
      <c r="G1312" s="1" t="s">
        <v>76</v>
      </c>
      <c r="H1312" s="1" t="s">
        <v>32</v>
      </c>
      <c r="I1312" s="3">
        <f>+2250707814495</f>
        <v>2250707814495</v>
      </c>
      <c r="J1312" s="3">
        <f>+2250707700648</f>
        <v>2250707700648</v>
      </c>
      <c r="K1312" s="1" t="s">
        <v>19</v>
      </c>
      <c r="L1312" s="4" t="s">
        <v>4628</v>
      </c>
    </row>
    <row r="1313">
      <c r="A1313" s="1" t="s">
        <v>12</v>
      </c>
      <c r="B1313" s="1" t="s">
        <v>4629</v>
      </c>
      <c r="C1313" s="1" t="s">
        <v>4630</v>
      </c>
      <c r="D1313" s="1" t="s">
        <v>4631</v>
      </c>
      <c r="E1313" s="2">
        <v>37030.0</v>
      </c>
      <c r="F1313" s="1" t="s">
        <v>138</v>
      </c>
      <c r="G1313" s="1" t="s">
        <v>76</v>
      </c>
      <c r="H1313" s="1" t="s">
        <v>32</v>
      </c>
      <c r="I1313" s="3">
        <f>+2250503691710</f>
        <v>2250503691710</v>
      </c>
      <c r="J1313" s="3">
        <f>+2250544928036</f>
        <v>2250544928036</v>
      </c>
      <c r="K1313" s="1" t="s">
        <v>19</v>
      </c>
      <c r="L1313" s="4" t="s">
        <v>4632</v>
      </c>
    </row>
    <row r="1314">
      <c r="A1314" s="1" t="s">
        <v>12</v>
      </c>
      <c r="B1314" s="1" t="s">
        <v>4633</v>
      </c>
      <c r="C1314" s="1" t="s">
        <v>4634</v>
      </c>
      <c r="D1314" s="1" t="s">
        <v>4635</v>
      </c>
      <c r="E1314" s="2">
        <v>36559.0</v>
      </c>
      <c r="F1314" s="1" t="s">
        <v>30</v>
      </c>
      <c r="G1314" s="1" t="s">
        <v>76</v>
      </c>
      <c r="H1314" s="1" t="s">
        <v>32</v>
      </c>
      <c r="I1314" s="3">
        <f>+2250797907945</f>
        <v>2250797907945</v>
      </c>
      <c r="J1314" s="3">
        <f>+2250153807615</f>
        <v>2250153807615</v>
      </c>
      <c r="K1314" s="1" t="s">
        <v>19</v>
      </c>
      <c r="L1314" s="4" t="s">
        <v>4636</v>
      </c>
    </row>
    <row r="1315">
      <c r="A1315" s="1" t="s">
        <v>12</v>
      </c>
      <c r="B1315" s="1" t="s">
        <v>4637</v>
      </c>
      <c r="C1315" s="1" t="s">
        <v>4638</v>
      </c>
      <c r="D1315" s="1" t="s">
        <v>4639</v>
      </c>
      <c r="E1315" s="2">
        <v>37808.0</v>
      </c>
      <c r="F1315" s="1" t="s">
        <v>62</v>
      </c>
      <c r="G1315" s="1" t="s">
        <v>25</v>
      </c>
      <c r="H1315" s="1" t="s">
        <v>18</v>
      </c>
      <c r="I1315" s="3">
        <f>+2250170971486</f>
        <v>2250170971486</v>
      </c>
      <c r="J1315" s="3">
        <f>+2250707950212</f>
        <v>2250707950212</v>
      </c>
      <c r="K1315" s="1" t="s">
        <v>19</v>
      </c>
      <c r="L1315" s="4" t="s">
        <v>4640</v>
      </c>
    </row>
    <row r="1316">
      <c r="A1316" s="1" t="s">
        <v>12</v>
      </c>
      <c r="B1316" s="1" t="s">
        <v>4641</v>
      </c>
      <c r="C1316" s="1" t="s">
        <v>4642</v>
      </c>
      <c r="D1316" s="1" t="s">
        <v>4643</v>
      </c>
      <c r="E1316" s="2">
        <v>37961.0</v>
      </c>
      <c r="F1316" s="1" t="s">
        <v>53</v>
      </c>
      <c r="G1316" s="1" t="s">
        <v>17</v>
      </c>
      <c r="H1316" s="1" t="s">
        <v>18</v>
      </c>
      <c r="I1316" s="3">
        <f>+2250170994386</f>
        <v>2250170994386</v>
      </c>
      <c r="J1316" s="3">
        <f>+2250103205956</f>
        <v>2250103205956</v>
      </c>
      <c r="K1316" s="1" t="s">
        <v>19</v>
      </c>
      <c r="L1316" s="4" t="s">
        <v>4644</v>
      </c>
    </row>
    <row r="1317">
      <c r="A1317" s="1" t="s">
        <v>12</v>
      </c>
      <c r="B1317" s="1" t="s">
        <v>4645</v>
      </c>
      <c r="C1317" s="1" t="s">
        <v>4646</v>
      </c>
      <c r="D1317" s="1" t="s">
        <v>4647</v>
      </c>
      <c r="E1317" s="2">
        <v>38719.0</v>
      </c>
      <c r="F1317" s="1" t="s">
        <v>62</v>
      </c>
      <c r="G1317" s="1" t="s">
        <v>25</v>
      </c>
      <c r="H1317" s="1" t="s">
        <v>18</v>
      </c>
      <c r="I1317" s="3">
        <f>+2250748820815</f>
        <v>2250748820815</v>
      </c>
      <c r="J1317" s="3">
        <f t="shared" ref="J1317:J1318" si="35">+2250704536494</f>
        <v>2250704536494</v>
      </c>
      <c r="K1317" s="1" t="s">
        <v>19</v>
      </c>
      <c r="L1317" s="4" t="s">
        <v>4648</v>
      </c>
    </row>
    <row r="1318">
      <c r="A1318" s="1" t="s">
        <v>12</v>
      </c>
      <c r="B1318" s="1" t="s">
        <v>4649</v>
      </c>
      <c r="C1318" s="1" t="s">
        <v>4646</v>
      </c>
      <c r="D1318" s="1" t="s">
        <v>4650</v>
      </c>
      <c r="E1318" s="2">
        <v>37868.0</v>
      </c>
      <c r="F1318" s="1" t="s">
        <v>62</v>
      </c>
      <c r="G1318" s="1" t="s">
        <v>25</v>
      </c>
      <c r="H1318" s="1" t="s">
        <v>18</v>
      </c>
      <c r="I1318" s="3">
        <f>+2250798505932</f>
        <v>2250798505932</v>
      </c>
      <c r="J1318" s="3">
        <f t="shared" si="35"/>
        <v>2250704536494</v>
      </c>
      <c r="K1318" s="1" t="s">
        <v>19</v>
      </c>
      <c r="L1318" s="4" t="s">
        <v>4651</v>
      </c>
    </row>
    <row r="1319">
      <c r="A1319" s="1" t="s">
        <v>12</v>
      </c>
      <c r="B1319" s="1" t="s">
        <v>4652</v>
      </c>
      <c r="C1319" s="1" t="s">
        <v>4653</v>
      </c>
      <c r="D1319" s="1" t="s">
        <v>4654</v>
      </c>
      <c r="E1319" s="2">
        <v>38857.0</v>
      </c>
      <c r="F1319" s="1" t="s">
        <v>62</v>
      </c>
      <c r="G1319" s="1" t="s">
        <v>17</v>
      </c>
      <c r="H1319" s="1" t="s">
        <v>18</v>
      </c>
      <c r="I1319" s="3">
        <f>+2250566023178</f>
        <v>2250566023178</v>
      </c>
      <c r="J1319" s="3">
        <f>+2250151157546</f>
        <v>2250151157546</v>
      </c>
      <c r="K1319" s="1" t="s">
        <v>19</v>
      </c>
      <c r="L1319" s="4" t="s">
        <v>4655</v>
      </c>
    </row>
    <row r="1320">
      <c r="A1320" s="1" t="s">
        <v>12</v>
      </c>
      <c r="B1320" s="1" t="s">
        <v>4656</v>
      </c>
      <c r="C1320" s="1" t="s">
        <v>4657</v>
      </c>
      <c r="D1320" s="1" t="s">
        <v>4658</v>
      </c>
      <c r="E1320" s="2">
        <v>37800.0</v>
      </c>
      <c r="F1320" s="1" t="s">
        <v>62</v>
      </c>
      <c r="G1320" s="1" t="s">
        <v>25</v>
      </c>
      <c r="H1320" s="1" t="s">
        <v>18</v>
      </c>
      <c r="I1320" s="3">
        <f>+2250707544050</f>
        <v>2250707544050</v>
      </c>
      <c r="J1320" s="3">
        <f>+2250707643524</f>
        <v>2250707643524</v>
      </c>
      <c r="K1320" s="1" t="s">
        <v>19</v>
      </c>
      <c r="L1320" s="4" t="s">
        <v>4659</v>
      </c>
    </row>
    <row r="1321">
      <c r="A1321" s="1" t="s">
        <v>12</v>
      </c>
      <c r="B1321" s="1" t="s">
        <v>4660</v>
      </c>
      <c r="C1321" s="1" t="s">
        <v>4657</v>
      </c>
      <c r="D1321" s="1" t="s">
        <v>4661</v>
      </c>
      <c r="E1321" s="2">
        <v>37568.0</v>
      </c>
      <c r="F1321" s="1" t="s">
        <v>24</v>
      </c>
      <c r="G1321" s="1" t="s">
        <v>17</v>
      </c>
      <c r="H1321" s="1" t="s">
        <v>18</v>
      </c>
      <c r="I1321" s="3">
        <f>+2250768874911</f>
        <v>2250768874911</v>
      </c>
      <c r="J1321" s="3">
        <f t="shared" ref="J1321:J1322" si="36">+2250788493729</f>
        <v>2250788493729</v>
      </c>
      <c r="K1321" s="1" t="s">
        <v>19</v>
      </c>
      <c r="L1321" s="4" t="s">
        <v>4662</v>
      </c>
    </row>
    <row r="1322">
      <c r="A1322" s="1" t="s">
        <v>12</v>
      </c>
      <c r="B1322" s="1" t="s">
        <v>4663</v>
      </c>
      <c r="C1322" s="1" t="s">
        <v>4657</v>
      </c>
      <c r="D1322" s="1" t="s">
        <v>4664</v>
      </c>
      <c r="E1322" s="2">
        <v>38484.0</v>
      </c>
      <c r="F1322" s="1" t="s">
        <v>30</v>
      </c>
      <c r="G1322" s="1" t="s">
        <v>76</v>
      </c>
      <c r="H1322" s="1" t="s">
        <v>32</v>
      </c>
      <c r="I1322" s="3">
        <f>+2250787118475</f>
        <v>2250787118475</v>
      </c>
      <c r="J1322" s="3">
        <f t="shared" si="36"/>
        <v>2250788493729</v>
      </c>
      <c r="K1322" s="1" t="s">
        <v>19</v>
      </c>
      <c r="L1322" s="4" t="s">
        <v>4665</v>
      </c>
    </row>
    <row r="1323">
      <c r="A1323" s="1" t="s">
        <v>12</v>
      </c>
      <c r="B1323" s="1" t="s">
        <v>4666</v>
      </c>
      <c r="C1323" s="1" t="s">
        <v>4667</v>
      </c>
      <c r="D1323" s="1" t="s">
        <v>4668</v>
      </c>
      <c r="E1323" s="2">
        <v>38724.0</v>
      </c>
      <c r="F1323" s="1" t="s">
        <v>53</v>
      </c>
      <c r="G1323" s="1" t="s">
        <v>25</v>
      </c>
      <c r="H1323" s="1" t="s">
        <v>18</v>
      </c>
      <c r="I1323" s="3">
        <f>+2250787467944</f>
        <v>2250787467944</v>
      </c>
      <c r="J1323" s="3">
        <f>+2250747829066</f>
        <v>2250747829066</v>
      </c>
      <c r="K1323" s="1" t="s">
        <v>19</v>
      </c>
      <c r="L1323" s="4" t="s">
        <v>4669</v>
      </c>
    </row>
    <row r="1324">
      <c r="A1324" s="1" t="s">
        <v>12</v>
      </c>
      <c r="B1324" s="1" t="s">
        <v>4670</v>
      </c>
      <c r="C1324" s="1" t="s">
        <v>4671</v>
      </c>
      <c r="D1324" s="1" t="s">
        <v>4672</v>
      </c>
      <c r="E1324" s="5">
        <v>37922.0</v>
      </c>
      <c r="F1324" s="1" t="s">
        <v>138</v>
      </c>
      <c r="G1324" s="1" t="s">
        <v>31</v>
      </c>
      <c r="H1324" s="1" t="s">
        <v>32</v>
      </c>
      <c r="I1324" s="3">
        <f>+2250594092252</f>
        <v>2250594092252</v>
      </c>
      <c r="J1324" s="3">
        <f>+2250759741116</f>
        <v>2250759741116</v>
      </c>
      <c r="K1324" s="1" t="s">
        <v>19</v>
      </c>
      <c r="L1324" s="4" t="s">
        <v>4673</v>
      </c>
    </row>
    <row r="1325">
      <c r="A1325" s="1" t="s">
        <v>12</v>
      </c>
      <c r="B1325" s="1" t="s">
        <v>4674</v>
      </c>
      <c r="C1325" s="1" t="s">
        <v>4675</v>
      </c>
      <c r="D1325" s="1" t="s">
        <v>4676</v>
      </c>
      <c r="E1325" s="2">
        <v>38157.0</v>
      </c>
      <c r="F1325" s="1" t="s">
        <v>53</v>
      </c>
      <c r="G1325" s="1" t="s">
        <v>17</v>
      </c>
      <c r="H1325" s="1" t="s">
        <v>18</v>
      </c>
      <c r="I1325" s="3">
        <f>+2250767201087</f>
        <v>2250767201087</v>
      </c>
      <c r="J1325" s="3">
        <f>+2250759482144</f>
        <v>2250759482144</v>
      </c>
      <c r="K1325" s="1" t="s">
        <v>19</v>
      </c>
      <c r="L1325" s="4" t="s">
        <v>4677</v>
      </c>
    </row>
    <row r="1326">
      <c r="A1326" s="1" t="s">
        <v>12</v>
      </c>
      <c r="B1326" s="1" t="s">
        <v>4678</v>
      </c>
      <c r="C1326" s="1" t="s">
        <v>4679</v>
      </c>
      <c r="D1326" s="1" t="s">
        <v>4680</v>
      </c>
      <c r="E1326" s="2">
        <v>37276.0</v>
      </c>
      <c r="F1326" s="1" t="s">
        <v>138</v>
      </c>
      <c r="G1326" s="1" t="s">
        <v>76</v>
      </c>
      <c r="H1326" s="1" t="s">
        <v>32</v>
      </c>
      <c r="I1326" s="3">
        <f>+2250715091963</f>
        <v>2250715091963</v>
      </c>
      <c r="J1326" s="3">
        <f>+2250505387144</f>
        <v>2250505387144</v>
      </c>
      <c r="K1326" s="1" t="s">
        <v>19</v>
      </c>
      <c r="L1326" s="4" t="s">
        <v>4681</v>
      </c>
    </row>
    <row r="1327">
      <c r="A1327" s="1" t="s">
        <v>12</v>
      </c>
      <c r="B1327" s="1" t="s">
        <v>4682</v>
      </c>
      <c r="C1327" s="1" t="s">
        <v>4683</v>
      </c>
      <c r="D1327" s="1" t="s">
        <v>4684</v>
      </c>
      <c r="E1327" s="2">
        <v>37109.0</v>
      </c>
      <c r="F1327" s="1" t="s">
        <v>351</v>
      </c>
      <c r="G1327" s="1" t="s">
        <v>31</v>
      </c>
      <c r="H1327" s="1" t="s">
        <v>32</v>
      </c>
      <c r="I1327" s="3">
        <f>+2250705177417</f>
        <v>2250705177417</v>
      </c>
      <c r="J1327" s="3">
        <f>+2250151455738</f>
        <v>2250151455738</v>
      </c>
      <c r="K1327" s="1" t="s">
        <v>19</v>
      </c>
      <c r="L1327" s="4" t="s">
        <v>4685</v>
      </c>
    </row>
    <row r="1328">
      <c r="A1328" s="1" t="s">
        <v>12</v>
      </c>
      <c r="B1328" s="1" t="s">
        <v>4686</v>
      </c>
      <c r="C1328" s="1" t="s">
        <v>4687</v>
      </c>
      <c r="D1328" s="1" t="s">
        <v>4688</v>
      </c>
      <c r="E1328" s="2">
        <v>38626.0</v>
      </c>
      <c r="F1328" s="1" t="s">
        <v>16</v>
      </c>
      <c r="G1328" s="1" t="s">
        <v>25</v>
      </c>
      <c r="H1328" s="1" t="s">
        <v>18</v>
      </c>
      <c r="I1328" s="3">
        <f>+2250173085355</f>
        <v>2250173085355</v>
      </c>
      <c r="J1328" s="3">
        <f>+2250709306747</f>
        <v>2250709306747</v>
      </c>
      <c r="K1328" s="1" t="s">
        <v>19</v>
      </c>
      <c r="L1328" s="4" t="s">
        <v>4689</v>
      </c>
    </row>
    <row r="1329">
      <c r="A1329" s="1" t="s">
        <v>12</v>
      </c>
      <c r="B1329" s="1" t="s">
        <v>4690</v>
      </c>
      <c r="C1329" s="1" t="s">
        <v>4691</v>
      </c>
      <c r="D1329" s="1" t="s">
        <v>4692</v>
      </c>
      <c r="E1329" s="2">
        <v>37314.0</v>
      </c>
      <c r="F1329" s="1" t="s">
        <v>16</v>
      </c>
      <c r="G1329" s="1" t="s">
        <v>17</v>
      </c>
      <c r="H1329" s="1" t="s">
        <v>18</v>
      </c>
      <c r="I1329" s="3">
        <f>+2250779824699</f>
        <v>2250779824699</v>
      </c>
      <c r="J1329" s="3">
        <f>+2250788243876</f>
        <v>2250788243876</v>
      </c>
      <c r="K1329" s="1" t="s">
        <v>19</v>
      </c>
      <c r="L1329" s="4" t="s">
        <v>4693</v>
      </c>
    </row>
    <row r="1330">
      <c r="A1330" s="1" t="s">
        <v>12</v>
      </c>
      <c r="B1330" s="1" t="s">
        <v>4694</v>
      </c>
      <c r="C1330" s="1" t="s">
        <v>4695</v>
      </c>
      <c r="D1330" s="1" t="s">
        <v>4696</v>
      </c>
      <c r="E1330" s="2">
        <v>38627.0</v>
      </c>
      <c r="F1330" s="1" t="s">
        <v>53</v>
      </c>
      <c r="G1330" s="1" t="s">
        <v>17</v>
      </c>
      <c r="H1330" s="1" t="s">
        <v>18</v>
      </c>
      <c r="I1330" s="3">
        <f>+2250595186258</f>
        <v>2250595186258</v>
      </c>
      <c r="J1330" s="3">
        <f>+2250757530667</f>
        <v>2250757530667</v>
      </c>
      <c r="K1330" s="1" t="s">
        <v>19</v>
      </c>
      <c r="L1330" s="4" t="s">
        <v>4697</v>
      </c>
    </row>
    <row r="1331">
      <c r="A1331" s="1" t="s">
        <v>12</v>
      </c>
      <c r="B1331" s="1" t="s">
        <v>4698</v>
      </c>
      <c r="C1331" s="1" t="s">
        <v>4699</v>
      </c>
      <c r="D1331" s="1" t="s">
        <v>4700</v>
      </c>
      <c r="E1331" s="2">
        <v>38034.0</v>
      </c>
      <c r="F1331" s="1" t="s">
        <v>53</v>
      </c>
      <c r="G1331" s="1" t="s">
        <v>25</v>
      </c>
      <c r="H1331" s="1" t="s">
        <v>18</v>
      </c>
      <c r="I1331" s="3">
        <f>+2250759833837</f>
        <v>2250759833837</v>
      </c>
      <c r="J1331" s="3">
        <f>+2250707411275</f>
        <v>2250707411275</v>
      </c>
      <c r="K1331" s="1" t="s">
        <v>19</v>
      </c>
      <c r="L1331" s="4" t="s">
        <v>4701</v>
      </c>
    </row>
    <row r="1332">
      <c r="A1332" s="1" t="s">
        <v>12</v>
      </c>
      <c r="B1332" s="1" t="s">
        <v>4702</v>
      </c>
      <c r="C1332" s="1" t="s">
        <v>4703</v>
      </c>
      <c r="D1332" s="1" t="s">
        <v>4704</v>
      </c>
      <c r="E1332" s="5">
        <v>37544.0</v>
      </c>
      <c r="F1332" s="1" t="s">
        <v>167</v>
      </c>
      <c r="G1332" s="1" t="s">
        <v>82</v>
      </c>
      <c r="H1332" s="1" t="s">
        <v>18</v>
      </c>
      <c r="I1332" s="3">
        <f>+2250705639575</f>
        <v>2250705639575</v>
      </c>
      <c r="J1332" s="3">
        <f>+2250779212176</f>
        <v>2250779212176</v>
      </c>
      <c r="K1332" s="1" t="s">
        <v>19</v>
      </c>
      <c r="L1332" s="4" t="s">
        <v>4705</v>
      </c>
    </row>
    <row r="1333">
      <c r="A1333" s="1" t="s">
        <v>12</v>
      </c>
      <c r="B1333" s="1" t="s">
        <v>4706</v>
      </c>
      <c r="C1333" s="1" t="s">
        <v>4707</v>
      </c>
      <c r="D1333" s="1" t="s">
        <v>4708</v>
      </c>
      <c r="E1333" s="5">
        <v>37916.0</v>
      </c>
      <c r="F1333" s="1" t="s">
        <v>586</v>
      </c>
      <c r="G1333" s="1" t="s">
        <v>82</v>
      </c>
      <c r="H1333" s="1" t="s">
        <v>18</v>
      </c>
      <c r="I1333" s="3">
        <f>+2250143791426</f>
        <v>2250143791426</v>
      </c>
      <c r="J1333" s="3">
        <f>+2250584114048</f>
        <v>2250584114048</v>
      </c>
      <c r="K1333" s="1" t="s">
        <v>19</v>
      </c>
      <c r="L1333" s="4" t="s">
        <v>4709</v>
      </c>
    </row>
    <row r="1334">
      <c r="A1334" s="1" t="s">
        <v>12</v>
      </c>
      <c r="B1334" s="1" t="s">
        <v>4710</v>
      </c>
      <c r="C1334" s="1" t="s">
        <v>4711</v>
      </c>
      <c r="D1334" s="1" t="s">
        <v>4712</v>
      </c>
      <c r="E1334" s="2">
        <v>38326.0</v>
      </c>
      <c r="F1334" s="1" t="s">
        <v>138</v>
      </c>
      <c r="G1334" s="1" t="s">
        <v>76</v>
      </c>
      <c r="H1334" s="1" t="s">
        <v>32</v>
      </c>
      <c r="I1334" s="3">
        <f>+2250759215313</f>
        <v>2250759215313</v>
      </c>
      <c r="J1334" s="3">
        <f>+2250707705171</f>
        <v>2250707705171</v>
      </c>
      <c r="K1334" s="1" t="s">
        <v>19</v>
      </c>
      <c r="L1334" s="4" t="s">
        <v>4713</v>
      </c>
    </row>
    <row r="1335">
      <c r="A1335" s="1" t="s">
        <v>12</v>
      </c>
      <c r="B1335" s="1" t="s">
        <v>4714</v>
      </c>
      <c r="C1335" s="1" t="s">
        <v>4715</v>
      </c>
      <c r="D1335" s="1" t="s">
        <v>4716</v>
      </c>
      <c r="E1335" s="2">
        <v>37701.0</v>
      </c>
      <c r="F1335" s="1" t="s">
        <v>351</v>
      </c>
      <c r="G1335" s="1" t="s">
        <v>31</v>
      </c>
      <c r="H1335" s="1" t="s">
        <v>32</v>
      </c>
      <c r="I1335" s="3">
        <f>+2250799637772</f>
        <v>2250799637772</v>
      </c>
      <c r="J1335" s="3">
        <f>+2250708903481</f>
        <v>2250708903481</v>
      </c>
      <c r="K1335" s="1" t="s">
        <v>19</v>
      </c>
      <c r="L1335" s="4" t="s">
        <v>4717</v>
      </c>
    </row>
    <row r="1336">
      <c r="A1336" s="1" t="s">
        <v>12</v>
      </c>
      <c r="B1336" s="1" t="s">
        <v>4718</v>
      </c>
      <c r="C1336" s="1" t="s">
        <v>4719</v>
      </c>
      <c r="D1336" s="1" t="s">
        <v>4720</v>
      </c>
      <c r="E1336" s="5">
        <v>37590.0</v>
      </c>
      <c r="F1336" s="1" t="s">
        <v>87</v>
      </c>
      <c r="G1336" s="1" t="s">
        <v>76</v>
      </c>
      <c r="H1336" s="1" t="s">
        <v>32</v>
      </c>
      <c r="I1336" s="3">
        <f>+2250102697193</f>
        <v>2250102697193</v>
      </c>
      <c r="J1336" s="3">
        <f>+2250504945421</f>
        <v>2250504945421</v>
      </c>
      <c r="K1336" s="1" t="s">
        <v>19</v>
      </c>
      <c r="L1336" s="4" t="s">
        <v>4721</v>
      </c>
    </row>
    <row r="1337">
      <c r="A1337" s="1" t="s">
        <v>12</v>
      </c>
      <c r="B1337" s="1" t="s">
        <v>4722</v>
      </c>
      <c r="C1337" s="1" t="s">
        <v>4723</v>
      </c>
      <c r="D1337" s="1" t="s">
        <v>4724</v>
      </c>
      <c r="E1337" s="2">
        <v>38886.0</v>
      </c>
      <c r="F1337" s="1" t="s">
        <v>48</v>
      </c>
      <c r="G1337" s="1" t="s">
        <v>76</v>
      </c>
      <c r="H1337" s="1" t="s">
        <v>32</v>
      </c>
      <c r="I1337" s="3">
        <f>+2250546833526</f>
        <v>2250546833526</v>
      </c>
      <c r="J1337" s="3">
        <f>+2250709194480</f>
        <v>2250709194480</v>
      </c>
      <c r="K1337" s="1" t="s">
        <v>19</v>
      </c>
      <c r="L1337" s="4" t="s">
        <v>4725</v>
      </c>
    </row>
    <row r="1338">
      <c r="A1338" s="1" t="s">
        <v>12</v>
      </c>
      <c r="B1338" s="1" t="s">
        <v>4726</v>
      </c>
      <c r="C1338" s="1" t="s">
        <v>4727</v>
      </c>
      <c r="D1338" s="1" t="s">
        <v>4728</v>
      </c>
      <c r="E1338" s="2">
        <v>36789.0</v>
      </c>
      <c r="F1338" s="1" t="s">
        <v>110</v>
      </c>
      <c r="G1338" s="1" t="s">
        <v>82</v>
      </c>
      <c r="H1338" s="1" t="s">
        <v>18</v>
      </c>
      <c r="I1338" s="3">
        <f>+2250767286984</f>
        <v>2250767286984</v>
      </c>
      <c r="J1338" s="3">
        <f>+2250586547767</f>
        <v>2250586547767</v>
      </c>
      <c r="K1338" s="1" t="s">
        <v>19</v>
      </c>
      <c r="L1338" s="4" t="s">
        <v>4729</v>
      </c>
    </row>
    <row r="1339">
      <c r="A1339" s="1" t="s">
        <v>12</v>
      </c>
      <c r="B1339" s="1" t="s">
        <v>4730</v>
      </c>
      <c r="C1339" s="1" t="s">
        <v>4727</v>
      </c>
      <c r="D1339" s="1" t="s">
        <v>4731</v>
      </c>
      <c r="E1339" s="2">
        <v>36636.0</v>
      </c>
      <c r="F1339" s="1" t="s">
        <v>62</v>
      </c>
      <c r="G1339" s="1" t="s">
        <v>25</v>
      </c>
      <c r="H1339" s="1" t="s">
        <v>18</v>
      </c>
      <c r="I1339" s="3">
        <f>+2250554571279</f>
        <v>2250554571279</v>
      </c>
      <c r="J1339" s="3">
        <f>+2250757126170</f>
        <v>2250757126170</v>
      </c>
      <c r="K1339" s="1" t="s">
        <v>19</v>
      </c>
      <c r="L1339" s="4" t="s">
        <v>4732</v>
      </c>
    </row>
    <row r="1340">
      <c r="A1340" s="1" t="s">
        <v>12</v>
      </c>
      <c r="B1340" s="1" t="s">
        <v>4733</v>
      </c>
      <c r="C1340" s="1" t="s">
        <v>4734</v>
      </c>
      <c r="D1340" s="1" t="s">
        <v>4735</v>
      </c>
      <c r="E1340" s="2">
        <v>38765.0</v>
      </c>
      <c r="F1340" s="1" t="s">
        <v>62</v>
      </c>
      <c r="G1340" s="1" t="s">
        <v>25</v>
      </c>
      <c r="H1340" s="1" t="s">
        <v>18</v>
      </c>
      <c r="I1340" s="3">
        <f>+2250172243355</f>
        <v>2250172243355</v>
      </c>
      <c r="J1340" s="3">
        <f>+2250707558792</f>
        <v>2250707558792</v>
      </c>
      <c r="K1340" s="1" t="s">
        <v>19</v>
      </c>
      <c r="L1340" s="4" t="s">
        <v>4736</v>
      </c>
    </row>
    <row r="1341">
      <c r="A1341" s="1" t="s">
        <v>12</v>
      </c>
      <c r="B1341" s="1" t="s">
        <v>4737</v>
      </c>
      <c r="C1341" s="1" t="s">
        <v>4738</v>
      </c>
      <c r="D1341" s="1" t="s">
        <v>4739</v>
      </c>
      <c r="E1341" s="2">
        <v>38523.0</v>
      </c>
      <c r="F1341" s="1" t="s">
        <v>62</v>
      </c>
      <c r="G1341" s="1" t="s">
        <v>25</v>
      </c>
      <c r="H1341" s="1" t="s">
        <v>18</v>
      </c>
      <c r="I1341" s="3">
        <f>+2250152211215</f>
        <v>2250152211215</v>
      </c>
      <c r="J1341" s="3">
        <f>+2250708611031</f>
        <v>2250708611031</v>
      </c>
      <c r="K1341" s="1" t="s">
        <v>19</v>
      </c>
      <c r="L1341" s="4" t="s">
        <v>4740</v>
      </c>
    </row>
    <row r="1342">
      <c r="A1342" s="1" t="s">
        <v>12</v>
      </c>
      <c r="B1342" s="1" t="s">
        <v>4741</v>
      </c>
      <c r="C1342" s="1" t="s">
        <v>4738</v>
      </c>
      <c r="D1342" s="1" t="s">
        <v>4742</v>
      </c>
      <c r="E1342" s="2">
        <v>38189.0</v>
      </c>
      <c r="F1342" s="1" t="s">
        <v>288</v>
      </c>
      <c r="G1342" s="1" t="s">
        <v>82</v>
      </c>
      <c r="H1342" s="1" t="s">
        <v>18</v>
      </c>
      <c r="I1342" s="3">
        <f>+2250758196072</f>
        <v>2250758196072</v>
      </c>
      <c r="J1342" s="3">
        <f>+2250778270517</f>
        <v>2250778270517</v>
      </c>
      <c r="K1342" s="1" t="s">
        <v>19</v>
      </c>
      <c r="L1342" s="4" t="s">
        <v>4743</v>
      </c>
    </row>
    <row r="1343">
      <c r="A1343" s="1" t="s">
        <v>12</v>
      </c>
      <c r="B1343" s="1" t="s">
        <v>4744</v>
      </c>
      <c r="C1343" s="1" t="s">
        <v>4738</v>
      </c>
      <c r="D1343" s="1" t="s">
        <v>4745</v>
      </c>
      <c r="E1343" s="2">
        <v>37894.0</v>
      </c>
      <c r="F1343" s="1" t="s">
        <v>182</v>
      </c>
      <c r="G1343" s="1" t="s">
        <v>82</v>
      </c>
      <c r="H1343" s="1" t="s">
        <v>18</v>
      </c>
      <c r="I1343" s="3">
        <f>+2250711355089</f>
        <v>2250711355089</v>
      </c>
      <c r="J1343" s="3">
        <f>+2250709691755</f>
        <v>2250709691755</v>
      </c>
      <c r="K1343" s="1" t="s">
        <v>19</v>
      </c>
      <c r="L1343" s="4" t="s">
        <v>4746</v>
      </c>
    </row>
    <row r="1344">
      <c r="A1344" s="1" t="s">
        <v>12</v>
      </c>
      <c r="B1344" s="1" t="s">
        <v>4747</v>
      </c>
      <c r="C1344" s="1" t="s">
        <v>4738</v>
      </c>
      <c r="D1344" s="1" t="s">
        <v>4748</v>
      </c>
      <c r="E1344" s="2">
        <v>37478.0</v>
      </c>
      <c r="F1344" s="1" t="s">
        <v>75</v>
      </c>
      <c r="G1344" s="1" t="s">
        <v>31</v>
      </c>
      <c r="H1344" s="1" t="s">
        <v>32</v>
      </c>
      <c r="I1344" s="3">
        <f>+2250153470974</f>
        <v>2250153470974</v>
      </c>
      <c r="J1344" s="3">
        <f>+2250707000037</f>
        <v>2250707000037</v>
      </c>
      <c r="K1344" s="1" t="s">
        <v>19</v>
      </c>
      <c r="L1344" s="4" t="s">
        <v>4749</v>
      </c>
    </row>
    <row r="1345">
      <c r="A1345" s="1" t="s">
        <v>12</v>
      </c>
      <c r="B1345" s="1" t="s">
        <v>4750</v>
      </c>
      <c r="C1345" s="1" t="s">
        <v>4751</v>
      </c>
      <c r="D1345" s="1" t="s">
        <v>4752</v>
      </c>
      <c r="E1345" s="2">
        <v>37566.0</v>
      </c>
      <c r="F1345" s="1" t="s">
        <v>30</v>
      </c>
      <c r="G1345" s="1" t="s">
        <v>31</v>
      </c>
      <c r="H1345" s="1" t="s">
        <v>32</v>
      </c>
      <c r="I1345" s="3">
        <f>+2250779073373</f>
        <v>2250779073373</v>
      </c>
      <c r="J1345" s="3">
        <f>+2250140206586</f>
        <v>2250140206586</v>
      </c>
      <c r="K1345" s="1" t="s">
        <v>19</v>
      </c>
      <c r="L1345" s="4" t="s">
        <v>4753</v>
      </c>
    </row>
    <row r="1346">
      <c r="A1346" s="1" t="s">
        <v>12</v>
      </c>
      <c r="B1346" s="1" t="s">
        <v>4754</v>
      </c>
      <c r="C1346" s="1" t="s">
        <v>4755</v>
      </c>
      <c r="D1346" s="1" t="s">
        <v>4756</v>
      </c>
      <c r="E1346" s="2">
        <v>37257.0</v>
      </c>
      <c r="F1346" s="1" t="s">
        <v>62</v>
      </c>
      <c r="G1346" s="1" t="s">
        <v>25</v>
      </c>
      <c r="H1346" s="1" t="s">
        <v>18</v>
      </c>
      <c r="I1346" s="3">
        <f>+2250769636538</f>
        <v>2250769636538</v>
      </c>
      <c r="J1346" s="3">
        <f>+2250759124126</f>
        <v>2250759124126</v>
      </c>
      <c r="K1346" s="1" t="s">
        <v>19</v>
      </c>
      <c r="L1346" s="4" t="s">
        <v>4757</v>
      </c>
    </row>
    <row r="1347">
      <c r="A1347" s="1" t="s">
        <v>12</v>
      </c>
      <c r="B1347" s="1" t="s">
        <v>4758</v>
      </c>
      <c r="C1347" s="1" t="s">
        <v>4759</v>
      </c>
      <c r="D1347" s="1" t="s">
        <v>4760</v>
      </c>
      <c r="E1347" s="2">
        <v>37152.0</v>
      </c>
      <c r="F1347" s="1" t="s">
        <v>24</v>
      </c>
      <c r="G1347" s="1" t="s">
        <v>82</v>
      </c>
      <c r="H1347" s="1" t="s">
        <v>18</v>
      </c>
      <c r="I1347" s="3">
        <f>+2250757081218</f>
        <v>2250757081218</v>
      </c>
      <c r="J1347" s="3">
        <f>+2250709625604</f>
        <v>2250709625604</v>
      </c>
      <c r="K1347" s="1" t="s">
        <v>19</v>
      </c>
      <c r="L1347" s="4" t="s">
        <v>4761</v>
      </c>
    </row>
    <row r="1348">
      <c r="A1348" s="1" t="s">
        <v>12</v>
      </c>
      <c r="B1348" s="1" t="s">
        <v>4762</v>
      </c>
      <c r="C1348" s="1" t="s">
        <v>4763</v>
      </c>
      <c r="D1348" s="1" t="s">
        <v>4764</v>
      </c>
      <c r="E1348" s="5">
        <v>37547.0</v>
      </c>
      <c r="F1348" s="1" t="s">
        <v>16</v>
      </c>
      <c r="G1348" s="1" t="s">
        <v>17</v>
      </c>
      <c r="H1348" s="1" t="s">
        <v>18</v>
      </c>
      <c r="I1348" s="3">
        <f>+2250153081232</f>
        <v>2250153081232</v>
      </c>
      <c r="J1348" s="3">
        <f>+2250152745303</f>
        <v>2250152745303</v>
      </c>
      <c r="K1348" s="1" t="s">
        <v>19</v>
      </c>
      <c r="L1348" s="4" t="s">
        <v>4765</v>
      </c>
    </row>
    <row r="1349">
      <c r="A1349" s="1" t="s">
        <v>12</v>
      </c>
      <c r="B1349" s="1" t="s">
        <v>4766</v>
      </c>
      <c r="C1349" s="1" t="s">
        <v>4767</v>
      </c>
      <c r="D1349" s="1" t="s">
        <v>4768</v>
      </c>
      <c r="E1349" s="2">
        <v>38407.0</v>
      </c>
      <c r="F1349" s="1" t="s">
        <v>62</v>
      </c>
      <c r="G1349" s="1" t="s">
        <v>25</v>
      </c>
      <c r="H1349" s="1" t="s">
        <v>18</v>
      </c>
      <c r="I1349" s="3">
        <f>+2250140239688</f>
        <v>2250140239688</v>
      </c>
      <c r="J1349" s="3">
        <f>+2250101507353</f>
        <v>2250101507353</v>
      </c>
      <c r="K1349" s="1" t="s">
        <v>19</v>
      </c>
      <c r="L1349" s="4" t="s">
        <v>4769</v>
      </c>
    </row>
    <row r="1350">
      <c r="A1350" s="1" t="s">
        <v>12</v>
      </c>
      <c r="B1350" s="1" t="s">
        <v>4770</v>
      </c>
      <c r="C1350" s="1" t="s">
        <v>4771</v>
      </c>
      <c r="D1350" s="1" t="s">
        <v>4772</v>
      </c>
      <c r="E1350" s="2">
        <v>38036.0</v>
      </c>
      <c r="F1350" s="1" t="s">
        <v>87</v>
      </c>
      <c r="G1350" s="1" t="s">
        <v>31</v>
      </c>
      <c r="H1350" s="1" t="s">
        <v>32</v>
      </c>
      <c r="I1350" s="3">
        <f>+2250798334561</f>
        <v>2250798334561</v>
      </c>
      <c r="J1350" s="3">
        <f>+2250707965707</f>
        <v>2250707965707</v>
      </c>
      <c r="K1350" s="1" t="s">
        <v>19</v>
      </c>
      <c r="L1350" s="4" t="s">
        <v>4773</v>
      </c>
    </row>
    <row r="1351">
      <c r="A1351" s="1" t="s">
        <v>12</v>
      </c>
      <c r="B1351" s="1" t="s">
        <v>4774</v>
      </c>
      <c r="C1351" s="1" t="s">
        <v>4775</v>
      </c>
      <c r="D1351" s="1" t="s">
        <v>4776</v>
      </c>
      <c r="E1351" s="2">
        <v>38821.0</v>
      </c>
      <c r="F1351" s="1" t="s">
        <v>48</v>
      </c>
      <c r="G1351" s="1" t="s">
        <v>76</v>
      </c>
      <c r="H1351" s="1" t="s">
        <v>32</v>
      </c>
      <c r="I1351" s="3">
        <f>+2250704173165</f>
        <v>2250704173165</v>
      </c>
      <c r="J1351" s="3">
        <f>+2250707676206</f>
        <v>2250707676206</v>
      </c>
      <c r="K1351" s="1" t="s">
        <v>19</v>
      </c>
      <c r="L1351" s="4" t="s">
        <v>4777</v>
      </c>
    </row>
    <row r="1352">
      <c r="A1352" s="1" t="s">
        <v>12</v>
      </c>
      <c r="B1352" s="1" t="s">
        <v>4778</v>
      </c>
      <c r="C1352" s="1" t="s">
        <v>4779</v>
      </c>
      <c r="D1352" s="1" t="s">
        <v>4780</v>
      </c>
      <c r="E1352" s="2">
        <v>37742.0</v>
      </c>
      <c r="F1352" s="1" t="s">
        <v>16</v>
      </c>
      <c r="G1352" s="1" t="s">
        <v>82</v>
      </c>
      <c r="H1352" s="1" t="s">
        <v>18</v>
      </c>
      <c r="I1352" s="3">
        <f t="shared" ref="I1352:J1352" si="37">+2250788205582</f>
        <v>2250788205582</v>
      </c>
      <c r="J1352" s="3">
        <f t="shared" si="37"/>
        <v>2250788205582</v>
      </c>
      <c r="K1352" s="1" t="s">
        <v>19</v>
      </c>
      <c r="L1352" s="4" t="s">
        <v>4781</v>
      </c>
    </row>
    <row r="1353">
      <c r="A1353" s="1" t="s">
        <v>12</v>
      </c>
      <c r="B1353" s="1" t="s">
        <v>4782</v>
      </c>
      <c r="C1353" s="1" t="s">
        <v>4783</v>
      </c>
      <c r="D1353" s="1" t="s">
        <v>4784</v>
      </c>
      <c r="E1353" s="2">
        <v>35990.0</v>
      </c>
      <c r="F1353" s="1" t="s">
        <v>16</v>
      </c>
      <c r="G1353" s="1" t="s">
        <v>82</v>
      </c>
      <c r="H1353" s="1" t="s">
        <v>18</v>
      </c>
      <c r="I1353" s="3">
        <f>+2250789100131</f>
        <v>2250789100131</v>
      </c>
      <c r="J1353" s="3">
        <f>+2250545060232</f>
        <v>2250545060232</v>
      </c>
      <c r="K1353" s="1" t="s">
        <v>19</v>
      </c>
      <c r="L1353" s="4" t="s">
        <v>4785</v>
      </c>
    </row>
    <row r="1354">
      <c r="A1354" s="1" t="s">
        <v>12</v>
      </c>
      <c r="B1354" s="1" t="s">
        <v>4786</v>
      </c>
      <c r="C1354" s="1" t="s">
        <v>4787</v>
      </c>
      <c r="D1354" s="1" t="s">
        <v>4788</v>
      </c>
      <c r="E1354" s="2">
        <v>36643.0</v>
      </c>
      <c r="F1354" s="1" t="s">
        <v>62</v>
      </c>
      <c r="G1354" s="1" t="s">
        <v>25</v>
      </c>
      <c r="H1354" s="1" t="s">
        <v>18</v>
      </c>
      <c r="I1354" s="3">
        <f>+2250778260333</f>
        <v>2250778260333</v>
      </c>
      <c r="J1354" s="3">
        <f>+2250506385738</f>
        <v>2250506385738</v>
      </c>
      <c r="K1354" s="1" t="s">
        <v>19</v>
      </c>
      <c r="L1354" s="4" t="s">
        <v>4789</v>
      </c>
    </row>
    <row r="1355">
      <c r="A1355" s="1" t="s">
        <v>12</v>
      </c>
      <c r="B1355" s="1" t="s">
        <v>4790</v>
      </c>
      <c r="C1355" s="1" t="s">
        <v>4791</v>
      </c>
      <c r="D1355" s="1" t="s">
        <v>4792</v>
      </c>
      <c r="E1355" s="2">
        <v>37795.0</v>
      </c>
      <c r="F1355" s="1" t="s">
        <v>24</v>
      </c>
      <c r="G1355" s="1" t="s">
        <v>17</v>
      </c>
      <c r="H1355" s="1" t="s">
        <v>18</v>
      </c>
      <c r="I1355" s="3">
        <f>+2250102115146</f>
        <v>2250102115146</v>
      </c>
      <c r="J1355" s="3">
        <f>+2250707022161</f>
        <v>2250707022161</v>
      </c>
      <c r="K1355" s="1" t="s">
        <v>19</v>
      </c>
      <c r="L1355" s="4" t="s">
        <v>4793</v>
      </c>
    </row>
    <row r="1356">
      <c r="A1356" s="1" t="s">
        <v>12</v>
      </c>
      <c r="B1356" s="1" t="s">
        <v>4794</v>
      </c>
      <c r="C1356" s="1" t="s">
        <v>4795</v>
      </c>
      <c r="D1356" s="1" t="s">
        <v>4796</v>
      </c>
      <c r="E1356" s="2">
        <v>36799.0</v>
      </c>
      <c r="F1356" s="1" t="s">
        <v>48</v>
      </c>
      <c r="G1356" s="1" t="s">
        <v>31</v>
      </c>
      <c r="H1356" s="1" t="s">
        <v>32</v>
      </c>
      <c r="I1356" s="3">
        <f>+2250787461271</f>
        <v>2250787461271</v>
      </c>
      <c r="J1356" s="3">
        <f>+2250757434147</f>
        <v>2250757434147</v>
      </c>
      <c r="K1356" s="1" t="s">
        <v>19</v>
      </c>
      <c r="L1356" s="4" t="s">
        <v>4797</v>
      </c>
    </row>
    <row r="1357">
      <c r="A1357" s="1" t="s">
        <v>12</v>
      </c>
      <c r="B1357" s="1" t="s">
        <v>4798</v>
      </c>
      <c r="C1357" s="1" t="s">
        <v>4795</v>
      </c>
      <c r="D1357" s="1" t="s">
        <v>4799</v>
      </c>
      <c r="E1357" s="2">
        <v>37122.0</v>
      </c>
      <c r="F1357" s="1" t="s">
        <v>92</v>
      </c>
      <c r="G1357" s="1" t="s">
        <v>82</v>
      </c>
      <c r="H1357" s="1" t="s">
        <v>18</v>
      </c>
      <c r="I1357" s="3">
        <f>+2250747501177</f>
        <v>2250747501177</v>
      </c>
      <c r="J1357" s="3">
        <f>+2250140135843</f>
        <v>2250140135843</v>
      </c>
      <c r="K1357" s="1" t="s">
        <v>19</v>
      </c>
      <c r="L1357" s="4" t="s">
        <v>4800</v>
      </c>
    </row>
    <row r="1358">
      <c r="A1358" s="1" t="s">
        <v>12</v>
      </c>
      <c r="B1358" s="1" t="s">
        <v>4801</v>
      </c>
      <c r="C1358" s="1" t="s">
        <v>4802</v>
      </c>
      <c r="D1358" s="1" t="s">
        <v>4803</v>
      </c>
      <c r="E1358" s="5">
        <v>37603.0</v>
      </c>
      <c r="F1358" s="1" t="s">
        <v>167</v>
      </c>
      <c r="G1358" s="1" t="s">
        <v>82</v>
      </c>
      <c r="H1358" s="1" t="s">
        <v>18</v>
      </c>
      <c r="I1358" s="3">
        <f>+2250160584735</f>
        <v>2250160584735</v>
      </c>
      <c r="J1358" s="3">
        <f t="shared" ref="J1358:J1359" si="38">+2250505040541</f>
        <v>2250505040541</v>
      </c>
      <c r="K1358" s="1" t="s">
        <v>19</v>
      </c>
      <c r="L1358" s="4" t="s">
        <v>4804</v>
      </c>
    </row>
    <row r="1359">
      <c r="A1359" s="1" t="s">
        <v>12</v>
      </c>
      <c r="B1359" s="1" t="s">
        <v>4805</v>
      </c>
      <c r="C1359" s="1" t="s">
        <v>4802</v>
      </c>
      <c r="D1359" s="1" t="s">
        <v>4806</v>
      </c>
      <c r="E1359" s="2">
        <v>38524.0</v>
      </c>
      <c r="F1359" s="1" t="s">
        <v>138</v>
      </c>
      <c r="G1359" s="1" t="s">
        <v>76</v>
      </c>
      <c r="H1359" s="1" t="s">
        <v>32</v>
      </c>
      <c r="I1359" s="3">
        <f>+2250171788418</f>
        <v>2250171788418</v>
      </c>
      <c r="J1359" s="3">
        <f t="shared" si="38"/>
        <v>2250505040541</v>
      </c>
      <c r="K1359" s="1" t="s">
        <v>19</v>
      </c>
      <c r="L1359" s="4" t="s">
        <v>4807</v>
      </c>
    </row>
    <row r="1360">
      <c r="A1360" s="1" t="s">
        <v>12</v>
      </c>
      <c r="B1360" s="1" t="s">
        <v>4808</v>
      </c>
      <c r="C1360" s="1" t="s">
        <v>4802</v>
      </c>
      <c r="D1360" s="1" t="s">
        <v>4809</v>
      </c>
      <c r="E1360" s="2">
        <v>37833.0</v>
      </c>
      <c r="F1360" s="1" t="s">
        <v>138</v>
      </c>
      <c r="G1360" s="1" t="s">
        <v>76</v>
      </c>
      <c r="H1360" s="1" t="s">
        <v>32</v>
      </c>
      <c r="I1360" s="3">
        <f>+2250787446638</f>
        <v>2250787446638</v>
      </c>
      <c r="J1360" s="3">
        <f>+2250707688421</f>
        <v>2250707688421</v>
      </c>
      <c r="K1360" s="1" t="s">
        <v>19</v>
      </c>
      <c r="L1360" s="4" t="s">
        <v>4810</v>
      </c>
    </row>
    <row r="1361">
      <c r="A1361" s="1" t="s">
        <v>12</v>
      </c>
      <c r="B1361" s="1" t="s">
        <v>4811</v>
      </c>
      <c r="C1361" s="1" t="s">
        <v>4802</v>
      </c>
      <c r="D1361" s="1" t="s">
        <v>4812</v>
      </c>
      <c r="E1361" s="2">
        <v>37715.0</v>
      </c>
      <c r="F1361" s="1" t="s">
        <v>16</v>
      </c>
      <c r="G1361" s="1" t="s">
        <v>25</v>
      </c>
      <c r="H1361" s="1" t="s">
        <v>18</v>
      </c>
      <c r="I1361" s="3">
        <f>+2250709486629</f>
        <v>2250709486629</v>
      </c>
      <c r="J1361" s="3">
        <f>+2250747461979</f>
        <v>2250747461979</v>
      </c>
      <c r="K1361" s="1" t="s">
        <v>19</v>
      </c>
      <c r="L1361" s="4" t="s">
        <v>4813</v>
      </c>
    </row>
    <row r="1362">
      <c r="A1362" s="1" t="s">
        <v>12</v>
      </c>
      <c r="B1362" s="1" t="s">
        <v>4814</v>
      </c>
      <c r="C1362" s="1" t="s">
        <v>4802</v>
      </c>
      <c r="D1362" s="1" t="s">
        <v>4815</v>
      </c>
      <c r="E1362" s="5">
        <v>38274.0</v>
      </c>
      <c r="F1362" s="1" t="s">
        <v>586</v>
      </c>
      <c r="G1362" s="1" t="s">
        <v>82</v>
      </c>
      <c r="H1362" s="1" t="s">
        <v>18</v>
      </c>
      <c r="I1362" s="3">
        <f>+2250779401873</f>
        <v>2250779401873</v>
      </c>
      <c r="J1362" s="3">
        <f>+2250708077605</f>
        <v>2250708077605</v>
      </c>
      <c r="K1362" s="1" t="s">
        <v>19</v>
      </c>
      <c r="L1362" s="4" t="s">
        <v>4816</v>
      </c>
    </row>
    <row r="1363">
      <c r="A1363" s="1" t="s">
        <v>12</v>
      </c>
      <c r="B1363" s="1" t="s">
        <v>4817</v>
      </c>
      <c r="C1363" s="1" t="s">
        <v>4818</v>
      </c>
      <c r="D1363" s="1" t="s">
        <v>4819</v>
      </c>
      <c r="E1363" s="5">
        <v>38318.0</v>
      </c>
      <c r="F1363" s="1" t="s">
        <v>62</v>
      </c>
      <c r="G1363" s="1" t="s">
        <v>17</v>
      </c>
      <c r="H1363" s="1" t="s">
        <v>18</v>
      </c>
      <c r="I1363" s="3">
        <f>+2250576808909</f>
        <v>2250576808909</v>
      </c>
      <c r="J1363" s="3">
        <f>+2250505471882</f>
        <v>2250505471882</v>
      </c>
      <c r="K1363" s="1" t="s">
        <v>19</v>
      </c>
      <c r="L1363" s="4" t="s">
        <v>4820</v>
      </c>
    </row>
    <row r="1364">
      <c r="A1364" s="1" t="s">
        <v>12</v>
      </c>
      <c r="B1364" s="1" t="s">
        <v>4821</v>
      </c>
      <c r="C1364" s="1" t="s">
        <v>4822</v>
      </c>
      <c r="D1364" s="1" t="s">
        <v>4823</v>
      </c>
      <c r="E1364" s="2">
        <v>38268.0</v>
      </c>
      <c r="F1364" s="1" t="s">
        <v>16</v>
      </c>
      <c r="G1364" s="1" t="s">
        <v>17</v>
      </c>
      <c r="H1364" s="1" t="s">
        <v>18</v>
      </c>
      <c r="I1364" s="3">
        <f>+2250798911633</f>
        <v>2250798911633</v>
      </c>
      <c r="J1364" s="3">
        <f>+2250103492821</f>
        <v>2250103492821</v>
      </c>
      <c r="K1364" s="1" t="s">
        <v>19</v>
      </c>
      <c r="L1364" s="4" t="s">
        <v>4824</v>
      </c>
    </row>
    <row r="1365">
      <c r="A1365" s="1" t="s">
        <v>12</v>
      </c>
      <c r="B1365" s="1" t="s">
        <v>4825</v>
      </c>
      <c r="C1365" s="1" t="s">
        <v>4822</v>
      </c>
      <c r="D1365" s="1" t="s">
        <v>2322</v>
      </c>
      <c r="E1365" s="2">
        <v>36438.0</v>
      </c>
      <c r="F1365" s="1" t="s">
        <v>75</v>
      </c>
      <c r="G1365" s="1" t="s">
        <v>31</v>
      </c>
      <c r="H1365" s="1" t="s">
        <v>32</v>
      </c>
      <c r="I1365" s="3">
        <f>+2250758632528</f>
        <v>2250758632528</v>
      </c>
      <c r="J1365" s="3">
        <f>+2250767231383</f>
        <v>2250767231383</v>
      </c>
      <c r="K1365" s="1" t="s">
        <v>19</v>
      </c>
      <c r="L1365" s="4" t="s">
        <v>4826</v>
      </c>
    </row>
    <row r="1366">
      <c r="A1366" s="1" t="s">
        <v>12</v>
      </c>
      <c r="B1366" s="1" t="s">
        <v>4827</v>
      </c>
      <c r="C1366" s="1" t="s">
        <v>4822</v>
      </c>
      <c r="D1366" s="1" t="s">
        <v>4828</v>
      </c>
      <c r="E1366" s="5">
        <v>37222.0</v>
      </c>
      <c r="F1366" s="1" t="s">
        <v>167</v>
      </c>
      <c r="G1366" s="1" t="s">
        <v>17</v>
      </c>
      <c r="H1366" s="1" t="s">
        <v>18</v>
      </c>
      <c r="I1366" s="3">
        <f>+2250161436019</f>
        <v>2250161436019</v>
      </c>
      <c r="J1366" s="3">
        <f>+2250101469723</f>
        <v>2250101469723</v>
      </c>
      <c r="K1366" s="1" t="s">
        <v>19</v>
      </c>
      <c r="L1366" s="4" t="s">
        <v>4829</v>
      </c>
    </row>
    <row r="1367">
      <c r="A1367" s="1" t="s">
        <v>12</v>
      </c>
      <c r="B1367" s="1" t="s">
        <v>4830</v>
      </c>
      <c r="C1367" s="1" t="s">
        <v>4831</v>
      </c>
      <c r="D1367" s="1" t="s">
        <v>4832</v>
      </c>
      <c r="E1367" s="2">
        <v>38091.0</v>
      </c>
      <c r="F1367" s="1" t="s">
        <v>16</v>
      </c>
      <c r="G1367" s="1" t="s">
        <v>17</v>
      </c>
      <c r="H1367" s="1" t="s">
        <v>18</v>
      </c>
      <c r="I1367" s="3">
        <f>+2250585371952</f>
        <v>2250585371952</v>
      </c>
      <c r="J1367" s="3">
        <f>+2250707324449</f>
        <v>2250707324449</v>
      </c>
      <c r="K1367" s="1" t="s">
        <v>19</v>
      </c>
      <c r="L1367" s="4" t="s">
        <v>4833</v>
      </c>
    </row>
    <row r="1368">
      <c r="A1368" s="1" t="s">
        <v>12</v>
      </c>
      <c r="B1368" s="1" t="s">
        <v>4834</v>
      </c>
      <c r="C1368" s="1" t="s">
        <v>4835</v>
      </c>
      <c r="D1368" s="1" t="s">
        <v>4836</v>
      </c>
      <c r="E1368" s="2">
        <v>37782.0</v>
      </c>
      <c r="F1368" s="1" t="s">
        <v>24</v>
      </c>
      <c r="G1368" s="1" t="s">
        <v>17</v>
      </c>
      <c r="H1368" s="1" t="s">
        <v>18</v>
      </c>
      <c r="I1368" s="3">
        <f>+2250769898524</f>
        <v>2250769898524</v>
      </c>
      <c r="J1368" s="3">
        <f>+2250708951799</f>
        <v>2250708951799</v>
      </c>
      <c r="K1368" s="1" t="s">
        <v>19</v>
      </c>
      <c r="L1368" s="4" t="s">
        <v>4837</v>
      </c>
    </row>
    <row r="1369">
      <c r="A1369" s="1" t="s">
        <v>12</v>
      </c>
      <c r="B1369" s="1" t="s">
        <v>4838</v>
      </c>
      <c r="C1369" s="1" t="s">
        <v>4839</v>
      </c>
      <c r="D1369" s="1" t="s">
        <v>4840</v>
      </c>
      <c r="E1369" s="5">
        <v>38707.0</v>
      </c>
      <c r="F1369" s="1" t="s">
        <v>155</v>
      </c>
      <c r="G1369" s="1" t="s">
        <v>76</v>
      </c>
      <c r="H1369" s="1" t="s">
        <v>32</v>
      </c>
      <c r="I1369" s="3">
        <f>+2250585633872</f>
        <v>2250585633872</v>
      </c>
      <c r="J1369" s="3">
        <f>+2250544162984</f>
        <v>2250544162984</v>
      </c>
      <c r="K1369" s="1" t="s">
        <v>19</v>
      </c>
      <c r="L1369" s="4" t="s">
        <v>4841</v>
      </c>
    </row>
    <row r="1370">
      <c r="A1370" s="1" t="s">
        <v>12</v>
      </c>
      <c r="B1370" s="1" t="s">
        <v>4842</v>
      </c>
      <c r="C1370" s="1" t="s">
        <v>4839</v>
      </c>
      <c r="D1370" s="1" t="s">
        <v>4843</v>
      </c>
      <c r="E1370" s="5">
        <v>37539.0</v>
      </c>
      <c r="F1370" s="1" t="s">
        <v>62</v>
      </c>
      <c r="G1370" s="1" t="s">
        <v>17</v>
      </c>
      <c r="H1370" s="1" t="s">
        <v>18</v>
      </c>
      <c r="I1370" s="3">
        <f>+2250702361764</f>
        <v>2250702361764</v>
      </c>
      <c r="J1370" s="3">
        <f>+2250757706088</f>
        <v>2250757706088</v>
      </c>
      <c r="K1370" s="1" t="s">
        <v>19</v>
      </c>
      <c r="L1370" s="4" t="s">
        <v>4844</v>
      </c>
    </row>
    <row r="1371">
      <c r="A1371" s="1" t="s">
        <v>12</v>
      </c>
      <c r="B1371" s="1" t="s">
        <v>4845</v>
      </c>
      <c r="C1371" s="1" t="s">
        <v>4839</v>
      </c>
      <c r="D1371" s="1" t="s">
        <v>4846</v>
      </c>
      <c r="E1371" s="2">
        <v>38512.0</v>
      </c>
      <c r="F1371" s="1" t="s">
        <v>75</v>
      </c>
      <c r="G1371" s="1" t="s">
        <v>76</v>
      </c>
      <c r="H1371" s="1" t="s">
        <v>32</v>
      </c>
      <c r="I1371" s="3">
        <f>+2250768011373</f>
        <v>2250768011373</v>
      </c>
      <c r="J1371" s="3">
        <f>+2250707059566</f>
        <v>2250707059566</v>
      </c>
      <c r="K1371" s="1" t="s">
        <v>19</v>
      </c>
      <c r="L1371" s="4" t="s">
        <v>4847</v>
      </c>
    </row>
    <row r="1372">
      <c r="A1372" s="1" t="s">
        <v>12</v>
      </c>
      <c r="B1372" s="1" t="s">
        <v>4848</v>
      </c>
      <c r="C1372" s="1" t="s">
        <v>4849</v>
      </c>
      <c r="D1372" s="1" t="s">
        <v>4850</v>
      </c>
      <c r="E1372" s="2">
        <v>38103.0</v>
      </c>
      <c r="F1372" s="1" t="s">
        <v>16</v>
      </c>
      <c r="G1372" s="1" t="s">
        <v>17</v>
      </c>
      <c r="H1372" s="1" t="s">
        <v>18</v>
      </c>
      <c r="I1372" s="3">
        <f>+2250596086810</f>
        <v>2250596086810</v>
      </c>
      <c r="J1372" s="3">
        <f>+2250505500258</f>
        <v>2250505500258</v>
      </c>
      <c r="K1372" s="1" t="s">
        <v>19</v>
      </c>
      <c r="L1372" s="4" t="s">
        <v>4851</v>
      </c>
    </row>
    <row r="1373">
      <c r="A1373" s="1" t="s">
        <v>12</v>
      </c>
      <c r="B1373" s="1" t="s">
        <v>4852</v>
      </c>
      <c r="C1373" s="1" t="s">
        <v>4849</v>
      </c>
      <c r="D1373" s="1" t="s">
        <v>4853</v>
      </c>
      <c r="E1373" s="2">
        <v>38729.0</v>
      </c>
      <c r="F1373" s="1" t="s">
        <v>62</v>
      </c>
      <c r="G1373" s="1" t="s">
        <v>17</v>
      </c>
      <c r="H1373" s="1" t="s">
        <v>18</v>
      </c>
      <c r="I1373" s="3">
        <f>+2250778662759</f>
        <v>2250778662759</v>
      </c>
      <c r="J1373" s="3">
        <f>+2250140476523</f>
        <v>2250140476523</v>
      </c>
      <c r="K1373" s="1" t="s">
        <v>19</v>
      </c>
      <c r="L1373" s="4" t="s">
        <v>4854</v>
      </c>
    </row>
    <row r="1374">
      <c r="A1374" s="1" t="s">
        <v>12</v>
      </c>
      <c r="B1374" s="1" t="s">
        <v>4855</v>
      </c>
      <c r="C1374" s="1" t="s">
        <v>4849</v>
      </c>
      <c r="D1374" s="1" t="s">
        <v>4856</v>
      </c>
      <c r="E1374" s="2">
        <v>37894.0</v>
      </c>
      <c r="F1374" s="1" t="s">
        <v>62</v>
      </c>
      <c r="G1374" s="1" t="s">
        <v>17</v>
      </c>
      <c r="H1374" s="1" t="s">
        <v>18</v>
      </c>
      <c r="I1374" s="3">
        <f>+2250505589331</f>
        <v>2250505589331</v>
      </c>
      <c r="J1374" s="3">
        <f>+2250768871262</f>
        <v>2250768871262</v>
      </c>
      <c r="K1374" s="1" t="s">
        <v>19</v>
      </c>
      <c r="L1374" s="4" t="s">
        <v>4857</v>
      </c>
    </row>
    <row r="1375">
      <c r="A1375" s="1" t="s">
        <v>12</v>
      </c>
      <c r="B1375" s="1" t="s">
        <v>4858</v>
      </c>
      <c r="C1375" s="1" t="s">
        <v>4849</v>
      </c>
      <c r="D1375" s="1" t="s">
        <v>4859</v>
      </c>
      <c r="E1375" s="2">
        <v>37471.0</v>
      </c>
      <c r="F1375" s="1" t="s">
        <v>16</v>
      </c>
      <c r="G1375" s="1" t="s">
        <v>25</v>
      </c>
      <c r="H1375" s="1" t="s">
        <v>18</v>
      </c>
      <c r="I1375" s="3">
        <f>+2250777815526</f>
        <v>2250777815526</v>
      </c>
      <c r="J1375" s="3">
        <f>+2250544165063</f>
        <v>2250544165063</v>
      </c>
      <c r="K1375" s="1" t="s">
        <v>19</v>
      </c>
      <c r="L1375" s="4" t="s">
        <v>4860</v>
      </c>
    </row>
    <row r="1376">
      <c r="A1376" s="1" t="s">
        <v>12</v>
      </c>
      <c r="B1376" s="1" t="s">
        <v>4861</v>
      </c>
      <c r="C1376" s="1" t="s">
        <v>4862</v>
      </c>
      <c r="D1376" s="1" t="s">
        <v>4863</v>
      </c>
      <c r="E1376" s="2">
        <v>38031.0</v>
      </c>
      <c r="F1376" s="1" t="s">
        <v>81</v>
      </c>
      <c r="G1376" s="1" t="s">
        <v>82</v>
      </c>
      <c r="H1376" s="1" t="s">
        <v>18</v>
      </c>
      <c r="I1376" s="3">
        <f>+2250789097197</f>
        <v>2250789097197</v>
      </c>
      <c r="J1376" s="3">
        <f>+2250708441918</f>
        <v>2250708441918</v>
      </c>
      <c r="K1376" s="1" t="s">
        <v>19</v>
      </c>
      <c r="L1376" s="4" t="s">
        <v>4864</v>
      </c>
    </row>
    <row r="1377">
      <c r="A1377" s="1" t="s">
        <v>12</v>
      </c>
      <c r="B1377" s="1" t="s">
        <v>4865</v>
      </c>
      <c r="C1377" s="1" t="s">
        <v>4866</v>
      </c>
      <c r="D1377" s="1" t="s">
        <v>4867</v>
      </c>
      <c r="E1377" s="5">
        <v>38676.0</v>
      </c>
      <c r="F1377" s="1" t="s">
        <v>101</v>
      </c>
      <c r="G1377" s="1" t="s">
        <v>76</v>
      </c>
      <c r="H1377" s="1" t="s">
        <v>32</v>
      </c>
      <c r="I1377" s="3">
        <f>+2250544642326</f>
        <v>2250544642326</v>
      </c>
      <c r="J1377" s="3">
        <f>+2250140434786</f>
        <v>2250140434786</v>
      </c>
      <c r="K1377" s="1" t="s">
        <v>19</v>
      </c>
      <c r="L1377" s="4" t="s">
        <v>4868</v>
      </c>
    </row>
    <row r="1378">
      <c r="A1378" s="1" t="s">
        <v>12</v>
      </c>
      <c r="B1378" s="1" t="s">
        <v>4869</v>
      </c>
      <c r="C1378" s="1" t="s">
        <v>4870</v>
      </c>
      <c r="D1378" s="1" t="s">
        <v>4871</v>
      </c>
      <c r="E1378" s="2">
        <v>38471.0</v>
      </c>
      <c r="F1378" s="1" t="s">
        <v>155</v>
      </c>
      <c r="G1378" s="1" t="s">
        <v>76</v>
      </c>
      <c r="H1378" s="1" t="s">
        <v>32</v>
      </c>
      <c r="I1378" s="3">
        <f>+2250170256886</f>
        <v>2250170256886</v>
      </c>
      <c r="J1378" s="3">
        <f>+2250101394111</f>
        <v>2250101394111</v>
      </c>
      <c r="K1378" s="1" t="s">
        <v>19</v>
      </c>
      <c r="L1378" s="4" t="s">
        <v>4872</v>
      </c>
    </row>
    <row r="1379">
      <c r="A1379" s="1" t="s">
        <v>12</v>
      </c>
      <c r="B1379" s="1" t="s">
        <v>4873</v>
      </c>
      <c r="C1379" s="1" t="s">
        <v>4874</v>
      </c>
      <c r="D1379" s="1" t="s">
        <v>4875</v>
      </c>
      <c r="E1379" s="5">
        <v>36819.0</v>
      </c>
      <c r="F1379" s="1" t="s">
        <v>16</v>
      </c>
      <c r="G1379" s="1" t="s">
        <v>17</v>
      </c>
      <c r="H1379" s="1" t="s">
        <v>18</v>
      </c>
      <c r="I1379" s="3">
        <f>+2250768465091</f>
        <v>2250768465091</v>
      </c>
      <c r="J1379" s="3">
        <f>+2250102064006</f>
        <v>2250102064006</v>
      </c>
      <c r="K1379" s="1" t="s">
        <v>19</v>
      </c>
      <c r="L1379" s="4" t="s">
        <v>4876</v>
      </c>
    </row>
    <row r="1380">
      <c r="A1380" s="1" t="s">
        <v>12</v>
      </c>
      <c r="B1380" s="1" t="s">
        <v>4877</v>
      </c>
      <c r="C1380" s="1" t="s">
        <v>4878</v>
      </c>
      <c r="D1380" s="1" t="s">
        <v>4879</v>
      </c>
      <c r="E1380" s="2">
        <v>37100.0</v>
      </c>
      <c r="F1380" s="1" t="s">
        <v>16</v>
      </c>
      <c r="G1380" s="1" t="s">
        <v>17</v>
      </c>
      <c r="H1380" s="1" t="s">
        <v>18</v>
      </c>
      <c r="I1380" s="3">
        <f t="shared" ref="I1380:J1380" si="39">+2250767102028</f>
        <v>2250767102028</v>
      </c>
      <c r="J1380" s="3">
        <f t="shared" si="39"/>
        <v>2250767102028</v>
      </c>
      <c r="K1380" s="1" t="s">
        <v>19</v>
      </c>
      <c r="L1380" s="4" t="s">
        <v>4880</v>
      </c>
    </row>
    <row r="1381">
      <c r="A1381" s="1" t="s">
        <v>12</v>
      </c>
      <c r="B1381" s="1" t="s">
        <v>4881</v>
      </c>
      <c r="C1381" s="1" t="s">
        <v>4882</v>
      </c>
      <c r="D1381" s="1" t="s">
        <v>4883</v>
      </c>
      <c r="E1381" s="2">
        <v>37202.0</v>
      </c>
      <c r="F1381" s="1" t="s">
        <v>101</v>
      </c>
      <c r="G1381" s="1" t="s">
        <v>31</v>
      </c>
      <c r="H1381" s="1" t="s">
        <v>32</v>
      </c>
      <c r="I1381" s="3">
        <f>+2250759263885</f>
        <v>2250759263885</v>
      </c>
      <c r="J1381" s="3">
        <f>+2250708796922</f>
        <v>2250708796922</v>
      </c>
      <c r="K1381" s="1" t="s">
        <v>19</v>
      </c>
      <c r="L1381" s="4" t="s">
        <v>4884</v>
      </c>
    </row>
    <row r="1382">
      <c r="A1382" s="1" t="s">
        <v>12</v>
      </c>
      <c r="B1382" s="1" t="s">
        <v>4885</v>
      </c>
      <c r="C1382" s="1" t="s">
        <v>4886</v>
      </c>
      <c r="D1382" s="1" t="s">
        <v>4887</v>
      </c>
      <c r="E1382" s="2">
        <v>37779.0</v>
      </c>
      <c r="F1382" s="1" t="s">
        <v>138</v>
      </c>
      <c r="G1382" s="1" t="s">
        <v>31</v>
      </c>
      <c r="H1382" s="1" t="s">
        <v>32</v>
      </c>
      <c r="I1382" s="3">
        <f>+2250757999347</f>
        <v>2250757999347</v>
      </c>
      <c r="J1382" s="3">
        <f>+2250748060459</f>
        <v>2250748060459</v>
      </c>
      <c r="K1382" s="1" t="s">
        <v>19</v>
      </c>
      <c r="L1382" s="4" t="s">
        <v>4888</v>
      </c>
    </row>
    <row r="1383">
      <c r="A1383" s="1" t="s">
        <v>12</v>
      </c>
      <c r="B1383" s="1" t="s">
        <v>4889</v>
      </c>
      <c r="C1383" s="1" t="s">
        <v>4890</v>
      </c>
      <c r="D1383" s="1" t="s">
        <v>4891</v>
      </c>
      <c r="E1383" s="2">
        <v>38489.0</v>
      </c>
      <c r="F1383" s="1" t="s">
        <v>53</v>
      </c>
      <c r="G1383" s="1" t="s">
        <v>25</v>
      </c>
      <c r="H1383" s="1" t="s">
        <v>18</v>
      </c>
      <c r="I1383" s="3">
        <f>+2250504385352</f>
        <v>2250504385352</v>
      </c>
      <c r="J1383" s="3">
        <f>+2250140235931</f>
        <v>2250140235931</v>
      </c>
      <c r="K1383" s="1" t="s">
        <v>19</v>
      </c>
      <c r="L1383" s="4" t="s">
        <v>4892</v>
      </c>
    </row>
    <row r="1384">
      <c r="A1384" s="1" t="s">
        <v>12</v>
      </c>
      <c r="B1384" s="1" t="s">
        <v>4893</v>
      </c>
      <c r="C1384" s="1" t="s">
        <v>4890</v>
      </c>
      <c r="D1384" s="1" t="s">
        <v>4894</v>
      </c>
      <c r="E1384" s="2">
        <v>38489.0</v>
      </c>
      <c r="F1384" s="1" t="s">
        <v>70</v>
      </c>
      <c r="G1384" s="1" t="s">
        <v>76</v>
      </c>
      <c r="H1384" s="1" t="s">
        <v>32</v>
      </c>
      <c r="I1384" s="3">
        <f>+2250767194940</f>
        <v>2250767194940</v>
      </c>
      <c r="J1384" s="3">
        <f>+2250505061699</f>
        <v>2250505061699</v>
      </c>
      <c r="K1384" s="1" t="s">
        <v>19</v>
      </c>
      <c r="L1384" s="4" t="s">
        <v>4895</v>
      </c>
    </row>
    <row r="1385">
      <c r="A1385" s="1" t="s">
        <v>12</v>
      </c>
      <c r="B1385" s="1" t="s">
        <v>4896</v>
      </c>
      <c r="C1385" s="1" t="s">
        <v>4897</v>
      </c>
      <c r="D1385" s="1" t="s">
        <v>4898</v>
      </c>
      <c r="E1385" s="5">
        <v>38680.0</v>
      </c>
      <c r="F1385" s="1" t="s">
        <v>75</v>
      </c>
      <c r="G1385" s="1" t="s">
        <v>76</v>
      </c>
      <c r="H1385" s="1" t="s">
        <v>32</v>
      </c>
      <c r="I1385" s="3">
        <f>+2250707478898</f>
        <v>2250707478898</v>
      </c>
      <c r="J1385" s="3">
        <f>+2250709174637</f>
        <v>2250709174637</v>
      </c>
      <c r="K1385" s="1" t="s">
        <v>19</v>
      </c>
      <c r="L1385" s="4" t="s">
        <v>4899</v>
      </c>
    </row>
    <row r="1386">
      <c r="A1386" s="1" t="s">
        <v>12</v>
      </c>
      <c r="B1386" s="1" t="s">
        <v>4900</v>
      </c>
      <c r="C1386" s="1" t="s">
        <v>4901</v>
      </c>
      <c r="D1386" s="1" t="s">
        <v>4902</v>
      </c>
      <c r="E1386" s="2">
        <v>37432.0</v>
      </c>
      <c r="F1386" s="1" t="s">
        <v>62</v>
      </c>
      <c r="G1386" s="1" t="s">
        <v>17</v>
      </c>
      <c r="H1386" s="1" t="s">
        <v>18</v>
      </c>
      <c r="I1386" s="3">
        <f>+2250173927720</f>
        <v>2250173927720</v>
      </c>
      <c r="J1386" s="3">
        <f>+2250102588394</f>
        <v>2250102588394</v>
      </c>
      <c r="K1386" s="1" t="s">
        <v>19</v>
      </c>
      <c r="L1386" s="4" t="s">
        <v>4903</v>
      </c>
    </row>
    <row r="1387">
      <c r="A1387" s="1" t="s">
        <v>12</v>
      </c>
      <c r="B1387" s="1" t="s">
        <v>4904</v>
      </c>
      <c r="C1387" s="1" t="s">
        <v>4905</v>
      </c>
      <c r="D1387" s="1" t="s">
        <v>4906</v>
      </c>
      <c r="E1387" s="2">
        <v>38368.0</v>
      </c>
      <c r="F1387" s="1" t="s">
        <v>62</v>
      </c>
      <c r="G1387" s="1" t="s">
        <v>17</v>
      </c>
      <c r="H1387" s="1" t="s">
        <v>18</v>
      </c>
      <c r="I1387" s="3">
        <f>+2250564887505</f>
        <v>2250564887505</v>
      </c>
      <c r="J1387" s="3">
        <f>+2250708980515</f>
        <v>2250708980515</v>
      </c>
      <c r="K1387" s="1" t="s">
        <v>19</v>
      </c>
      <c r="L1387" s="4" t="s">
        <v>4907</v>
      </c>
    </row>
    <row r="1388">
      <c r="A1388" s="1" t="s">
        <v>12</v>
      </c>
      <c r="B1388" s="1" t="s">
        <v>4908</v>
      </c>
      <c r="C1388" s="1" t="s">
        <v>4905</v>
      </c>
      <c r="D1388" s="1" t="s">
        <v>4909</v>
      </c>
      <c r="E1388" s="2">
        <v>37591.0</v>
      </c>
      <c r="F1388" s="1" t="s">
        <v>351</v>
      </c>
      <c r="G1388" s="1" t="s">
        <v>31</v>
      </c>
      <c r="H1388" s="1" t="s">
        <v>32</v>
      </c>
      <c r="I1388" s="3">
        <f>+2250767571204</f>
        <v>2250767571204</v>
      </c>
      <c r="J1388" s="3">
        <f>+2250709605176</f>
        <v>2250709605176</v>
      </c>
      <c r="K1388" s="1" t="s">
        <v>19</v>
      </c>
      <c r="L1388" s="4" t="s">
        <v>4910</v>
      </c>
    </row>
    <row r="1389">
      <c r="A1389" s="1" t="s">
        <v>12</v>
      </c>
      <c r="B1389" s="1" t="s">
        <v>4911</v>
      </c>
      <c r="C1389" s="1" t="s">
        <v>4912</v>
      </c>
      <c r="D1389" s="1" t="s">
        <v>4913</v>
      </c>
      <c r="E1389" s="5">
        <v>37582.0</v>
      </c>
      <c r="F1389" s="1" t="s">
        <v>30</v>
      </c>
      <c r="G1389" s="1" t="s">
        <v>31</v>
      </c>
      <c r="H1389" s="1" t="s">
        <v>32</v>
      </c>
      <c r="I1389" s="3">
        <f>+2250706575826</f>
        <v>2250706575826</v>
      </c>
      <c r="J1389" s="3">
        <f>+2250707896227</f>
        <v>2250707896227</v>
      </c>
      <c r="K1389" s="1" t="s">
        <v>19</v>
      </c>
      <c r="L1389" s="4" t="s">
        <v>4914</v>
      </c>
    </row>
    <row r="1390">
      <c r="A1390" s="1" t="s">
        <v>12</v>
      </c>
      <c r="B1390" s="1" t="s">
        <v>4915</v>
      </c>
      <c r="C1390" s="1" t="s">
        <v>4916</v>
      </c>
      <c r="D1390" s="1" t="s">
        <v>4917</v>
      </c>
      <c r="E1390" s="2">
        <v>37763.0</v>
      </c>
      <c r="F1390" s="1" t="s">
        <v>62</v>
      </c>
      <c r="G1390" s="1" t="s">
        <v>17</v>
      </c>
      <c r="H1390" s="1" t="s">
        <v>18</v>
      </c>
      <c r="I1390" s="3">
        <f>+2250767297147</f>
        <v>2250767297147</v>
      </c>
      <c r="J1390" s="3">
        <f>+2250505515514</f>
        <v>2250505515514</v>
      </c>
      <c r="K1390" s="1" t="s">
        <v>19</v>
      </c>
      <c r="L1390" s="4" t="s">
        <v>4918</v>
      </c>
    </row>
    <row r="1391">
      <c r="A1391" s="1" t="s">
        <v>12</v>
      </c>
      <c r="B1391" s="1" t="s">
        <v>4919</v>
      </c>
      <c r="C1391" s="1" t="s">
        <v>4916</v>
      </c>
      <c r="D1391" s="1" t="s">
        <v>4920</v>
      </c>
      <c r="E1391" s="5">
        <v>37574.0</v>
      </c>
      <c r="F1391" s="1" t="s">
        <v>62</v>
      </c>
      <c r="G1391" s="1" t="s">
        <v>17</v>
      </c>
      <c r="H1391" s="1" t="s">
        <v>18</v>
      </c>
      <c r="I1391" s="3">
        <f>+2250769648385</f>
        <v>2250769648385</v>
      </c>
      <c r="J1391" s="3">
        <f>+2250142797226</f>
        <v>2250142797226</v>
      </c>
      <c r="K1391" s="1" t="s">
        <v>19</v>
      </c>
      <c r="L1391" s="4" t="s">
        <v>4921</v>
      </c>
    </row>
    <row r="1392">
      <c r="A1392" s="1" t="s">
        <v>12</v>
      </c>
      <c r="B1392" s="1" t="s">
        <v>4922</v>
      </c>
      <c r="C1392" s="1" t="s">
        <v>4923</v>
      </c>
      <c r="D1392" s="1" t="s">
        <v>4924</v>
      </c>
      <c r="E1392" s="2">
        <v>38198.0</v>
      </c>
      <c r="F1392" s="1" t="s">
        <v>351</v>
      </c>
      <c r="G1392" s="1" t="s">
        <v>31</v>
      </c>
      <c r="H1392" s="1" t="s">
        <v>32</v>
      </c>
      <c r="I1392" s="3">
        <f>+2250103529779</f>
        <v>2250103529779</v>
      </c>
      <c r="J1392" s="3">
        <f>+2250142677718</f>
        <v>2250142677718</v>
      </c>
      <c r="K1392" s="1" t="s">
        <v>19</v>
      </c>
      <c r="L1392" s="4" t="s">
        <v>4925</v>
      </c>
    </row>
    <row r="1393">
      <c r="A1393" s="1" t="s">
        <v>12</v>
      </c>
      <c r="B1393" s="1" t="s">
        <v>4926</v>
      </c>
      <c r="C1393" s="1" t="s">
        <v>4927</v>
      </c>
      <c r="D1393" s="1" t="s">
        <v>4928</v>
      </c>
      <c r="E1393" s="2">
        <v>37754.0</v>
      </c>
      <c r="F1393" s="1" t="s">
        <v>16</v>
      </c>
      <c r="G1393" s="1" t="s">
        <v>82</v>
      </c>
      <c r="H1393" s="1" t="s">
        <v>18</v>
      </c>
      <c r="I1393" s="3">
        <f>+2250797323261</f>
        <v>2250797323261</v>
      </c>
      <c r="J1393" s="3">
        <f>+2250707635411</f>
        <v>2250707635411</v>
      </c>
      <c r="K1393" s="1" t="s">
        <v>19</v>
      </c>
      <c r="L1393" s="4" t="s">
        <v>4929</v>
      </c>
    </row>
    <row r="1394">
      <c r="A1394" s="1" t="s">
        <v>12</v>
      </c>
      <c r="B1394" s="1" t="s">
        <v>4930</v>
      </c>
      <c r="C1394" s="1" t="s">
        <v>4931</v>
      </c>
      <c r="D1394" s="1" t="s">
        <v>4932</v>
      </c>
      <c r="E1394" s="5">
        <v>37940.0</v>
      </c>
      <c r="F1394" s="1" t="s">
        <v>62</v>
      </c>
      <c r="G1394" s="1" t="s">
        <v>17</v>
      </c>
      <c r="H1394" s="1" t="s">
        <v>18</v>
      </c>
      <c r="I1394" s="3">
        <f>+2250768918406</f>
        <v>2250768918406</v>
      </c>
      <c r="J1394" s="3">
        <f>+2250749400504</f>
        <v>2250749400504</v>
      </c>
      <c r="K1394" s="1" t="s">
        <v>19</v>
      </c>
      <c r="L1394" s="4" t="s">
        <v>4933</v>
      </c>
    </row>
    <row r="1395">
      <c r="A1395" s="1" t="s">
        <v>12</v>
      </c>
      <c r="B1395" s="1" t="s">
        <v>4934</v>
      </c>
      <c r="C1395" s="1" t="s">
        <v>4935</v>
      </c>
      <c r="D1395" s="1" t="s">
        <v>4936</v>
      </c>
      <c r="E1395" s="2">
        <v>38190.0</v>
      </c>
      <c r="F1395" s="1" t="s">
        <v>48</v>
      </c>
      <c r="G1395" s="1" t="s">
        <v>76</v>
      </c>
      <c r="H1395" s="1" t="s">
        <v>32</v>
      </c>
      <c r="I1395" s="3">
        <f>+2250152223791</f>
        <v>2250152223791</v>
      </c>
      <c r="J1395" s="3">
        <f>+2250102801043</f>
        <v>2250102801043</v>
      </c>
      <c r="K1395" s="1" t="s">
        <v>19</v>
      </c>
      <c r="L1395" s="4" t="s">
        <v>4937</v>
      </c>
    </row>
    <row r="1396">
      <c r="A1396" s="1" t="s">
        <v>12</v>
      </c>
      <c r="B1396" s="1" t="s">
        <v>4938</v>
      </c>
      <c r="C1396" s="1" t="s">
        <v>4939</v>
      </c>
      <c r="D1396" s="1" t="s">
        <v>4940</v>
      </c>
      <c r="E1396" s="5">
        <v>38704.0</v>
      </c>
      <c r="F1396" s="1" t="s">
        <v>24</v>
      </c>
      <c r="G1396" s="1" t="s">
        <v>25</v>
      </c>
      <c r="H1396" s="1" t="s">
        <v>18</v>
      </c>
      <c r="I1396" s="3">
        <f>+2250152412275</f>
        <v>2250152412275</v>
      </c>
      <c r="J1396" s="3">
        <f>+2250708855117</f>
        <v>2250708855117</v>
      </c>
      <c r="K1396" s="1" t="s">
        <v>19</v>
      </c>
      <c r="L1396" s="4" t="s">
        <v>4941</v>
      </c>
    </row>
    <row r="1397">
      <c r="A1397" s="1" t="s">
        <v>12</v>
      </c>
      <c r="B1397" s="1" t="s">
        <v>4942</v>
      </c>
      <c r="C1397" s="1" t="s">
        <v>4943</v>
      </c>
      <c r="D1397" s="1" t="s">
        <v>4944</v>
      </c>
      <c r="E1397" s="2">
        <v>37816.0</v>
      </c>
      <c r="F1397" s="1" t="s">
        <v>182</v>
      </c>
      <c r="G1397" s="1" t="s">
        <v>82</v>
      </c>
      <c r="H1397" s="1" t="s">
        <v>18</v>
      </c>
      <c r="I1397" s="3">
        <f>+2250502747507</f>
        <v>2250502747507</v>
      </c>
      <c r="J1397" s="3">
        <f>+2250140181670</f>
        <v>2250140181670</v>
      </c>
      <c r="K1397" s="1" t="s">
        <v>19</v>
      </c>
      <c r="L1397" s="4" t="s">
        <v>4945</v>
      </c>
    </row>
    <row r="1398">
      <c r="A1398" s="1" t="s">
        <v>12</v>
      </c>
      <c r="B1398" s="1" t="s">
        <v>4946</v>
      </c>
      <c r="C1398" s="1" t="s">
        <v>4947</v>
      </c>
      <c r="D1398" s="1" t="s">
        <v>4948</v>
      </c>
      <c r="E1398" s="2">
        <v>37808.0</v>
      </c>
      <c r="F1398" s="1" t="s">
        <v>62</v>
      </c>
      <c r="G1398" s="1" t="s">
        <v>17</v>
      </c>
      <c r="H1398" s="1" t="s">
        <v>18</v>
      </c>
      <c r="I1398" s="3">
        <f>+2250555963302</f>
        <v>2250555963302</v>
      </c>
      <c r="J1398" s="3">
        <f>+2250708836236</f>
        <v>2250708836236</v>
      </c>
      <c r="K1398" s="1" t="s">
        <v>19</v>
      </c>
      <c r="L1398" s="4" t="s">
        <v>4949</v>
      </c>
    </row>
    <row r="1399">
      <c r="A1399" s="1" t="s">
        <v>12</v>
      </c>
      <c r="B1399" s="1" t="s">
        <v>4950</v>
      </c>
      <c r="C1399" s="1" t="s">
        <v>4951</v>
      </c>
      <c r="D1399" s="1" t="s">
        <v>4952</v>
      </c>
      <c r="E1399" s="2">
        <v>37851.0</v>
      </c>
      <c r="F1399" s="1" t="s">
        <v>16</v>
      </c>
      <c r="G1399" s="1" t="s">
        <v>17</v>
      </c>
      <c r="H1399" s="1" t="s">
        <v>18</v>
      </c>
      <c r="I1399" s="3">
        <f>+2250707065258</f>
        <v>2250707065258</v>
      </c>
      <c r="J1399" s="3">
        <f>+2250502765066</f>
        <v>2250502765066</v>
      </c>
      <c r="K1399" s="1" t="s">
        <v>19</v>
      </c>
      <c r="L1399" s="4" t="s">
        <v>4953</v>
      </c>
    </row>
    <row r="1400">
      <c r="A1400" s="1" t="s">
        <v>12</v>
      </c>
      <c r="B1400" s="1" t="s">
        <v>4954</v>
      </c>
      <c r="C1400" s="1" t="s">
        <v>4955</v>
      </c>
      <c r="D1400" s="1" t="s">
        <v>4956</v>
      </c>
      <c r="E1400" s="5">
        <v>37617.0</v>
      </c>
      <c r="F1400" s="1" t="s">
        <v>16</v>
      </c>
      <c r="G1400" s="1" t="s">
        <v>17</v>
      </c>
      <c r="H1400" s="1" t="s">
        <v>18</v>
      </c>
      <c r="I1400" s="3">
        <f>+2250161299227</f>
        <v>2250161299227</v>
      </c>
      <c r="J1400" s="3">
        <f>+2250708926162</f>
        <v>2250708926162</v>
      </c>
      <c r="K1400" s="1" t="s">
        <v>19</v>
      </c>
      <c r="L1400" s="4" t="s">
        <v>4957</v>
      </c>
    </row>
    <row r="1401">
      <c r="A1401" s="1" t="s">
        <v>12</v>
      </c>
      <c r="B1401" s="1" t="s">
        <v>4958</v>
      </c>
      <c r="C1401" s="1" t="s">
        <v>4959</v>
      </c>
      <c r="D1401" s="1" t="s">
        <v>4960</v>
      </c>
      <c r="E1401" s="2">
        <v>38212.0</v>
      </c>
      <c r="F1401" s="1" t="s">
        <v>70</v>
      </c>
      <c r="G1401" s="1" t="s">
        <v>31</v>
      </c>
      <c r="H1401" s="1" t="s">
        <v>32</v>
      </c>
      <c r="I1401" s="3">
        <f>+2250102109611</f>
        <v>2250102109611</v>
      </c>
      <c r="J1401" s="3">
        <f>+22507492894</f>
        <v>22507492894</v>
      </c>
      <c r="K1401" s="1" t="s">
        <v>19</v>
      </c>
      <c r="L1401" s="4" t="s">
        <v>4961</v>
      </c>
    </row>
    <row r="1402">
      <c r="A1402" s="1" t="s">
        <v>12</v>
      </c>
      <c r="B1402" s="1" t="s">
        <v>4962</v>
      </c>
      <c r="C1402" s="1" t="s">
        <v>4963</v>
      </c>
      <c r="D1402" s="1" t="s">
        <v>4964</v>
      </c>
      <c r="E1402" s="2">
        <v>37641.0</v>
      </c>
      <c r="F1402" s="1" t="s">
        <v>70</v>
      </c>
      <c r="G1402" s="1" t="s">
        <v>76</v>
      </c>
      <c r="H1402" s="1" t="s">
        <v>32</v>
      </c>
      <c r="I1402" s="3">
        <f>+2250788086645</f>
        <v>2250788086645</v>
      </c>
      <c r="J1402" s="3">
        <f>+2250708260541</f>
        <v>2250708260541</v>
      </c>
      <c r="K1402" s="1" t="s">
        <v>19</v>
      </c>
      <c r="L1402" s="4" t="s">
        <v>4965</v>
      </c>
    </row>
    <row r="1403">
      <c r="A1403" s="1" t="s">
        <v>12</v>
      </c>
      <c r="B1403" s="1" t="s">
        <v>4966</v>
      </c>
      <c r="C1403" s="1" t="s">
        <v>4967</v>
      </c>
      <c r="D1403" s="1" t="s">
        <v>4968</v>
      </c>
      <c r="E1403" s="2">
        <v>36546.0</v>
      </c>
      <c r="F1403" s="1" t="s">
        <v>16</v>
      </c>
      <c r="G1403" s="1" t="s">
        <v>17</v>
      </c>
      <c r="H1403" s="1" t="s">
        <v>18</v>
      </c>
      <c r="I1403" s="3">
        <f>+2250759394993</f>
        <v>2250759394993</v>
      </c>
      <c r="J1403" s="3">
        <f>+2250709796915</f>
        <v>2250709796915</v>
      </c>
      <c r="K1403" s="1" t="s">
        <v>19</v>
      </c>
      <c r="L1403" s="4" t="s">
        <v>4969</v>
      </c>
    </row>
    <row r="1404">
      <c r="A1404" s="1" t="s">
        <v>12</v>
      </c>
      <c r="B1404" s="1" t="s">
        <v>4970</v>
      </c>
      <c r="C1404" s="1" t="s">
        <v>4971</v>
      </c>
      <c r="D1404" s="1" t="s">
        <v>4972</v>
      </c>
      <c r="E1404" s="5">
        <v>38337.0</v>
      </c>
      <c r="F1404" s="1" t="s">
        <v>62</v>
      </c>
      <c r="G1404" s="1" t="s">
        <v>25</v>
      </c>
      <c r="H1404" s="1" t="s">
        <v>18</v>
      </c>
      <c r="I1404" s="3">
        <f>+2250759052234</f>
        <v>2250759052234</v>
      </c>
      <c r="J1404" s="3">
        <f>+2250709681694</f>
        <v>2250709681694</v>
      </c>
      <c r="K1404" s="1" t="s">
        <v>19</v>
      </c>
      <c r="L1404" s="4" t="s">
        <v>4973</v>
      </c>
    </row>
    <row r="1405">
      <c r="A1405" s="1" t="s">
        <v>12</v>
      </c>
      <c r="B1405" s="1" t="s">
        <v>4974</v>
      </c>
      <c r="C1405" s="1" t="s">
        <v>4975</v>
      </c>
      <c r="D1405" s="1" t="s">
        <v>4976</v>
      </c>
      <c r="E1405" s="2">
        <v>38108.0</v>
      </c>
      <c r="F1405" s="1" t="s">
        <v>16</v>
      </c>
      <c r="G1405" s="1" t="s">
        <v>17</v>
      </c>
      <c r="H1405" s="1" t="s">
        <v>18</v>
      </c>
      <c r="I1405" s="3">
        <f>+2250706210053</f>
        <v>2250706210053</v>
      </c>
      <c r="J1405" s="3">
        <f>+2250143226035</f>
        <v>2250143226035</v>
      </c>
      <c r="K1405" s="1" t="s">
        <v>19</v>
      </c>
      <c r="L1405" s="4" t="s">
        <v>4977</v>
      </c>
    </row>
    <row r="1406">
      <c r="A1406" s="1" t="s">
        <v>12</v>
      </c>
      <c r="B1406" s="1" t="s">
        <v>4978</v>
      </c>
      <c r="C1406" s="1" t="s">
        <v>4979</v>
      </c>
      <c r="D1406" s="1" t="s">
        <v>4980</v>
      </c>
      <c r="E1406" s="5">
        <v>37939.0</v>
      </c>
      <c r="F1406" s="1" t="s">
        <v>16</v>
      </c>
      <c r="G1406" s="1" t="s">
        <v>82</v>
      </c>
      <c r="H1406" s="1" t="s">
        <v>18</v>
      </c>
      <c r="I1406" s="3">
        <f>+2250566851233</f>
        <v>2250566851233</v>
      </c>
      <c r="J1406" s="3">
        <f>+2250103686455</f>
        <v>2250103686455</v>
      </c>
      <c r="K1406" s="1" t="s">
        <v>19</v>
      </c>
      <c r="L1406" s="4" t="s">
        <v>4981</v>
      </c>
    </row>
    <row r="1407">
      <c r="A1407" s="1" t="s">
        <v>12</v>
      </c>
      <c r="B1407" s="1" t="s">
        <v>4982</v>
      </c>
      <c r="C1407" s="1" t="s">
        <v>4983</v>
      </c>
      <c r="D1407" s="1" t="s">
        <v>4984</v>
      </c>
      <c r="E1407" s="2">
        <v>37730.0</v>
      </c>
      <c r="F1407" s="1" t="s">
        <v>70</v>
      </c>
      <c r="G1407" s="1" t="s">
        <v>31</v>
      </c>
      <c r="H1407" s="1" t="s">
        <v>32</v>
      </c>
      <c r="I1407" s="3">
        <f>+2250151574497</f>
        <v>2250151574497</v>
      </c>
      <c r="J1407" s="3">
        <f>+2250101990356</f>
        <v>2250101990356</v>
      </c>
      <c r="K1407" s="1" t="s">
        <v>19</v>
      </c>
      <c r="L1407" s="4" t="s">
        <v>4985</v>
      </c>
    </row>
    <row r="1408">
      <c r="A1408" s="1" t="s">
        <v>12</v>
      </c>
      <c r="B1408" s="1" t="s">
        <v>4986</v>
      </c>
      <c r="C1408" s="1" t="s">
        <v>4987</v>
      </c>
      <c r="D1408" s="1" t="s">
        <v>4988</v>
      </c>
      <c r="E1408" s="2">
        <v>37130.0</v>
      </c>
      <c r="F1408" s="1" t="s">
        <v>342</v>
      </c>
      <c r="G1408" s="1" t="s">
        <v>82</v>
      </c>
      <c r="H1408" s="1" t="s">
        <v>18</v>
      </c>
      <c r="I1408" s="3">
        <f>+2250788571346</f>
        <v>2250788571346</v>
      </c>
      <c r="J1408" s="3">
        <f>+2250707796179</f>
        <v>2250707796179</v>
      </c>
      <c r="K1408" s="1" t="s">
        <v>19</v>
      </c>
      <c r="L1408" s="4" t="s">
        <v>4989</v>
      </c>
    </row>
    <row r="1409">
      <c r="A1409" s="1" t="s">
        <v>12</v>
      </c>
      <c r="B1409" s="1" t="s">
        <v>4990</v>
      </c>
      <c r="C1409" s="1" t="s">
        <v>4987</v>
      </c>
      <c r="D1409" s="1" t="s">
        <v>4991</v>
      </c>
      <c r="E1409" s="2">
        <v>38220.0</v>
      </c>
      <c r="F1409" s="1" t="s">
        <v>101</v>
      </c>
      <c r="G1409" s="1" t="s">
        <v>31</v>
      </c>
      <c r="H1409" s="1" t="s">
        <v>32</v>
      </c>
      <c r="I1409" s="3">
        <f>+2250767101056</f>
        <v>2250767101056</v>
      </c>
      <c r="J1409" s="3">
        <f>+2250707391469</f>
        <v>2250707391469</v>
      </c>
      <c r="K1409" s="1" t="s">
        <v>19</v>
      </c>
      <c r="L1409" s="4" t="s">
        <v>4992</v>
      </c>
    </row>
    <row r="1410">
      <c r="A1410" s="1" t="s">
        <v>12</v>
      </c>
      <c r="B1410" s="1" t="s">
        <v>4993</v>
      </c>
      <c r="C1410" s="1" t="s">
        <v>4994</v>
      </c>
      <c r="D1410" s="1" t="s">
        <v>4995</v>
      </c>
      <c r="E1410" s="2">
        <v>38292.0</v>
      </c>
      <c r="F1410" s="1" t="s">
        <v>138</v>
      </c>
      <c r="G1410" s="1" t="s">
        <v>76</v>
      </c>
      <c r="H1410" s="1" t="s">
        <v>32</v>
      </c>
      <c r="I1410" s="3">
        <f>+2250759462859</f>
        <v>2250759462859</v>
      </c>
      <c r="J1410" s="3">
        <f>+2250707885171</f>
        <v>2250707885171</v>
      </c>
      <c r="K1410" s="1" t="s">
        <v>19</v>
      </c>
      <c r="L1410" s="4" t="s">
        <v>4996</v>
      </c>
    </row>
    <row r="1411">
      <c r="A1411" s="1" t="s">
        <v>12</v>
      </c>
      <c r="B1411" s="1" t="s">
        <v>4997</v>
      </c>
      <c r="C1411" s="1" t="s">
        <v>4998</v>
      </c>
      <c r="D1411" s="1" t="s">
        <v>4999</v>
      </c>
      <c r="E1411" s="5">
        <v>36872.0</v>
      </c>
      <c r="F1411" s="1" t="s">
        <v>37</v>
      </c>
      <c r="G1411" s="1" t="s">
        <v>82</v>
      </c>
      <c r="H1411" s="1" t="s">
        <v>18</v>
      </c>
      <c r="I1411" s="3">
        <f>+2250788772944</f>
        <v>2250788772944</v>
      </c>
      <c r="J1411" s="3">
        <f>+2250555232445</f>
        <v>2250555232445</v>
      </c>
      <c r="K1411" s="1" t="s">
        <v>19</v>
      </c>
      <c r="L1411" s="4" t="s">
        <v>5000</v>
      </c>
    </row>
    <row r="1412">
      <c r="A1412" s="1" t="s">
        <v>12</v>
      </c>
      <c r="B1412" s="1" t="s">
        <v>5001</v>
      </c>
      <c r="C1412" s="1" t="s">
        <v>5002</v>
      </c>
      <c r="D1412" s="1" t="s">
        <v>5003</v>
      </c>
      <c r="E1412" s="2">
        <v>36934.0</v>
      </c>
      <c r="F1412" s="1" t="s">
        <v>16</v>
      </c>
      <c r="G1412" s="1" t="s">
        <v>25</v>
      </c>
      <c r="H1412" s="1" t="s">
        <v>18</v>
      </c>
      <c r="I1412" s="3">
        <f>+2250173024948</f>
        <v>2250173024948</v>
      </c>
      <c r="J1412" s="3">
        <f>+2250748760347</f>
        <v>2250748760347</v>
      </c>
      <c r="K1412" s="1" t="s">
        <v>19</v>
      </c>
      <c r="L1412" s="4" t="s">
        <v>5004</v>
      </c>
    </row>
    <row r="1413">
      <c r="A1413" s="1" t="s">
        <v>12</v>
      </c>
      <c r="B1413" s="1" t="s">
        <v>5005</v>
      </c>
      <c r="C1413" s="1" t="s">
        <v>5006</v>
      </c>
      <c r="D1413" s="1" t="s">
        <v>5007</v>
      </c>
      <c r="E1413" s="2">
        <v>36161.0</v>
      </c>
      <c r="F1413" s="1" t="s">
        <v>16</v>
      </c>
      <c r="G1413" s="1" t="s">
        <v>82</v>
      </c>
      <c r="H1413" s="1" t="s">
        <v>18</v>
      </c>
      <c r="I1413" s="3">
        <f>+2250757562718</f>
        <v>2250757562718</v>
      </c>
      <c r="J1413" s="3">
        <f>+2250769139972</f>
        <v>2250769139972</v>
      </c>
      <c r="K1413" s="1" t="s">
        <v>19</v>
      </c>
      <c r="L1413" s="4" t="s">
        <v>5008</v>
      </c>
    </row>
    <row r="1414">
      <c r="A1414" s="1" t="s">
        <v>12</v>
      </c>
      <c r="B1414" s="1" t="s">
        <v>5009</v>
      </c>
      <c r="C1414" s="1" t="s">
        <v>5010</v>
      </c>
      <c r="D1414" s="1" t="s">
        <v>5011</v>
      </c>
      <c r="E1414" s="2">
        <v>37729.0</v>
      </c>
      <c r="F1414" s="1" t="s">
        <v>416</v>
      </c>
      <c r="G1414" s="1" t="s">
        <v>76</v>
      </c>
      <c r="H1414" s="1" t="s">
        <v>32</v>
      </c>
      <c r="I1414" s="3">
        <f>+2250759993846</f>
        <v>2250759993846</v>
      </c>
      <c r="J1414" s="3">
        <f>+2250101531053</f>
        <v>2250101531053</v>
      </c>
      <c r="K1414" s="1" t="s">
        <v>19</v>
      </c>
      <c r="L1414" s="4" t="s">
        <v>5012</v>
      </c>
    </row>
    <row r="1415">
      <c r="A1415" s="1" t="s">
        <v>12</v>
      </c>
      <c r="B1415" s="1" t="s">
        <v>5013</v>
      </c>
      <c r="C1415" s="1" t="s">
        <v>5010</v>
      </c>
      <c r="D1415" s="1" t="s">
        <v>5014</v>
      </c>
      <c r="E1415" s="2">
        <v>36861.0</v>
      </c>
      <c r="F1415" s="1" t="s">
        <v>16</v>
      </c>
      <c r="G1415" s="1" t="s">
        <v>17</v>
      </c>
      <c r="H1415" s="1" t="s">
        <v>18</v>
      </c>
      <c r="I1415" s="3">
        <f>+2250768071147</f>
        <v>2250768071147</v>
      </c>
      <c r="J1415" s="3">
        <f>+2250707277924</f>
        <v>2250707277924</v>
      </c>
      <c r="K1415" s="1" t="s">
        <v>19</v>
      </c>
      <c r="L1415" s="4" t="s">
        <v>5015</v>
      </c>
    </row>
    <row r="1416">
      <c r="A1416" s="1" t="s">
        <v>12</v>
      </c>
      <c r="B1416" s="1" t="s">
        <v>5016</v>
      </c>
      <c r="C1416" s="1" t="s">
        <v>5017</v>
      </c>
      <c r="D1416" s="1" t="s">
        <v>2203</v>
      </c>
      <c r="E1416" s="2">
        <v>38234.0</v>
      </c>
      <c r="F1416" s="1" t="s">
        <v>167</v>
      </c>
      <c r="G1416" s="1" t="s">
        <v>25</v>
      </c>
      <c r="H1416" s="1" t="s">
        <v>18</v>
      </c>
      <c r="I1416" s="3">
        <f>+2250142070577</f>
        <v>2250142070577</v>
      </c>
      <c r="J1416" s="3">
        <f>+2250160090679</f>
        <v>2250160090679</v>
      </c>
      <c r="K1416" s="1" t="s">
        <v>19</v>
      </c>
      <c r="L1416" s="4" t="s">
        <v>5018</v>
      </c>
    </row>
    <row r="1417">
      <c r="A1417" s="1" t="s">
        <v>12</v>
      </c>
      <c r="B1417" s="1" t="s">
        <v>5019</v>
      </c>
      <c r="C1417" s="1" t="s">
        <v>5020</v>
      </c>
      <c r="D1417" s="1" t="s">
        <v>5021</v>
      </c>
      <c r="E1417" s="2">
        <v>39486.0</v>
      </c>
      <c r="F1417" s="1" t="s">
        <v>30</v>
      </c>
      <c r="G1417" s="1" t="s">
        <v>76</v>
      </c>
      <c r="H1417" s="1" t="s">
        <v>32</v>
      </c>
      <c r="I1417" s="3">
        <f>+2250758140579</f>
        <v>2250758140579</v>
      </c>
      <c r="J1417" s="3">
        <f>+2250502697471</f>
        <v>2250502697471</v>
      </c>
      <c r="K1417" s="1" t="s">
        <v>19</v>
      </c>
      <c r="L1417" s="4" t="s">
        <v>5022</v>
      </c>
    </row>
    <row r="1418">
      <c r="A1418" s="1" t="s">
        <v>12</v>
      </c>
      <c r="B1418" s="1" t="s">
        <v>5023</v>
      </c>
      <c r="C1418" s="1" t="s">
        <v>5024</v>
      </c>
      <c r="D1418" s="1" t="s">
        <v>5025</v>
      </c>
      <c r="E1418" s="5">
        <v>38645.0</v>
      </c>
      <c r="F1418" s="1" t="s">
        <v>62</v>
      </c>
      <c r="G1418" s="1" t="s">
        <v>17</v>
      </c>
      <c r="H1418" s="1" t="s">
        <v>18</v>
      </c>
      <c r="I1418" s="3">
        <f>+2250596199271</f>
        <v>2250596199271</v>
      </c>
      <c r="J1418" s="3">
        <f>+2250701518173</f>
        <v>2250701518173</v>
      </c>
      <c r="K1418" s="1" t="s">
        <v>19</v>
      </c>
      <c r="L1418" s="4" t="s">
        <v>5026</v>
      </c>
    </row>
    <row r="1419">
      <c r="A1419" s="1" t="s">
        <v>12</v>
      </c>
      <c r="B1419" s="1" t="s">
        <v>5027</v>
      </c>
      <c r="C1419" s="1" t="s">
        <v>5024</v>
      </c>
      <c r="D1419" s="1" t="s">
        <v>5028</v>
      </c>
      <c r="E1419" s="5">
        <v>36875.0</v>
      </c>
      <c r="F1419" s="1" t="s">
        <v>167</v>
      </c>
      <c r="G1419" s="1" t="s">
        <v>17</v>
      </c>
      <c r="H1419" s="1" t="s">
        <v>18</v>
      </c>
      <c r="I1419" s="3">
        <f>+2250769997800</f>
        <v>2250769997800</v>
      </c>
      <c r="J1419" s="3">
        <f>+2250505049037</f>
        <v>2250505049037</v>
      </c>
      <c r="K1419" s="1" t="s">
        <v>19</v>
      </c>
      <c r="L1419" s="4" t="s">
        <v>5029</v>
      </c>
    </row>
    <row r="1420">
      <c r="A1420" s="1" t="s">
        <v>12</v>
      </c>
      <c r="B1420" s="1" t="s">
        <v>5030</v>
      </c>
      <c r="C1420" s="1" t="s">
        <v>5031</v>
      </c>
      <c r="D1420" s="1" t="s">
        <v>5032</v>
      </c>
      <c r="E1420" s="2">
        <v>37957.0</v>
      </c>
      <c r="F1420" s="1" t="s">
        <v>92</v>
      </c>
      <c r="G1420" s="1" t="s">
        <v>31</v>
      </c>
      <c r="H1420" s="1" t="s">
        <v>32</v>
      </c>
      <c r="I1420" s="3">
        <f>+2250797322861</f>
        <v>2250797322861</v>
      </c>
      <c r="J1420" s="3">
        <f>+2250749877016</f>
        <v>2250749877016</v>
      </c>
      <c r="K1420" s="1" t="s">
        <v>19</v>
      </c>
      <c r="L1420" s="4" t="s">
        <v>5033</v>
      </c>
    </row>
    <row r="1421">
      <c r="A1421" s="1" t="s">
        <v>12</v>
      </c>
      <c r="B1421" s="1" t="s">
        <v>5034</v>
      </c>
      <c r="C1421" s="1" t="s">
        <v>5031</v>
      </c>
      <c r="D1421" s="1" t="s">
        <v>5035</v>
      </c>
      <c r="E1421" s="5">
        <v>38308.0</v>
      </c>
      <c r="F1421" s="1" t="s">
        <v>110</v>
      </c>
      <c r="G1421" s="1" t="s">
        <v>82</v>
      </c>
      <c r="H1421" s="1" t="s">
        <v>18</v>
      </c>
      <c r="I1421" s="3">
        <f>+2250747077317</f>
        <v>2250747077317</v>
      </c>
      <c r="J1421" s="3">
        <f>+2250707695743</f>
        <v>2250707695743</v>
      </c>
      <c r="K1421" s="1" t="s">
        <v>19</v>
      </c>
      <c r="L1421" s="4" t="s">
        <v>5036</v>
      </c>
    </row>
    <row r="1422">
      <c r="A1422" s="1" t="s">
        <v>12</v>
      </c>
      <c r="B1422" s="1" t="s">
        <v>5037</v>
      </c>
      <c r="C1422" s="1" t="s">
        <v>5031</v>
      </c>
      <c r="D1422" s="1" t="s">
        <v>5038</v>
      </c>
      <c r="E1422" s="2">
        <v>37401.0</v>
      </c>
      <c r="F1422" s="1" t="s">
        <v>53</v>
      </c>
      <c r="G1422" s="1" t="s">
        <v>17</v>
      </c>
      <c r="H1422" s="1" t="s">
        <v>18</v>
      </c>
      <c r="I1422" s="3">
        <f>+2250767647434</f>
        <v>2250767647434</v>
      </c>
      <c r="J1422" s="3">
        <f>+2250707695749</f>
        <v>2250707695749</v>
      </c>
      <c r="K1422" s="1" t="s">
        <v>19</v>
      </c>
      <c r="L1422" s="4" t="s">
        <v>5039</v>
      </c>
    </row>
    <row r="1423">
      <c r="A1423" s="1" t="s">
        <v>12</v>
      </c>
      <c r="B1423" s="1" t="s">
        <v>5040</v>
      </c>
      <c r="C1423" s="1" t="s">
        <v>5041</v>
      </c>
      <c r="D1423" s="1" t="s">
        <v>5042</v>
      </c>
      <c r="E1423" s="5">
        <v>37241.0</v>
      </c>
      <c r="F1423" s="1" t="s">
        <v>53</v>
      </c>
      <c r="G1423" s="1" t="s">
        <v>17</v>
      </c>
      <c r="H1423" s="1" t="s">
        <v>18</v>
      </c>
      <c r="I1423" s="3">
        <f>+2250143194227</f>
        <v>2250143194227</v>
      </c>
      <c r="J1423" s="3">
        <f t="shared" ref="J1423:J1424" si="40">+2250707600354</f>
        <v>2250707600354</v>
      </c>
      <c r="K1423" s="1" t="s">
        <v>19</v>
      </c>
      <c r="L1423" s="4" t="s">
        <v>5043</v>
      </c>
    </row>
    <row r="1424">
      <c r="A1424" s="1" t="s">
        <v>12</v>
      </c>
      <c r="B1424" s="1" t="s">
        <v>5044</v>
      </c>
      <c r="C1424" s="1" t="s">
        <v>5041</v>
      </c>
      <c r="D1424" s="1" t="s">
        <v>5045</v>
      </c>
      <c r="E1424" s="2">
        <v>38265.0</v>
      </c>
      <c r="F1424" s="1" t="s">
        <v>62</v>
      </c>
      <c r="G1424" s="1" t="s">
        <v>25</v>
      </c>
      <c r="H1424" s="1" t="s">
        <v>18</v>
      </c>
      <c r="I1424" s="3">
        <f>+2250172293485</f>
        <v>2250172293485</v>
      </c>
      <c r="J1424" s="3">
        <f t="shared" si="40"/>
        <v>2250707600354</v>
      </c>
      <c r="K1424" s="1" t="s">
        <v>19</v>
      </c>
      <c r="L1424" s="4" t="s">
        <v>5046</v>
      </c>
    </row>
    <row r="1425">
      <c r="A1425" s="1" t="s">
        <v>12</v>
      </c>
      <c r="B1425" s="1" t="s">
        <v>5047</v>
      </c>
      <c r="C1425" s="1" t="s">
        <v>5048</v>
      </c>
      <c r="D1425" s="1" t="s">
        <v>5049</v>
      </c>
      <c r="E1425" s="2">
        <v>36647.0</v>
      </c>
      <c r="F1425" s="1" t="s">
        <v>16</v>
      </c>
      <c r="G1425" s="1" t="s">
        <v>17</v>
      </c>
      <c r="H1425" s="1" t="s">
        <v>18</v>
      </c>
      <c r="I1425" s="3">
        <f>+2250768015163</f>
        <v>2250768015163</v>
      </c>
      <c r="J1425" s="3">
        <f>+2250707321648</f>
        <v>2250707321648</v>
      </c>
      <c r="K1425" s="1" t="s">
        <v>19</v>
      </c>
      <c r="L1425" s="4" t="s">
        <v>5050</v>
      </c>
    </row>
    <row r="1426">
      <c r="A1426" s="1" t="s">
        <v>12</v>
      </c>
      <c r="B1426" s="1" t="s">
        <v>5051</v>
      </c>
      <c r="C1426" s="1" t="s">
        <v>5048</v>
      </c>
      <c r="D1426" s="1" t="s">
        <v>5052</v>
      </c>
      <c r="E1426" s="2">
        <v>37632.0</v>
      </c>
      <c r="F1426" s="1" t="s">
        <v>92</v>
      </c>
      <c r="G1426" s="1" t="s">
        <v>31</v>
      </c>
      <c r="H1426" s="1" t="s">
        <v>32</v>
      </c>
      <c r="I1426" s="3">
        <f>+2250779138312</f>
        <v>2250779138312</v>
      </c>
      <c r="J1426" s="3">
        <f>+2250505334500</f>
        <v>2250505334500</v>
      </c>
      <c r="K1426" s="1" t="s">
        <v>19</v>
      </c>
      <c r="L1426" s="4" t="s">
        <v>5053</v>
      </c>
    </row>
    <row r="1427">
      <c r="A1427" s="1" t="s">
        <v>12</v>
      </c>
      <c r="B1427" s="1" t="s">
        <v>5054</v>
      </c>
      <c r="C1427" s="1" t="s">
        <v>5055</v>
      </c>
      <c r="D1427" s="1" t="s">
        <v>5056</v>
      </c>
      <c r="E1427" s="2">
        <v>36904.0</v>
      </c>
      <c r="F1427" s="1" t="s">
        <v>62</v>
      </c>
      <c r="G1427" s="1" t="s">
        <v>25</v>
      </c>
      <c r="H1427" s="1" t="s">
        <v>18</v>
      </c>
      <c r="I1427" s="3">
        <f>+2250748064819</f>
        <v>2250748064819</v>
      </c>
      <c r="J1427" s="3">
        <f>+2250150284198</f>
        <v>2250150284198</v>
      </c>
      <c r="K1427" s="1" t="s">
        <v>19</v>
      </c>
      <c r="L1427" s="4" t="s">
        <v>5057</v>
      </c>
    </row>
    <row r="1428">
      <c r="A1428" s="1" t="s">
        <v>12</v>
      </c>
      <c r="B1428" s="1" t="s">
        <v>5058</v>
      </c>
      <c r="C1428" s="1" t="s">
        <v>5059</v>
      </c>
      <c r="D1428" s="1" t="s">
        <v>5060</v>
      </c>
      <c r="E1428" s="5">
        <v>37978.0</v>
      </c>
      <c r="F1428" s="1" t="s">
        <v>138</v>
      </c>
      <c r="G1428" s="1" t="s">
        <v>31</v>
      </c>
      <c r="H1428" s="1" t="s">
        <v>32</v>
      </c>
      <c r="I1428" s="3">
        <f>+2250504227248</f>
        <v>2250504227248</v>
      </c>
      <c r="J1428" s="3">
        <f>+2250709476649</f>
        <v>2250709476649</v>
      </c>
      <c r="K1428" s="1" t="s">
        <v>19</v>
      </c>
      <c r="L1428" s="4" t="s">
        <v>5061</v>
      </c>
    </row>
    <row r="1429">
      <c r="A1429" s="1" t="s">
        <v>12</v>
      </c>
      <c r="B1429" s="1" t="s">
        <v>5062</v>
      </c>
      <c r="C1429" s="1" t="s">
        <v>5063</v>
      </c>
      <c r="D1429" s="1" t="s">
        <v>5064</v>
      </c>
      <c r="E1429" s="5">
        <v>37605.0</v>
      </c>
      <c r="F1429" s="1" t="s">
        <v>62</v>
      </c>
      <c r="G1429" s="1" t="s">
        <v>17</v>
      </c>
      <c r="H1429" s="1" t="s">
        <v>18</v>
      </c>
      <c r="I1429" s="3">
        <f>+2250758749965</f>
        <v>2250758749965</v>
      </c>
      <c r="J1429" s="3">
        <f>+2250546838615</f>
        <v>2250546838615</v>
      </c>
      <c r="K1429" s="1" t="s">
        <v>19</v>
      </c>
      <c r="L1429" s="4" t="s">
        <v>5065</v>
      </c>
    </row>
    <row r="1430">
      <c r="A1430" s="1" t="s">
        <v>12</v>
      </c>
      <c r="B1430" s="1" t="s">
        <v>5066</v>
      </c>
      <c r="C1430" s="1" t="s">
        <v>5067</v>
      </c>
      <c r="D1430" s="1" t="s">
        <v>5068</v>
      </c>
      <c r="E1430" s="2">
        <v>36667.0</v>
      </c>
      <c r="F1430" s="1" t="s">
        <v>30</v>
      </c>
      <c r="G1430" s="1" t="s">
        <v>31</v>
      </c>
      <c r="H1430" s="1" t="s">
        <v>32</v>
      </c>
      <c r="I1430" s="3">
        <f>+2250788547044</f>
        <v>2250788547044</v>
      </c>
      <c r="J1430" s="3">
        <f>+2250797787311</f>
        <v>2250797787311</v>
      </c>
      <c r="K1430" s="1" t="s">
        <v>19</v>
      </c>
      <c r="L1430" s="4" t="s">
        <v>5069</v>
      </c>
    </row>
    <row r="1431">
      <c r="A1431" s="1" t="s">
        <v>12</v>
      </c>
      <c r="B1431" s="1" t="s">
        <v>5070</v>
      </c>
      <c r="C1431" s="1" t="s">
        <v>5071</v>
      </c>
      <c r="D1431" s="1" t="s">
        <v>5072</v>
      </c>
      <c r="E1431" s="2">
        <v>38189.0</v>
      </c>
      <c r="F1431" s="1" t="s">
        <v>16</v>
      </c>
      <c r="G1431" s="1" t="s">
        <v>17</v>
      </c>
      <c r="H1431" s="1" t="s">
        <v>18</v>
      </c>
      <c r="I1431" s="3">
        <f>+2250575110555</f>
        <v>2250575110555</v>
      </c>
      <c r="J1431" s="3">
        <f>+2250505186203</f>
        <v>2250505186203</v>
      </c>
      <c r="K1431" s="1" t="s">
        <v>19</v>
      </c>
      <c r="L1431" s="4" t="s">
        <v>5073</v>
      </c>
    </row>
    <row r="1432">
      <c r="A1432" s="1" t="s">
        <v>12</v>
      </c>
      <c r="B1432" s="1" t="s">
        <v>5074</v>
      </c>
      <c r="C1432" s="1" t="s">
        <v>5075</v>
      </c>
      <c r="D1432" s="1" t="s">
        <v>5076</v>
      </c>
      <c r="E1432" s="2">
        <v>37709.0</v>
      </c>
      <c r="F1432" s="1" t="s">
        <v>48</v>
      </c>
      <c r="G1432" s="1" t="s">
        <v>31</v>
      </c>
      <c r="H1432" s="1" t="s">
        <v>32</v>
      </c>
      <c r="I1432" s="3">
        <f>+2250142070102</f>
        <v>2250142070102</v>
      </c>
      <c r="J1432" s="3">
        <f>+2250101131882</f>
        <v>2250101131882</v>
      </c>
      <c r="K1432" s="1" t="s">
        <v>19</v>
      </c>
      <c r="L1432" s="4" t="s">
        <v>5077</v>
      </c>
    </row>
    <row r="1433">
      <c r="A1433" s="1" t="s">
        <v>12</v>
      </c>
      <c r="B1433" s="1" t="s">
        <v>5078</v>
      </c>
      <c r="C1433" s="1" t="s">
        <v>5079</v>
      </c>
      <c r="D1433" s="1" t="s">
        <v>5080</v>
      </c>
      <c r="E1433" s="2">
        <v>38602.0</v>
      </c>
      <c r="F1433" s="1" t="s">
        <v>167</v>
      </c>
      <c r="G1433" s="1" t="s">
        <v>25</v>
      </c>
      <c r="H1433" s="1" t="s">
        <v>18</v>
      </c>
      <c r="I1433" s="3">
        <f>+2250170837580</f>
        <v>2250170837580</v>
      </c>
      <c r="J1433" s="3">
        <f>+2250566889323</f>
        <v>2250566889323</v>
      </c>
      <c r="K1433" s="1" t="s">
        <v>19</v>
      </c>
      <c r="L1433" s="4" t="s">
        <v>5081</v>
      </c>
    </row>
    <row r="1434">
      <c r="A1434" s="1" t="s">
        <v>12</v>
      </c>
      <c r="B1434" s="1" t="s">
        <v>5082</v>
      </c>
      <c r="C1434" s="1" t="s">
        <v>5083</v>
      </c>
      <c r="D1434" s="1" t="s">
        <v>5084</v>
      </c>
      <c r="E1434" s="2">
        <v>38791.0</v>
      </c>
      <c r="F1434" s="1" t="s">
        <v>155</v>
      </c>
      <c r="G1434" s="1" t="s">
        <v>76</v>
      </c>
      <c r="H1434" s="1" t="s">
        <v>32</v>
      </c>
      <c r="I1434" s="3">
        <f>+2250789810084</f>
        <v>2250789810084</v>
      </c>
      <c r="J1434" s="3">
        <f>+2250102766576</f>
        <v>2250102766576</v>
      </c>
      <c r="K1434" s="1" t="s">
        <v>19</v>
      </c>
      <c r="L1434" s="4" t="s">
        <v>5085</v>
      </c>
    </row>
    <row r="1435">
      <c r="A1435" s="1" t="s">
        <v>12</v>
      </c>
      <c r="B1435" s="1" t="s">
        <v>5086</v>
      </c>
      <c r="C1435" s="1" t="s">
        <v>5087</v>
      </c>
      <c r="D1435" s="1" t="s">
        <v>5088</v>
      </c>
      <c r="E1435" s="5">
        <v>37557.0</v>
      </c>
      <c r="F1435" s="1" t="s">
        <v>155</v>
      </c>
      <c r="G1435" s="1" t="s">
        <v>82</v>
      </c>
      <c r="H1435" s="1" t="s">
        <v>18</v>
      </c>
      <c r="I1435" s="3">
        <f>+2250101356485</f>
        <v>2250101356485</v>
      </c>
      <c r="J1435" s="3">
        <f>+2250141059199</f>
        <v>2250141059199</v>
      </c>
      <c r="K1435" s="1" t="s">
        <v>19</v>
      </c>
      <c r="L1435" s="4" t="s">
        <v>5089</v>
      </c>
    </row>
    <row r="1436">
      <c r="A1436" s="1" t="s">
        <v>12</v>
      </c>
      <c r="B1436" s="1" t="s">
        <v>5090</v>
      </c>
      <c r="C1436" s="1" t="s">
        <v>5087</v>
      </c>
      <c r="D1436" s="1" t="s">
        <v>5091</v>
      </c>
      <c r="E1436" s="2">
        <v>37591.0</v>
      </c>
      <c r="F1436" s="1" t="s">
        <v>16</v>
      </c>
      <c r="G1436" s="1" t="s">
        <v>17</v>
      </c>
      <c r="H1436" s="1" t="s">
        <v>18</v>
      </c>
      <c r="I1436" s="3">
        <f>+2250769843094</f>
        <v>2250769843094</v>
      </c>
      <c r="J1436" s="3">
        <f>+2250707511649</f>
        <v>2250707511649</v>
      </c>
      <c r="K1436" s="1" t="s">
        <v>19</v>
      </c>
      <c r="L1436" s="4" t="s">
        <v>5092</v>
      </c>
    </row>
    <row r="1437">
      <c r="A1437" s="1" t="s">
        <v>12</v>
      </c>
      <c r="B1437" s="1" t="s">
        <v>5093</v>
      </c>
      <c r="C1437" s="1" t="s">
        <v>5094</v>
      </c>
      <c r="D1437" s="1" t="s">
        <v>5095</v>
      </c>
      <c r="E1437" s="2">
        <v>38874.0</v>
      </c>
      <c r="F1437" s="1" t="s">
        <v>30</v>
      </c>
      <c r="G1437" s="1" t="s">
        <v>76</v>
      </c>
      <c r="H1437" s="1" t="s">
        <v>32</v>
      </c>
      <c r="I1437" s="3">
        <f>+2250759735253</f>
        <v>2250759735253</v>
      </c>
      <c r="J1437" s="3">
        <f>+2250153201182</f>
        <v>2250153201182</v>
      </c>
      <c r="K1437" s="1" t="s">
        <v>19</v>
      </c>
      <c r="L1437" s="4" t="s">
        <v>5096</v>
      </c>
    </row>
    <row r="1438">
      <c r="A1438" s="1" t="s">
        <v>12</v>
      </c>
      <c r="B1438" s="1" t="s">
        <v>5097</v>
      </c>
      <c r="C1438" s="1" t="s">
        <v>5098</v>
      </c>
      <c r="D1438" s="1" t="s">
        <v>5099</v>
      </c>
      <c r="E1438" s="2">
        <v>38738.0</v>
      </c>
      <c r="F1438" s="1" t="s">
        <v>62</v>
      </c>
      <c r="G1438" s="1" t="s">
        <v>17</v>
      </c>
      <c r="H1438" s="1" t="s">
        <v>18</v>
      </c>
      <c r="I1438" s="3">
        <f>+2250787359495</f>
        <v>2250787359495</v>
      </c>
      <c r="J1438" s="3">
        <f>+2250757233536</f>
        <v>2250757233536</v>
      </c>
      <c r="K1438" s="1" t="s">
        <v>19</v>
      </c>
      <c r="L1438" s="4" t="s">
        <v>5100</v>
      </c>
    </row>
    <row r="1439">
      <c r="A1439" s="1" t="s">
        <v>12</v>
      </c>
      <c r="B1439" s="1" t="s">
        <v>5101</v>
      </c>
      <c r="C1439" s="1" t="s">
        <v>5102</v>
      </c>
      <c r="D1439" s="1" t="s">
        <v>5103</v>
      </c>
      <c r="E1439" s="2">
        <v>38807.0</v>
      </c>
      <c r="F1439" s="1" t="s">
        <v>101</v>
      </c>
      <c r="G1439" s="1" t="s">
        <v>76</v>
      </c>
      <c r="H1439" s="1" t="s">
        <v>32</v>
      </c>
      <c r="I1439" s="3">
        <f>+2250705183191</f>
        <v>2250705183191</v>
      </c>
      <c r="J1439" s="3">
        <f>+2250747440432</f>
        <v>2250747440432</v>
      </c>
      <c r="K1439" s="1" t="s">
        <v>19</v>
      </c>
      <c r="L1439" s="4" t="s">
        <v>5104</v>
      </c>
    </row>
    <row r="1440">
      <c r="A1440" s="1" t="s">
        <v>12</v>
      </c>
      <c r="B1440" s="1" t="s">
        <v>5105</v>
      </c>
      <c r="C1440" s="1" t="s">
        <v>5106</v>
      </c>
      <c r="D1440" s="1" t="s">
        <v>5107</v>
      </c>
      <c r="E1440" s="2">
        <v>38090.0</v>
      </c>
      <c r="F1440" s="1" t="s">
        <v>24</v>
      </c>
      <c r="G1440" s="1" t="s">
        <v>17</v>
      </c>
      <c r="H1440" s="1" t="s">
        <v>18</v>
      </c>
      <c r="I1440" s="3">
        <f>+2250585381658</f>
        <v>2250585381658</v>
      </c>
      <c r="J1440" s="3">
        <f>+2250140666751</f>
        <v>2250140666751</v>
      </c>
      <c r="K1440" s="1" t="s">
        <v>19</v>
      </c>
      <c r="L1440" s="4" t="s">
        <v>5108</v>
      </c>
    </row>
    <row r="1441">
      <c r="A1441" s="1" t="s">
        <v>12</v>
      </c>
      <c r="B1441" s="1" t="s">
        <v>5109</v>
      </c>
      <c r="C1441" s="1" t="s">
        <v>5110</v>
      </c>
      <c r="D1441" s="1" t="s">
        <v>5111</v>
      </c>
      <c r="E1441" s="2">
        <v>38046.0</v>
      </c>
      <c r="F1441" s="1" t="s">
        <v>53</v>
      </c>
      <c r="G1441" s="1" t="s">
        <v>25</v>
      </c>
      <c r="H1441" s="1" t="s">
        <v>18</v>
      </c>
      <c r="I1441" s="3">
        <f>+2250749571629</f>
        <v>2250749571629</v>
      </c>
      <c r="J1441" s="3">
        <f>+2250506888595</f>
        <v>2250506888595</v>
      </c>
      <c r="K1441" s="1" t="s">
        <v>19</v>
      </c>
      <c r="L1441" s="4" t="s">
        <v>5112</v>
      </c>
    </row>
    <row r="1442">
      <c r="A1442" s="1" t="s">
        <v>12</v>
      </c>
      <c r="B1442" s="1" t="s">
        <v>5113</v>
      </c>
      <c r="C1442" s="1" t="s">
        <v>5114</v>
      </c>
      <c r="D1442" s="1" t="s">
        <v>5115</v>
      </c>
      <c r="E1442" s="5">
        <v>37572.0</v>
      </c>
      <c r="F1442" s="1" t="s">
        <v>182</v>
      </c>
      <c r="G1442" s="1" t="s">
        <v>82</v>
      </c>
      <c r="H1442" s="1" t="s">
        <v>18</v>
      </c>
      <c r="I1442" s="3">
        <f>+2250768705412</f>
        <v>2250768705412</v>
      </c>
      <c r="J1442" s="3">
        <f>+2250504500692</f>
        <v>2250504500692</v>
      </c>
      <c r="K1442" s="1" t="s">
        <v>19</v>
      </c>
      <c r="L1442" s="4" t="s">
        <v>5116</v>
      </c>
    </row>
    <row r="1443">
      <c r="A1443" s="1" t="s">
        <v>12</v>
      </c>
      <c r="B1443" s="1" t="s">
        <v>5117</v>
      </c>
      <c r="C1443" s="1" t="s">
        <v>5118</v>
      </c>
      <c r="D1443" s="1" t="s">
        <v>5119</v>
      </c>
      <c r="E1443" s="2">
        <v>37527.0</v>
      </c>
      <c r="F1443" s="1" t="s">
        <v>16</v>
      </c>
      <c r="G1443" s="1" t="s">
        <v>17</v>
      </c>
      <c r="H1443" s="1" t="s">
        <v>18</v>
      </c>
      <c r="I1443" s="3">
        <f t="shared" ref="I1443:J1443" si="41">+2250799257466</f>
        <v>2250799257466</v>
      </c>
      <c r="J1443" s="3">
        <f t="shared" si="41"/>
        <v>2250799257466</v>
      </c>
      <c r="K1443" s="1" t="s">
        <v>19</v>
      </c>
      <c r="L1443" s="4" t="s">
        <v>5120</v>
      </c>
    </row>
    <row r="1444">
      <c r="A1444" s="1" t="s">
        <v>12</v>
      </c>
      <c r="B1444" s="1" t="s">
        <v>5121</v>
      </c>
      <c r="C1444" s="1" t="s">
        <v>5118</v>
      </c>
      <c r="D1444" s="1" t="s">
        <v>5122</v>
      </c>
      <c r="E1444" s="2">
        <v>37098.0</v>
      </c>
      <c r="F1444" s="1" t="s">
        <v>155</v>
      </c>
      <c r="G1444" s="1" t="s">
        <v>82</v>
      </c>
      <c r="H1444" s="1" t="s">
        <v>18</v>
      </c>
      <c r="I1444" s="3">
        <f>+2250503896654</f>
        <v>2250503896654</v>
      </c>
      <c r="J1444" s="3">
        <f>+2250555827899</f>
        <v>2250555827899</v>
      </c>
      <c r="K1444" s="1" t="s">
        <v>19</v>
      </c>
      <c r="L1444" s="4" t="s">
        <v>5123</v>
      </c>
    </row>
    <row r="1445">
      <c r="A1445" s="1" t="s">
        <v>12</v>
      </c>
      <c r="B1445" s="1" t="s">
        <v>5124</v>
      </c>
      <c r="C1445" s="1" t="s">
        <v>5125</v>
      </c>
      <c r="D1445" s="1" t="s">
        <v>5126</v>
      </c>
      <c r="E1445" s="5">
        <v>36815.0</v>
      </c>
      <c r="F1445" s="1" t="s">
        <v>62</v>
      </c>
      <c r="G1445" s="1" t="s">
        <v>17</v>
      </c>
      <c r="H1445" s="1" t="s">
        <v>18</v>
      </c>
      <c r="I1445" s="3">
        <f>+2250788480633</f>
        <v>2250788480633</v>
      </c>
      <c r="J1445" s="3">
        <f>+2250506777860</f>
        <v>2250506777860</v>
      </c>
      <c r="K1445" s="1" t="s">
        <v>19</v>
      </c>
      <c r="L1445" s="4" t="s">
        <v>5127</v>
      </c>
    </row>
    <row r="1446">
      <c r="A1446" s="1" t="s">
        <v>12</v>
      </c>
      <c r="B1446" s="1" t="s">
        <v>5128</v>
      </c>
      <c r="C1446" s="1" t="s">
        <v>5129</v>
      </c>
      <c r="D1446" s="1" t="s">
        <v>5130</v>
      </c>
      <c r="E1446" s="2">
        <v>38822.0</v>
      </c>
      <c r="F1446" s="1" t="s">
        <v>16</v>
      </c>
      <c r="G1446" s="1" t="s">
        <v>25</v>
      </c>
      <c r="H1446" s="1" t="s">
        <v>18</v>
      </c>
      <c r="I1446" s="3">
        <f>+2250102557179</f>
        <v>2250102557179</v>
      </c>
      <c r="J1446" s="3">
        <f>+2250101433941</f>
        <v>2250101433941</v>
      </c>
      <c r="K1446" s="1" t="s">
        <v>19</v>
      </c>
      <c r="L1446" s="4" t="s">
        <v>5131</v>
      </c>
    </row>
    <row r="1447">
      <c r="A1447" s="1" t="s">
        <v>12</v>
      </c>
      <c r="B1447" s="1" t="s">
        <v>5132</v>
      </c>
      <c r="C1447" s="1" t="s">
        <v>5133</v>
      </c>
      <c r="D1447" s="1" t="s">
        <v>5134</v>
      </c>
      <c r="E1447" s="2">
        <v>37824.0</v>
      </c>
      <c r="F1447" s="1" t="s">
        <v>155</v>
      </c>
      <c r="G1447" s="1" t="s">
        <v>31</v>
      </c>
      <c r="H1447" s="1" t="s">
        <v>32</v>
      </c>
      <c r="I1447" s="3">
        <f>+2250748485849</f>
        <v>2250748485849</v>
      </c>
      <c r="J1447" s="3">
        <f>+2250594297555</f>
        <v>2250594297555</v>
      </c>
      <c r="K1447" s="1" t="s">
        <v>19</v>
      </c>
      <c r="L1447" s="4" t="s">
        <v>5135</v>
      </c>
    </row>
    <row r="1448">
      <c r="A1448" s="1" t="s">
        <v>12</v>
      </c>
      <c r="B1448" s="1" t="s">
        <v>5136</v>
      </c>
      <c r="C1448" s="1" t="s">
        <v>5137</v>
      </c>
      <c r="D1448" s="1" t="s">
        <v>5138</v>
      </c>
      <c r="E1448" s="2">
        <v>37694.0</v>
      </c>
      <c r="F1448" s="1" t="s">
        <v>16</v>
      </c>
      <c r="G1448" s="1" t="s">
        <v>17</v>
      </c>
      <c r="H1448" s="1" t="s">
        <v>18</v>
      </c>
      <c r="I1448" s="3">
        <f>+2250584313473</f>
        <v>2250584313473</v>
      </c>
      <c r="J1448" s="3">
        <f>+2250103182501</f>
        <v>2250103182501</v>
      </c>
      <c r="K1448" s="1" t="s">
        <v>19</v>
      </c>
      <c r="L1448" s="4" t="s">
        <v>5139</v>
      </c>
    </row>
    <row r="1449">
      <c r="A1449" s="1" t="s">
        <v>12</v>
      </c>
      <c r="B1449" s="1" t="s">
        <v>5140</v>
      </c>
      <c r="C1449" s="1" t="s">
        <v>5141</v>
      </c>
      <c r="D1449" s="1" t="s">
        <v>5142</v>
      </c>
      <c r="E1449" s="2">
        <v>38612.0</v>
      </c>
      <c r="F1449" s="1" t="s">
        <v>155</v>
      </c>
      <c r="G1449" s="1" t="s">
        <v>31</v>
      </c>
      <c r="H1449" s="1" t="s">
        <v>32</v>
      </c>
      <c r="I1449" s="3">
        <f>+2250595138617</f>
        <v>2250595138617</v>
      </c>
      <c r="J1449" s="3">
        <f>+2250575117219</f>
        <v>2250575117219</v>
      </c>
      <c r="K1449" s="1" t="s">
        <v>19</v>
      </c>
      <c r="L1449" s="4" t="s">
        <v>5143</v>
      </c>
    </row>
    <row r="1450">
      <c r="A1450" s="1" t="s">
        <v>12</v>
      </c>
      <c r="B1450" s="1" t="s">
        <v>5144</v>
      </c>
      <c r="C1450" s="1" t="s">
        <v>5145</v>
      </c>
      <c r="D1450" s="1" t="s">
        <v>2669</v>
      </c>
      <c r="E1450" s="5">
        <v>37949.0</v>
      </c>
      <c r="F1450" s="1" t="s">
        <v>167</v>
      </c>
      <c r="G1450" s="1" t="s">
        <v>17</v>
      </c>
      <c r="H1450" s="1" t="s">
        <v>18</v>
      </c>
      <c r="I1450" s="3">
        <f>+2250504462077</f>
        <v>2250504462077</v>
      </c>
      <c r="J1450" s="3">
        <f>+2250505277241</f>
        <v>2250505277241</v>
      </c>
      <c r="K1450" s="1" t="s">
        <v>19</v>
      </c>
      <c r="L1450" s="4" t="s">
        <v>5146</v>
      </c>
    </row>
    <row r="1451">
      <c r="A1451" s="1" t="s">
        <v>12</v>
      </c>
      <c r="B1451" s="1" t="s">
        <v>5147</v>
      </c>
      <c r="C1451" s="1" t="s">
        <v>5148</v>
      </c>
      <c r="D1451" s="1" t="s">
        <v>5149</v>
      </c>
      <c r="E1451" s="2">
        <v>37522.0</v>
      </c>
      <c r="F1451" s="1" t="s">
        <v>16</v>
      </c>
      <c r="G1451" s="1" t="s">
        <v>25</v>
      </c>
      <c r="H1451" s="1" t="s">
        <v>18</v>
      </c>
      <c r="I1451" s="3">
        <f>+2250789646510</f>
        <v>2250789646510</v>
      </c>
      <c r="J1451" s="3">
        <f>+2250708901450</f>
        <v>2250708901450</v>
      </c>
      <c r="K1451" s="1" t="s">
        <v>19</v>
      </c>
      <c r="L1451" s="4" t="s">
        <v>5150</v>
      </c>
    </row>
    <row r="1452">
      <c r="A1452" s="1" t="s">
        <v>12</v>
      </c>
      <c r="B1452" s="1" t="s">
        <v>5151</v>
      </c>
      <c r="C1452" s="1" t="s">
        <v>5152</v>
      </c>
      <c r="D1452" s="1" t="s">
        <v>5153</v>
      </c>
      <c r="E1452" s="2">
        <v>37348.0</v>
      </c>
      <c r="F1452" s="1" t="s">
        <v>16</v>
      </c>
      <c r="G1452" s="1" t="s">
        <v>25</v>
      </c>
      <c r="H1452" s="1" t="s">
        <v>18</v>
      </c>
      <c r="I1452" s="3">
        <f>+2250799090631</f>
        <v>2250799090631</v>
      </c>
      <c r="J1452" s="3">
        <f>+2250709701734</f>
        <v>2250709701734</v>
      </c>
      <c r="K1452" s="1" t="s">
        <v>19</v>
      </c>
      <c r="L1452" s="4" t="s">
        <v>5154</v>
      </c>
    </row>
    <row r="1453">
      <c r="A1453" s="1" t="s">
        <v>12</v>
      </c>
      <c r="B1453" s="1" t="s">
        <v>5155</v>
      </c>
      <c r="C1453" s="1" t="s">
        <v>5156</v>
      </c>
      <c r="D1453" s="1" t="s">
        <v>5157</v>
      </c>
      <c r="E1453" s="2">
        <v>37757.0</v>
      </c>
      <c r="F1453" s="1" t="s">
        <v>16</v>
      </c>
      <c r="G1453" s="1" t="s">
        <v>25</v>
      </c>
      <c r="H1453" s="1" t="s">
        <v>18</v>
      </c>
      <c r="I1453" s="3">
        <f>+2250747600754</f>
        <v>2250747600754</v>
      </c>
      <c r="J1453" s="3">
        <f>+2250141106441</f>
        <v>2250141106441</v>
      </c>
      <c r="K1453" s="1" t="s">
        <v>19</v>
      </c>
      <c r="L1453" s="4" t="s">
        <v>5158</v>
      </c>
    </row>
    <row r="1454">
      <c r="A1454" s="1" t="s">
        <v>12</v>
      </c>
      <c r="B1454" s="1" t="s">
        <v>5159</v>
      </c>
      <c r="C1454" s="1" t="s">
        <v>5160</v>
      </c>
      <c r="D1454" s="1" t="s">
        <v>5161</v>
      </c>
      <c r="E1454" s="2">
        <v>36789.0</v>
      </c>
      <c r="F1454" s="1" t="s">
        <v>48</v>
      </c>
      <c r="G1454" s="1" t="s">
        <v>31</v>
      </c>
      <c r="H1454" s="1" t="s">
        <v>32</v>
      </c>
      <c r="I1454" s="3">
        <f>+2250767641491</f>
        <v>2250767641491</v>
      </c>
      <c r="J1454" s="3">
        <f>+2250708151690</f>
        <v>2250708151690</v>
      </c>
      <c r="K1454" s="1" t="s">
        <v>19</v>
      </c>
      <c r="L1454" s="4" t="s">
        <v>5162</v>
      </c>
    </row>
    <row r="1455">
      <c r="A1455" s="1" t="s">
        <v>12</v>
      </c>
      <c r="B1455" s="1" t="s">
        <v>5163</v>
      </c>
      <c r="C1455" s="1" t="s">
        <v>5164</v>
      </c>
      <c r="D1455" s="1" t="s">
        <v>5165</v>
      </c>
      <c r="E1455" s="2">
        <v>37408.0</v>
      </c>
      <c r="F1455" s="1" t="s">
        <v>351</v>
      </c>
      <c r="G1455" s="1" t="s">
        <v>82</v>
      </c>
      <c r="H1455" s="1" t="s">
        <v>18</v>
      </c>
      <c r="I1455" s="3">
        <f>+2250798382326</f>
        <v>2250798382326</v>
      </c>
      <c r="J1455" s="3">
        <f>+2250709227443</f>
        <v>2250709227443</v>
      </c>
      <c r="K1455" s="1" t="s">
        <v>19</v>
      </c>
      <c r="L1455" s="4" t="s">
        <v>5166</v>
      </c>
    </row>
    <row r="1456">
      <c r="A1456" s="1" t="s">
        <v>12</v>
      </c>
      <c r="B1456" s="1" t="s">
        <v>5167</v>
      </c>
      <c r="C1456" s="1" t="s">
        <v>5168</v>
      </c>
      <c r="D1456" s="1" t="s">
        <v>5169</v>
      </c>
      <c r="E1456" s="5">
        <v>38349.0</v>
      </c>
      <c r="F1456" s="1" t="s">
        <v>53</v>
      </c>
      <c r="G1456" s="1" t="s">
        <v>25</v>
      </c>
      <c r="H1456" s="1" t="s">
        <v>18</v>
      </c>
      <c r="I1456" s="3">
        <f>+2250777088522</f>
        <v>2250777088522</v>
      </c>
      <c r="J1456" s="3">
        <f>+2250505318055</f>
        <v>2250505318055</v>
      </c>
      <c r="K1456" s="1" t="s">
        <v>19</v>
      </c>
      <c r="L1456" s="4" t="s">
        <v>5170</v>
      </c>
    </row>
    <row r="1457">
      <c r="A1457" s="1" t="s">
        <v>12</v>
      </c>
      <c r="B1457" s="1" t="s">
        <v>5171</v>
      </c>
      <c r="C1457" s="1" t="s">
        <v>5172</v>
      </c>
      <c r="D1457" s="1" t="s">
        <v>5173</v>
      </c>
      <c r="E1457" s="2">
        <v>38829.0</v>
      </c>
      <c r="F1457" s="1" t="s">
        <v>62</v>
      </c>
      <c r="G1457" s="1" t="s">
        <v>17</v>
      </c>
      <c r="H1457" s="1" t="s">
        <v>18</v>
      </c>
      <c r="I1457" s="3">
        <f>+2250564571522</f>
        <v>2250564571522</v>
      </c>
      <c r="J1457" s="3">
        <f>+2250787497715</f>
        <v>2250787497715</v>
      </c>
      <c r="K1457" s="1" t="s">
        <v>19</v>
      </c>
      <c r="L1457" s="4" t="s">
        <v>5174</v>
      </c>
    </row>
    <row r="1458">
      <c r="A1458" s="1" t="s">
        <v>12</v>
      </c>
      <c r="B1458" s="1" t="s">
        <v>5175</v>
      </c>
      <c r="C1458" s="1" t="s">
        <v>5172</v>
      </c>
      <c r="D1458" s="1" t="s">
        <v>5176</v>
      </c>
      <c r="E1458" s="5">
        <v>37605.0</v>
      </c>
      <c r="F1458" s="1" t="s">
        <v>16</v>
      </c>
      <c r="G1458" s="1" t="s">
        <v>82</v>
      </c>
      <c r="H1458" s="1" t="s">
        <v>18</v>
      </c>
      <c r="I1458" s="3">
        <f>+2250769914694</f>
        <v>2250769914694</v>
      </c>
      <c r="J1458" s="3">
        <f>+2250748055825</f>
        <v>2250748055825</v>
      </c>
      <c r="K1458" s="1" t="s">
        <v>19</v>
      </c>
      <c r="L1458" s="4" t="s">
        <v>5177</v>
      </c>
    </row>
    <row r="1459">
      <c r="A1459" s="1" t="s">
        <v>12</v>
      </c>
      <c r="B1459" s="1" t="s">
        <v>5178</v>
      </c>
      <c r="C1459" s="1" t="s">
        <v>5172</v>
      </c>
      <c r="D1459" s="1" t="s">
        <v>5179</v>
      </c>
      <c r="E1459" s="2">
        <v>37359.0</v>
      </c>
      <c r="F1459" s="1" t="s">
        <v>92</v>
      </c>
      <c r="G1459" s="1" t="s">
        <v>82</v>
      </c>
      <c r="H1459" s="1" t="s">
        <v>18</v>
      </c>
      <c r="I1459" s="3">
        <f>+2250767513557</f>
        <v>2250767513557</v>
      </c>
      <c r="J1459" s="3">
        <f>+2250102040172</f>
        <v>2250102040172</v>
      </c>
      <c r="K1459" s="1" t="s">
        <v>19</v>
      </c>
      <c r="L1459" s="4" t="s">
        <v>5180</v>
      </c>
    </row>
    <row r="1460">
      <c r="A1460" s="1" t="s">
        <v>12</v>
      </c>
      <c r="B1460" s="1" t="s">
        <v>5181</v>
      </c>
      <c r="C1460" s="1" t="s">
        <v>5182</v>
      </c>
      <c r="D1460" s="1" t="s">
        <v>5183</v>
      </c>
      <c r="E1460" s="2">
        <v>39579.0</v>
      </c>
      <c r="F1460" s="1" t="s">
        <v>62</v>
      </c>
      <c r="G1460" s="1" t="s">
        <v>25</v>
      </c>
      <c r="H1460" s="1" t="s">
        <v>18</v>
      </c>
      <c r="I1460" s="3">
        <f>+2250799664312</f>
        <v>2250799664312</v>
      </c>
      <c r="J1460" s="3">
        <f>+2250759104863</f>
        <v>2250759104863</v>
      </c>
      <c r="K1460" s="1" t="s">
        <v>19</v>
      </c>
      <c r="L1460" s="4" t="s">
        <v>5184</v>
      </c>
    </row>
    <row r="1461">
      <c r="A1461" s="1" t="s">
        <v>12</v>
      </c>
      <c r="B1461" s="1" t="s">
        <v>5185</v>
      </c>
      <c r="C1461" s="1" t="s">
        <v>5186</v>
      </c>
      <c r="D1461" s="1" t="s">
        <v>5187</v>
      </c>
      <c r="E1461" s="2">
        <v>37641.0</v>
      </c>
      <c r="F1461" s="1" t="s">
        <v>16</v>
      </c>
      <c r="G1461" s="1" t="s">
        <v>25</v>
      </c>
      <c r="H1461" s="1" t="s">
        <v>18</v>
      </c>
      <c r="I1461" s="3">
        <f>+2250779913726</f>
        <v>2250779913726</v>
      </c>
      <c r="J1461" s="3">
        <f>+2250505659698</f>
        <v>2250505659698</v>
      </c>
      <c r="K1461" s="1" t="s">
        <v>19</v>
      </c>
      <c r="L1461" s="4" t="s">
        <v>5188</v>
      </c>
    </row>
    <row r="1462">
      <c r="A1462" s="1" t="s">
        <v>12</v>
      </c>
      <c r="B1462" s="1" t="s">
        <v>5189</v>
      </c>
      <c r="C1462" s="1" t="s">
        <v>5186</v>
      </c>
      <c r="D1462" s="1" t="s">
        <v>5190</v>
      </c>
      <c r="E1462" s="2">
        <v>37322.0</v>
      </c>
      <c r="F1462" s="1" t="s">
        <v>182</v>
      </c>
      <c r="G1462" s="1" t="s">
        <v>82</v>
      </c>
      <c r="H1462" s="1" t="s">
        <v>18</v>
      </c>
      <c r="I1462" s="3">
        <f>+2250797091331</f>
        <v>2250797091331</v>
      </c>
      <c r="J1462" s="3">
        <f>+2250505765445</f>
        <v>2250505765445</v>
      </c>
      <c r="K1462" s="1" t="s">
        <v>19</v>
      </c>
      <c r="L1462" s="4" t="s">
        <v>5191</v>
      </c>
    </row>
    <row r="1463">
      <c r="A1463" s="1" t="s">
        <v>12</v>
      </c>
      <c r="B1463" s="1" t="s">
        <v>5192</v>
      </c>
      <c r="C1463" s="1" t="s">
        <v>5186</v>
      </c>
      <c r="D1463" s="1" t="s">
        <v>1746</v>
      </c>
      <c r="E1463" s="5">
        <v>37191.0</v>
      </c>
      <c r="F1463" s="1" t="s">
        <v>182</v>
      </c>
      <c r="G1463" s="1" t="s">
        <v>82</v>
      </c>
      <c r="H1463" s="1" t="s">
        <v>18</v>
      </c>
      <c r="I1463" s="3">
        <f>+2250767316384</f>
        <v>2250767316384</v>
      </c>
      <c r="J1463" s="3">
        <f>+2250143981505</f>
        <v>2250143981505</v>
      </c>
      <c r="K1463" s="1" t="s">
        <v>19</v>
      </c>
      <c r="L1463" s="4" t="s">
        <v>5193</v>
      </c>
    </row>
    <row r="1464">
      <c r="A1464" s="1" t="s">
        <v>12</v>
      </c>
      <c r="B1464" s="1" t="s">
        <v>5194</v>
      </c>
      <c r="C1464" s="1" t="s">
        <v>5195</v>
      </c>
      <c r="D1464" s="1" t="s">
        <v>5196</v>
      </c>
      <c r="E1464" s="2">
        <v>39540.0</v>
      </c>
      <c r="F1464" s="1" t="s">
        <v>155</v>
      </c>
      <c r="G1464" s="1" t="s">
        <v>76</v>
      </c>
      <c r="H1464" s="1" t="s">
        <v>32</v>
      </c>
      <c r="I1464" s="3">
        <f>+2250506941757</f>
        <v>2250506941757</v>
      </c>
      <c r="J1464" s="3">
        <f>+2250707987473</f>
        <v>2250707987473</v>
      </c>
      <c r="K1464" s="1" t="s">
        <v>19</v>
      </c>
      <c r="L1464" s="4" t="s">
        <v>5197</v>
      </c>
    </row>
    <row r="1465">
      <c r="A1465" s="1" t="s">
        <v>12</v>
      </c>
      <c r="B1465" s="1" t="s">
        <v>5198</v>
      </c>
      <c r="C1465" s="1" t="s">
        <v>5199</v>
      </c>
      <c r="D1465" s="1" t="s">
        <v>5200</v>
      </c>
      <c r="E1465" s="2">
        <v>38491.0</v>
      </c>
      <c r="F1465" s="1" t="s">
        <v>30</v>
      </c>
      <c r="G1465" s="1" t="s">
        <v>76</v>
      </c>
      <c r="H1465" s="1" t="s">
        <v>32</v>
      </c>
      <c r="I1465" s="3">
        <f>+2250747813578</f>
        <v>2250747813578</v>
      </c>
      <c r="J1465" s="3">
        <f>+2250102021614</f>
        <v>2250102021614</v>
      </c>
      <c r="K1465" s="1" t="s">
        <v>19</v>
      </c>
      <c r="L1465" s="4" t="s">
        <v>5201</v>
      </c>
    </row>
    <row r="1466">
      <c r="A1466" s="1" t="s">
        <v>12</v>
      </c>
      <c r="B1466" s="1" t="s">
        <v>5202</v>
      </c>
      <c r="C1466" s="1" t="s">
        <v>5203</v>
      </c>
      <c r="D1466" s="1" t="s">
        <v>5204</v>
      </c>
      <c r="E1466" s="2">
        <v>37092.0</v>
      </c>
      <c r="F1466" s="1" t="s">
        <v>62</v>
      </c>
      <c r="G1466" s="1" t="s">
        <v>17</v>
      </c>
      <c r="H1466" s="1" t="s">
        <v>18</v>
      </c>
      <c r="I1466" s="3">
        <f>+2250710243313</f>
        <v>2250710243313</v>
      </c>
      <c r="J1466" s="3">
        <f>+2250747755047</f>
        <v>2250747755047</v>
      </c>
      <c r="K1466" s="1" t="s">
        <v>19</v>
      </c>
      <c r="L1466" s="4" t="s">
        <v>5205</v>
      </c>
    </row>
    <row r="1467">
      <c r="A1467" s="1" t="s">
        <v>12</v>
      </c>
      <c r="B1467" s="1" t="s">
        <v>5206</v>
      </c>
      <c r="C1467" s="1" t="s">
        <v>5207</v>
      </c>
      <c r="D1467" s="1" t="s">
        <v>5208</v>
      </c>
      <c r="E1467" s="2">
        <v>36366.0</v>
      </c>
      <c r="F1467" s="1" t="s">
        <v>92</v>
      </c>
      <c r="G1467" s="1" t="s">
        <v>76</v>
      </c>
      <c r="H1467" s="1" t="s">
        <v>32</v>
      </c>
      <c r="I1467" s="3">
        <f>+2250102790295</f>
        <v>2250102790295</v>
      </c>
      <c r="J1467" s="3">
        <f>+2250708157635</f>
        <v>2250708157635</v>
      </c>
      <c r="K1467" s="1" t="s">
        <v>19</v>
      </c>
      <c r="L1467" s="4" t="s">
        <v>5209</v>
      </c>
    </row>
    <row r="1468">
      <c r="A1468" s="1" t="s">
        <v>12</v>
      </c>
      <c r="B1468" s="1" t="s">
        <v>5210</v>
      </c>
      <c r="C1468" s="1" t="s">
        <v>5211</v>
      </c>
      <c r="D1468" s="1" t="s">
        <v>5212</v>
      </c>
      <c r="E1468" s="5">
        <v>38636.0</v>
      </c>
      <c r="F1468" s="1" t="s">
        <v>62</v>
      </c>
      <c r="G1468" s="1" t="s">
        <v>25</v>
      </c>
      <c r="H1468" s="1" t="s">
        <v>18</v>
      </c>
      <c r="I1468" s="3">
        <f>+2250151189330</f>
        <v>2250151189330</v>
      </c>
      <c r="J1468" s="3">
        <f>+2250748402032</f>
        <v>2250748402032</v>
      </c>
      <c r="K1468" s="1" t="s">
        <v>19</v>
      </c>
      <c r="L1468" s="4" t="s">
        <v>5213</v>
      </c>
    </row>
    <row r="1469">
      <c r="A1469" s="1" t="s">
        <v>12</v>
      </c>
      <c r="B1469" s="1" t="s">
        <v>5214</v>
      </c>
      <c r="C1469" s="1" t="s">
        <v>5211</v>
      </c>
      <c r="D1469" s="1" t="s">
        <v>5215</v>
      </c>
      <c r="E1469" s="2">
        <v>37733.0</v>
      </c>
      <c r="F1469" s="1" t="s">
        <v>16</v>
      </c>
      <c r="G1469" s="1" t="s">
        <v>25</v>
      </c>
      <c r="H1469" s="1" t="s">
        <v>18</v>
      </c>
      <c r="I1469" s="3">
        <f>+2250576898364</f>
        <v>2250576898364</v>
      </c>
      <c r="J1469" s="3">
        <f>+2250707465909</f>
        <v>2250707465909</v>
      </c>
      <c r="K1469" s="1" t="s">
        <v>19</v>
      </c>
      <c r="L1469" s="4" t="s">
        <v>5216</v>
      </c>
    </row>
    <row r="1470">
      <c r="A1470" s="1" t="s">
        <v>12</v>
      </c>
      <c r="B1470" s="1" t="s">
        <v>5217</v>
      </c>
      <c r="C1470" s="1" t="s">
        <v>5211</v>
      </c>
      <c r="D1470" s="1" t="s">
        <v>5218</v>
      </c>
      <c r="E1470" s="2">
        <v>37776.0</v>
      </c>
      <c r="F1470" s="1" t="s">
        <v>138</v>
      </c>
      <c r="G1470" s="1" t="s">
        <v>31</v>
      </c>
      <c r="H1470" s="1" t="s">
        <v>32</v>
      </c>
      <c r="I1470" s="3">
        <f>+2250798711152</f>
        <v>2250798711152</v>
      </c>
      <c r="J1470" s="3">
        <f>+2250161140537</f>
        <v>2250161140537</v>
      </c>
      <c r="K1470" s="1" t="s">
        <v>19</v>
      </c>
      <c r="L1470" s="4" t="s">
        <v>5219</v>
      </c>
    </row>
    <row r="1471">
      <c r="A1471" s="1" t="s">
        <v>12</v>
      </c>
      <c r="B1471" s="1" t="s">
        <v>5220</v>
      </c>
      <c r="C1471" s="1" t="s">
        <v>5211</v>
      </c>
      <c r="D1471" s="1" t="s">
        <v>5221</v>
      </c>
      <c r="E1471" s="2">
        <v>36465.0</v>
      </c>
      <c r="F1471" s="1" t="s">
        <v>147</v>
      </c>
      <c r="G1471" s="1" t="s">
        <v>17</v>
      </c>
      <c r="H1471" s="1" t="s">
        <v>18</v>
      </c>
      <c r="I1471" s="3">
        <f>+2250575442262</f>
        <v>2250575442262</v>
      </c>
      <c r="J1471" s="3">
        <f>+2250546179593</f>
        <v>2250546179593</v>
      </c>
      <c r="K1471" s="1" t="s">
        <v>19</v>
      </c>
      <c r="L1471" s="4" t="s">
        <v>5222</v>
      </c>
    </row>
    <row r="1472">
      <c r="A1472" s="1" t="s">
        <v>12</v>
      </c>
      <c r="B1472" s="1" t="s">
        <v>5223</v>
      </c>
      <c r="C1472" s="1" t="s">
        <v>5211</v>
      </c>
      <c r="D1472" s="1" t="s">
        <v>5224</v>
      </c>
      <c r="E1472" s="2">
        <v>38357.0</v>
      </c>
      <c r="F1472" s="1" t="s">
        <v>62</v>
      </c>
      <c r="G1472" s="1" t="s">
        <v>17</v>
      </c>
      <c r="H1472" s="1" t="s">
        <v>18</v>
      </c>
      <c r="I1472" s="3">
        <f>+2250140766788</f>
        <v>2250140766788</v>
      </c>
      <c r="J1472" s="3">
        <f>+2250708376033</f>
        <v>2250708376033</v>
      </c>
      <c r="K1472" s="1" t="s">
        <v>19</v>
      </c>
      <c r="L1472" s="4" t="s">
        <v>5225</v>
      </c>
    </row>
    <row r="1473">
      <c r="A1473" s="1" t="s">
        <v>12</v>
      </c>
      <c r="B1473" s="1" t="s">
        <v>5226</v>
      </c>
      <c r="C1473" s="1" t="s">
        <v>5227</v>
      </c>
      <c r="D1473" s="1" t="s">
        <v>5228</v>
      </c>
      <c r="E1473" s="5">
        <v>37904.0</v>
      </c>
      <c r="F1473" s="1" t="s">
        <v>30</v>
      </c>
      <c r="G1473" s="1" t="s">
        <v>31</v>
      </c>
      <c r="H1473" s="1" t="s">
        <v>32</v>
      </c>
      <c r="I1473" s="3">
        <f>+2250788413192</f>
        <v>2250788413192</v>
      </c>
      <c r="J1473" s="3">
        <f>+2250709350323</f>
        <v>2250709350323</v>
      </c>
      <c r="K1473" s="1" t="s">
        <v>19</v>
      </c>
      <c r="L1473" s="4" t="s">
        <v>5229</v>
      </c>
    </row>
    <row r="1474">
      <c r="A1474" s="1" t="s">
        <v>12</v>
      </c>
      <c r="B1474" s="1" t="s">
        <v>5230</v>
      </c>
      <c r="C1474" s="1" t="s">
        <v>5231</v>
      </c>
      <c r="D1474" s="1" t="s">
        <v>5232</v>
      </c>
      <c r="E1474" s="2">
        <v>38322.0</v>
      </c>
      <c r="F1474" s="1" t="s">
        <v>101</v>
      </c>
      <c r="G1474" s="1" t="s">
        <v>31</v>
      </c>
      <c r="H1474" s="1" t="s">
        <v>32</v>
      </c>
      <c r="I1474" s="3">
        <f>+2250500012515</f>
        <v>2250500012515</v>
      </c>
      <c r="J1474" s="3">
        <f>+2250103370791</f>
        <v>2250103370791</v>
      </c>
      <c r="K1474" s="1" t="s">
        <v>19</v>
      </c>
      <c r="L1474" s="4" t="s">
        <v>5233</v>
      </c>
    </row>
    <row r="1475">
      <c r="A1475" s="1" t="s">
        <v>12</v>
      </c>
      <c r="B1475" s="1" t="s">
        <v>5234</v>
      </c>
      <c r="C1475" s="1" t="s">
        <v>5231</v>
      </c>
      <c r="D1475" s="1" t="s">
        <v>5235</v>
      </c>
      <c r="E1475" s="5">
        <v>37542.0</v>
      </c>
      <c r="F1475" s="1" t="s">
        <v>586</v>
      </c>
      <c r="G1475" s="1" t="s">
        <v>82</v>
      </c>
      <c r="H1475" s="1" t="s">
        <v>18</v>
      </c>
      <c r="I1475" s="3">
        <f>+2250702866474</f>
        <v>2250702866474</v>
      </c>
      <c r="J1475" s="3">
        <f>+2250102599095</f>
        <v>2250102599095</v>
      </c>
      <c r="K1475" s="1" t="s">
        <v>19</v>
      </c>
      <c r="L1475" s="4" t="s">
        <v>5236</v>
      </c>
    </row>
    <row r="1476">
      <c r="A1476" s="1" t="s">
        <v>12</v>
      </c>
      <c r="B1476" s="1" t="s">
        <v>5237</v>
      </c>
      <c r="C1476" s="1" t="s">
        <v>5231</v>
      </c>
      <c r="D1476" s="1" t="s">
        <v>5238</v>
      </c>
      <c r="E1476" s="2">
        <v>38106.0</v>
      </c>
      <c r="F1476" s="1" t="s">
        <v>16</v>
      </c>
      <c r="G1476" s="1" t="s">
        <v>17</v>
      </c>
      <c r="H1476" s="1" t="s">
        <v>18</v>
      </c>
      <c r="I1476" s="3">
        <f>+2250705161045</f>
        <v>2250705161045</v>
      </c>
      <c r="J1476" s="3">
        <f>+2250758350468</f>
        <v>2250758350468</v>
      </c>
      <c r="K1476" s="1" t="s">
        <v>19</v>
      </c>
      <c r="L1476" s="4" t="s">
        <v>5239</v>
      </c>
    </row>
    <row r="1477">
      <c r="A1477" s="1" t="s">
        <v>12</v>
      </c>
      <c r="B1477" s="1" t="s">
        <v>5240</v>
      </c>
      <c r="C1477" s="1" t="s">
        <v>5231</v>
      </c>
      <c r="D1477" s="1" t="s">
        <v>5241</v>
      </c>
      <c r="E1477" s="2">
        <v>38621.0</v>
      </c>
      <c r="F1477" s="1" t="s">
        <v>53</v>
      </c>
      <c r="G1477" s="1" t="s">
        <v>25</v>
      </c>
      <c r="H1477" s="1" t="s">
        <v>18</v>
      </c>
      <c r="I1477" s="3">
        <f>+2250141414356</f>
        <v>2250141414356</v>
      </c>
      <c r="J1477" s="3">
        <f>+225077031657</f>
        <v>225077031657</v>
      </c>
      <c r="K1477" s="1" t="s">
        <v>19</v>
      </c>
      <c r="L1477" s="4" t="s">
        <v>5242</v>
      </c>
    </row>
    <row r="1478">
      <c r="A1478" s="1" t="s">
        <v>12</v>
      </c>
      <c r="B1478" s="1" t="s">
        <v>5243</v>
      </c>
      <c r="C1478" s="1" t="s">
        <v>5231</v>
      </c>
      <c r="D1478" s="1" t="s">
        <v>5244</v>
      </c>
      <c r="E1478" s="2">
        <v>38202.0</v>
      </c>
      <c r="F1478" s="1" t="s">
        <v>87</v>
      </c>
      <c r="G1478" s="1" t="s">
        <v>76</v>
      </c>
      <c r="H1478" s="1" t="s">
        <v>32</v>
      </c>
      <c r="I1478" s="3">
        <f>+2250103659238</f>
        <v>2250103659238</v>
      </c>
      <c r="J1478" s="3">
        <f>+2250103488630</f>
        <v>2250103488630</v>
      </c>
      <c r="K1478" s="1" t="s">
        <v>19</v>
      </c>
      <c r="L1478" s="4" t="s">
        <v>5245</v>
      </c>
    </row>
    <row r="1479">
      <c r="A1479" s="1" t="s">
        <v>12</v>
      </c>
      <c r="B1479" s="1" t="s">
        <v>5246</v>
      </c>
      <c r="C1479" s="1" t="s">
        <v>5231</v>
      </c>
      <c r="D1479" s="1" t="s">
        <v>5247</v>
      </c>
      <c r="E1479" s="2">
        <v>38963.0</v>
      </c>
      <c r="F1479" s="1" t="s">
        <v>62</v>
      </c>
      <c r="G1479" s="1" t="s">
        <v>25</v>
      </c>
      <c r="H1479" s="1" t="s">
        <v>18</v>
      </c>
      <c r="I1479" s="3">
        <f>+2250709838645</f>
        <v>2250709838645</v>
      </c>
      <c r="J1479" s="3">
        <f>+2250709047106</f>
        <v>2250709047106</v>
      </c>
      <c r="K1479" s="1" t="s">
        <v>19</v>
      </c>
      <c r="L1479" s="4" t="s">
        <v>5248</v>
      </c>
    </row>
    <row r="1480">
      <c r="A1480" s="1" t="s">
        <v>12</v>
      </c>
      <c r="B1480" s="1" t="s">
        <v>5249</v>
      </c>
      <c r="C1480" s="1" t="s">
        <v>5250</v>
      </c>
      <c r="D1480" s="1" t="s">
        <v>5251</v>
      </c>
      <c r="E1480" s="2">
        <v>38204.0</v>
      </c>
      <c r="F1480" s="1" t="s">
        <v>53</v>
      </c>
      <c r="G1480" s="1" t="s">
        <v>25</v>
      </c>
      <c r="H1480" s="1" t="s">
        <v>18</v>
      </c>
      <c r="I1480" s="3">
        <f>+2250703587958</f>
        <v>2250703587958</v>
      </c>
      <c r="J1480" s="3">
        <f>+2250546228688</f>
        <v>2250546228688</v>
      </c>
      <c r="K1480" s="1" t="s">
        <v>19</v>
      </c>
      <c r="L1480" s="4" t="s">
        <v>5252</v>
      </c>
    </row>
    <row r="1481">
      <c r="A1481" s="1" t="s">
        <v>12</v>
      </c>
      <c r="B1481" s="1" t="s">
        <v>5253</v>
      </c>
      <c r="C1481" s="1" t="s">
        <v>5250</v>
      </c>
      <c r="D1481" s="1" t="s">
        <v>5254</v>
      </c>
      <c r="E1481" s="5">
        <v>38642.0</v>
      </c>
      <c r="F1481" s="1" t="s">
        <v>16</v>
      </c>
      <c r="G1481" s="1" t="s">
        <v>25</v>
      </c>
      <c r="H1481" s="1" t="s">
        <v>18</v>
      </c>
      <c r="I1481" s="3">
        <f t="shared" ref="I1481:J1481" si="42">+2250707269958</f>
        <v>2250707269958</v>
      </c>
      <c r="J1481" s="3">
        <f t="shared" si="42"/>
        <v>2250707269958</v>
      </c>
      <c r="K1481" s="1" t="s">
        <v>19</v>
      </c>
      <c r="L1481" s="4" t="s">
        <v>5255</v>
      </c>
    </row>
    <row r="1482">
      <c r="A1482" s="1" t="s">
        <v>12</v>
      </c>
      <c r="B1482" s="1" t="s">
        <v>5256</v>
      </c>
      <c r="C1482" s="1" t="s">
        <v>5250</v>
      </c>
      <c r="D1482" s="1" t="s">
        <v>5257</v>
      </c>
      <c r="E1482" s="5">
        <v>38270.0</v>
      </c>
      <c r="F1482" s="1" t="s">
        <v>138</v>
      </c>
      <c r="G1482" s="1" t="s">
        <v>31</v>
      </c>
      <c r="H1482" s="1" t="s">
        <v>32</v>
      </c>
      <c r="I1482" s="3">
        <f>+2250546999795</f>
        <v>2250546999795</v>
      </c>
      <c r="J1482" s="3">
        <f>+2250506937682</f>
        <v>2250506937682</v>
      </c>
      <c r="K1482" s="1" t="s">
        <v>19</v>
      </c>
      <c r="L1482" s="4" t="s">
        <v>5258</v>
      </c>
    </row>
    <row r="1483">
      <c r="A1483" s="1" t="s">
        <v>12</v>
      </c>
      <c r="B1483" s="1" t="s">
        <v>5259</v>
      </c>
      <c r="C1483" s="1" t="s">
        <v>5250</v>
      </c>
      <c r="D1483" s="1" t="s">
        <v>5260</v>
      </c>
      <c r="E1483" s="2">
        <v>37270.0</v>
      </c>
      <c r="F1483" s="1" t="s">
        <v>342</v>
      </c>
      <c r="G1483" s="1" t="s">
        <v>82</v>
      </c>
      <c r="H1483" s="1" t="s">
        <v>18</v>
      </c>
      <c r="I1483" s="3">
        <f>+2250153696677</f>
        <v>2250153696677</v>
      </c>
      <c r="J1483" s="3">
        <f t="shared" ref="J1483:J1484" si="43">+2250505582560</f>
        <v>2250505582560</v>
      </c>
      <c r="K1483" s="1" t="s">
        <v>19</v>
      </c>
      <c r="L1483" s="4" t="s">
        <v>5261</v>
      </c>
    </row>
    <row r="1484">
      <c r="A1484" s="1" t="s">
        <v>12</v>
      </c>
      <c r="B1484" s="1" t="s">
        <v>5262</v>
      </c>
      <c r="C1484" s="1" t="s">
        <v>5250</v>
      </c>
      <c r="D1484" s="1" t="s">
        <v>5263</v>
      </c>
      <c r="E1484" s="5">
        <v>38677.0</v>
      </c>
      <c r="F1484" s="1" t="s">
        <v>155</v>
      </c>
      <c r="G1484" s="1" t="s">
        <v>76</v>
      </c>
      <c r="H1484" s="1" t="s">
        <v>32</v>
      </c>
      <c r="I1484" s="3">
        <f>+2250594634784</f>
        <v>2250594634784</v>
      </c>
      <c r="J1484" s="3">
        <f t="shared" si="43"/>
        <v>2250505582560</v>
      </c>
      <c r="K1484" s="1" t="s">
        <v>19</v>
      </c>
      <c r="L1484" s="4" t="s">
        <v>5264</v>
      </c>
    </row>
    <row r="1485">
      <c r="A1485" s="1" t="s">
        <v>12</v>
      </c>
      <c r="B1485" s="1" t="s">
        <v>5265</v>
      </c>
      <c r="C1485" s="1" t="s">
        <v>5250</v>
      </c>
      <c r="D1485" s="1" t="s">
        <v>5266</v>
      </c>
      <c r="E1485" s="2">
        <v>37992.0</v>
      </c>
      <c r="F1485" s="1" t="s">
        <v>16</v>
      </c>
      <c r="G1485" s="1" t="s">
        <v>25</v>
      </c>
      <c r="H1485" s="1" t="s">
        <v>18</v>
      </c>
      <c r="I1485" s="3">
        <f>+2250140511331</f>
        <v>2250140511331</v>
      </c>
      <c r="J1485" s="3">
        <f>+2250506930965</f>
        <v>2250506930965</v>
      </c>
      <c r="K1485" s="1" t="s">
        <v>19</v>
      </c>
      <c r="L1485" s="4" t="s">
        <v>5267</v>
      </c>
    </row>
    <row r="1486">
      <c r="A1486" s="1" t="s">
        <v>12</v>
      </c>
      <c r="B1486" s="1" t="s">
        <v>5268</v>
      </c>
      <c r="C1486" s="1" t="s">
        <v>5269</v>
      </c>
      <c r="D1486" s="1" t="s">
        <v>5270</v>
      </c>
      <c r="E1486" s="2">
        <v>38750.0</v>
      </c>
      <c r="F1486" s="1" t="s">
        <v>155</v>
      </c>
      <c r="G1486" s="1" t="s">
        <v>76</v>
      </c>
      <c r="H1486" s="1" t="s">
        <v>32</v>
      </c>
      <c r="I1486" s="3">
        <f>+2250799660521</f>
        <v>2250799660521</v>
      </c>
      <c r="J1486" s="3">
        <f>+2250778626958</f>
        <v>2250778626958</v>
      </c>
      <c r="K1486" s="1" t="s">
        <v>19</v>
      </c>
      <c r="L1486" s="4" t="s">
        <v>5271</v>
      </c>
    </row>
    <row r="1487">
      <c r="A1487" s="1" t="s">
        <v>12</v>
      </c>
      <c r="B1487" s="1" t="s">
        <v>5272</v>
      </c>
      <c r="C1487" s="1" t="s">
        <v>5273</v>
      </c>
      <c r="D1487" s="1" t="s">
        <v>1671</v>
      </c>
      <c r="E1487" s="2">
        <v>37257.0</v>
      </c>
      <c r="F1487" s="1" t="s">
        <v>138</v>
      </c>
      <c r="G1487" s="1" t="s">
        <v>31</v>
      </c>
      <c r="H1487" s="1" t="s">
        <v>32</v>
      </c>
      <c r="I1487" s="3">
        <f>+2250555800360</f>
        <v>2250555800360</v>
      </c>
      <c r="J1487" s="3">
        <f>+2250170782361</f>
        <v>2250170782361</v>
      </c>
      <c r="K1487" s="1" t="s">
        <v>19</v>
      </c>
      <c r="L1487" s="4" t="s">
        <v>5274</v>
      </c>
    </row>
    <row r="1488">
      <c r="A1488" s="1" t="s">
        <v>12</v>
      </c>
      <c r="B1488" s="1" t="s">
        <v>5275</v>
      </c>
      <c r="C1488" s="1" t="s">
        <v>5273</v>
      </c>
      <c r="D1488" s="1" t="s">
        <v>5276</v>
      </c>
      <c r="E1488" s="2">
        <v>35431.0</v>
      </c>
      <c r="F1488" s="1" t="s">
        <v>101</v>
      </c>
      <c r="G1488" s="1" t="s">
        <v>31</v>
      </c>
      <c r="H1488" s="1" t="s">
        <v>32</v>
      </c>
      <c r="I1488" s="3">
        <f>+2250153907582</f>
        <v>2250153907582</v>
      </c>
      <c r="J1488" s="3">
        <f>+2250172782361</f>
        <v>2250172782361</v>
      </c>
      <c r="K1488" s="1" t="s">
        <v>19</v>
      </c>
      <c r="L1488" s="4" t="s">
        <v>5277</v>
      </c>
    </row>
    <row r="1489">
      <c r="A1489" s="1" t="s">
        <v>12</v>
      </c>
      <c r="B1489" s="1" t="s">
        <v>5278</v>
      </c>
      <c r="C1489" s="1" t="s">
        <v>5279</v>
      </c>
      <c r="D1489" s="1" t="s">
        <v>5280</v>
      </c>
      <c r="E1489" s="2">
        <v>38388.0</v>
      </c>
      <c r="F1489" s="1" t="s">
        <v>53</v>
      </c>
      <c r="G1489" s="1" t="s">
        <v>17</v>
      </c>
      <c r="H1489" s="1" t="s">
        <v>18</v>
      </c>
      <c r="I1489" s="3">
        <f>+2250101870387</f>
        <v>2250101870387</v>
      </c>
      <c r="J1489" s="3">
        <f>+2250101221322</f>
        <v>2250101221322</v>
      </c>
      <c r="K1489" s="1" t="s">
        <v>19</v>
      </c>
      <c r="L1489" s="4" t="s">
        <v>5281</v>
      </c>
    </row>
    <row r="1490">
      <c r="A1490" s="1" t="s">
        <v>12</v>
      </c>
      <c r="B1490" s="1" t="s">
        <v>5282</v>
      </c>
      <c r="C1490" s="1" t="s">
        <v>5283</v>
      </c>
      <c r="D1490" s="1" t="s">
        <v>5284</v>
      </c>
      <c r="E1490" s="2">
        <v>38994.0</v>
      </c>
      <c r="F1490" s="1" t="s">
        <v>62</v>
      </c>
      <c r="G1490" s="1" t="s">
        <v>25</v>
      </c>
      <c r="H1490" s="1" t="s">
        <v>18</v>
      </c>
      <c r="I1490" s="3">
        <f>+2250576706134</f>
        <v>2250576706134</v>
      </c>
      <c r="J1490" s="3">
        <f>+2250749450360</f>
        <v>2250749450360</v>
      </c>
      <c r="K1490" s="1" t="s">
        <v>19</v>
      </c>
      <c r="L1490" s="4" t="s">
        <v>5285</v>
      </c>
    </row>
    <row r="1491">
      <c r="A1491" s="1" t="s">
        <v>12</v>
      </c>
      <c r="B1491" s="1" t="s">
        <v>5286</v>
      </c>
      <c r="C1491" s="1" t="s">
        <v>5287</v>
      </c>
      <c r="D1491" s="1" t="s">
        <v>5288</v>
      </c>
      <c r="E1491" s="2">
        <v>37064.0</v>
      </c>
      <c r="F1491" s="1" t="s">
        <v>16</v>
      </c>
      <c r="G1491" s="1" t="s">
        <v>17</v>
      </c>
      <c r="H1491" s="1" t="s">
        <v>18</v>
      </c>
      <c r="I1491" s="3">
        <f>+2250749450360</f>
        <v>2250749450360</v>
      </c>
      <c r="J1491" s="3">
        <f>+2250747473268</f>
        <v>2250747473268</v>
      </c>
      <c r="K1491" s="1" t="s">
        <v>19</v>
      </c>
      <c r="L1491" s="4" t="s">
        <v>5289</v>
      </c>
    </row>
    <row r="1492">
      <c r="A1492" s="1" t="s">
        <v>12</v>
      </c>
      <c r="B1492" s="1" t="s">
        <v>5290</v>
      </c>
      <c r="C1492" s="1" t="s">
        <v>5291</v>
      </c>
      <c r="D1492" s="1" t="s">
        <v>5292</v>
      </c>
      <c r="E1492" s="2">
        <v>38029.0</v>
      </c>
      <c r="F1492" s="1" t="s">
        <v>101</v>
      </c>
      <c r="G1492" s="1" t="s">
        <v>76</v>
      </c>
      <c r="H1492" s="1" t="s">
        <v>32</v>
      </c>
      <c r="I1492" s="3">
        <f>+2250779564161</f>
        <v>2250779564161</v>
      </c>
      <c r="J1492" s="3">
        <f>+2250140351494</f>
        <v>2250140351494</v>
      </c>
      <c r="K1492" s="1" t="s">
        <v>19</v>
      </c>
      <c r="L1492" s="4" t="s">
        <v>5293</v>
      </c>
    </row>
    <row r="1493">
      <c r="A1493" s="1" t="s">
        <v>12</v>
      </c>
      <c r="B1493" s="1" t="s">
        <v>5294</v>
      </c>
      <c r="C1493" s="1" t="s">
        <v>5295</v>
      </c>
      <c r="D1493" s="1" t="s">
        <v>5296</v>
      </c>
      <c r="E1493" s="5">
        <v>38646.0</v>
      </c>
      <c r="F1493" s="1" t="s">
        <v>62</v>
      </c>
      <c r="G1493" s="1" t="s">
        <v>17</v>
      </c>
      <c r="H1493" s="1" t="s">
        <v>18</v>
      </c>
      <c r="I1493" s="3">
        <f>+2250172970916</f>
        <v>2250172970916</v>
      </c>
      <c r="J1493" s="3">
        <f>+2250708115973</f>
        <v>2250708115973</v>
      </c>
      <c r="K1493" s="1" t="s">
        <v>19</v>
      </c>
      <c r="L1493" s="4" t="s">
        <v>5297</v>
      </c>
    </row>
    <row r="1494">
      <c r="A1494" s="1" t="s">
        <v>12</v>
      </c>
      <c r="B1494" s="1" t="s">
        <v>5298</v>
      </c>
      <c r="C1494" s="1" t="s">
        <v>5295</v>
      </c>
      <c r="D1494" s="1" t="s">
        <v>5299</v>
      </c>
      <c r="E1494" s="2">
        <v>38377.0</v>
      </c>
      <c r="F1494" s="1" t="s">
        <v>30</v>
      </c>
      <c r="G1494" s="1" t="s">
        <v>76</v>
      </c>
      <c r="H1494" s="1" t="s">
        <v>32</v>
      </c>
      <c r="I1494" s="3">
        <f>+2250564860686</f>
        <v>2250564860686</v>
      </c>
      <c r="J1494" s="3">
        <f>+2250778986315</f>
        <v>2250778986315</v>
      </c>
      <c r="K1494" s="1" t="s">
        <v>19</v>
      </c>
      <c r="L1494" s="4" t="s">
        <v>5300</v>
      </c>
    </row>
    <row r="1495">
      <c r="A1495" s="1" t="s">
        <v>12</v>
      </c>
      <c r="B1495" s="1" t="s">
        <v>5301</v>
      </c>
      <c r="C1495" s="1" t="s">
        <v>5295</v>
      </c>
      <c r="D1495" s="1" t="s">
        <v>5302</v>
      </c>
      <c r="E1495" s="2">
        <v>38223.0</v>
      </c>
      <c r="F1495" s="1" t="s">
        <v>110</v>
      </c>
      <c r="G1495" s="1" t="s">
        <v>82</v>
      </c>
      <c r="H1495" s="1" t="s">
        <v>18</v>
      </c>
      <c r="I1495" s="3">
        <f>+2250789863563</f>
        <v>2250789863563</v>
      </c>
      <c r="J1495" s="3">
        <f>+2250748731787</f>
        <v>2250748731787</v>
      </c>
      <c r="K1495" s="1" t="s">
        <v>19</v>
      </c>
      <c r="L1495" s="4" t="s">
        <v>5303</v>
      </c>
    </row>
    <row r="1496">
      <c r="A1496" s="1" t="s">
        <v>12</v>
      </c>
      <c r="B1496" s="1" t="s">
        <v>5304</v>
      </c>
      <c r="C1496" s="1" t="s">
        <v>5295</v>
      </c>
      <c r="D1496" s="1" t="s">
        <v>5305</v>
      </c>
      <c r="E1496" s="2">
        <v>37819.0</v>
      </c>
      <c r="F1496" s="1" t="s">
        <v>92</v>
      </c>
      <c r="G1496" s="1" t="s">
        <v>31</v>
      </c>
      <c r="H1496" s="1" t="s">
        <v>32</v>
      </c>
      <c r="I1496" s="3">
        <f>+2250709955754</f>
        <v>2250709955754</v>
      </c>
      <c r="J1496" s="3">
        <f>+2250769194072</f>
        <v>2250769194072</v>
      </c>
      <c r="K1496" s="1" t="s">
        <v>19</v>
      </c>
      <c r="L1496" s="4" t="s">
        <v>5306</v>
      </c>
    </row>
    <row r="1497">
      <c r="A1497" s="1" t="s">
        <v>12</v>
      </c>
      <c r="B1497" s="1" t="s">
        <v>5307</v>
      </c>
      <c r="C1497" s="1" t="s">
        <v>5308</v>
      </c>
      <c r="D1497" s="1" t="s">
        <v>5309</v>
      </c>
      <c r="E1497" s="5">
        <v>37174.0</v>
      </c>
      <c r="F1497" s="1" t="s">
        <v>110</v>
      </c>
      <c r="G1497" s="1" t="s">
        <v>82</v>
      </c>
      <c r="H1497" s="1" t="s">
        <v>18</v>
      </c>
      <c r="I1497" s="3">
        <f>+2250103423359</f>
        <v>2250103423359</v>
      </c>
      <c r="J1497" s="3">
        <f>+2250546448726</f>
        <v>2250546448726</v>
      </c>
      <c r="K1497" s="1" t="s">
        <v>19</v>
      </c>
      <c r="L1497" s="4" t="s">
        <v>5310</v>
      </c>
    </row>
    <row r="1498">
      <c r="A1498" s="1" t="s">
        <v>12</v>
      </c>
      <c r="B1498" s="1" t="s">
        <v>5311</v>
      </c>
      <c r="C1498" s="1" t="s">
        <v>5312</v>
      </c>
      <c r="D1498" s="1" t="s">
        <v>5313</v>
      </c>
      <c r="E1498" s="2">
        <v>36997.0</v>
      </c>
      <c r="F1498" s="1" t="s">
        <v>101</v>
      </c>
      <c r="G1498" s="1" t="s">
        <v>31</v>
      </c>
      <c r="H1498" s="1" t="s">
        <v>32</v>
      </c>
      <c r="I1498" s="3">
        <f>+2250748354873</f>
        <v>2250748354873</v>
      </c>
      <c r="J1498" s="3">
        <f>+2250707349428</f>
        <v>2250707349428</v>
      </c>
      <c r="K1498" s="1" t="s">
        <v>19</v>
      </c>
      <c r="L1498" s="4" t="s">
        <v>5314</v>
      </c>
    </row>
    <row r="1499">
      <c r="A1499" s="1" t="s">
        <v>12</v>
      </c>
      <c r="B1499" s="1" t="s">
        <v>5315</v>
      </c>
      <c r="C1499" s="1" t="s">
        <v>5312</v>
      </c>
      <c r="D1499" s="1" t="s">
        <v>5316</v>
      </c>
      <c r="E1499" s="2">
        <v>38322.0</v>
      </c>
      <c r="F1499" s="1" t="s">
        <v>16</v>
      </c>
      <c r="G1499" s="1" t="s">
        <v>25</v>
      </c>
      <c r="H1499" s="1" t="s">
        <v>18</v>
      </c>
      <c r="I1499" s="3">
        <f>+2250748806559</f>
        <v>2250748806559</v>
      </c>
      <c r="J1499" s="3">
        <f>+2250748043393</f>
        <v>2250748043393</v>
      </c>
      <c r="K1499" s="1" t="s">
        <v>19</v>
      </c>
      <c r="L1499" s="4" t="s">
        <v>5317</v>
      </c>
    </row>
    <row r="1500">
      <c r="A1500" s="1" t="s">
        <v>12</v>
      </c>
      <c r="B1500" s="1" t="s">
        <v>5318</v>
      </c>
      <c r="C1500" s="1" t="s">
        <v>5319</v>
      </c>
      <c r="D1500" s="1" t="s">
        <v>5320</v>
      </c>
      <c r="E1500" s="2">
        <v>37495.0</v>
      </c>
      <c r="F1500" s="1" t="s">
        <v>48</v>
      </c>
      <c r="G1500" s="1" t="s">
        <v>76</v>
      </c>
      <c r="H1500" s="1" t="s">
        <v>32</v>
      </c>
      <c r="I1500" s="3">
        <f>+2250702985902</f>
        <v>2250702985902</v>
      </c>
      <c r="J1500" s="3">
        <f>+2250707020816</f>
        <v>2250707020816</v>
      </c>
      <c r="K1500" s="1" t="s">
        <v>19</v>
      </c>
      <c r="L1500" s="4" t="s">
        <v>5321</v>
      </c>
    </row>
    <row r="1501">
      <c r="A1501" s="1" t="s">
        <v>12</v>
      </c>
      <c r="B1501" s="1" t="s">
        <v>5322</v>
      </c>
      <c r="C1501" s="1" t="s">
        <v>5323</v>
      </c>
      <c r="D1501" s="1" t="s">
        <v>5324</v>
      </c>
      <c r="E1501" s="2">
        <v>37101.0</v>
      </c>
      <c r="F1501" s="1" t="s">
        <v>62</v>
      </c>
      <c r="G1501" s="1" t="s">
        <v>17</v>
      </c>
      <c r="H1501" s="1" t="s">
        <v>18</v>
      </c>
      <c r="I1501" s="3">
        <f t="shared" ref="I1501:J1501" si="44">+2250701722440</f>
        <v>2250701722440</v>
      </c>
      <c r="J1501" s="3">
        <f t="shared" si="44"/>
        <v>2250701722440</v>
      </c>
      <c r="K1501" s="1" t="s">
        <v>19</v>
      </c>
      <c r="L1501" s="4" t="s">
        <v>5325</v>
      </c>
    </row>
    <row r="1502">
      <c r="A1502" s="1" t="s">
        <v>12</v>
      </c>
      <c r="B1502" s="1" t="s">
        <v>5326</v>
      </c>
      <c r="C1502" s="1" t="s">
        <v>5327</v>
      </c>
      <c r="D1502" s="1" t="s">
        <v>5328</v>
      </c>
      <c r="E1502" s="2">
        <v>37701.0</v>
      </c>
      <c r="F1502" s="1" t="s">
        <v>416</v>
      </c>
      <c r="G1502" s="1" t="s">
        <v>31</v>
      </c>
      <c r="H1502" s="1" t="s">
        <v>32</v>
      </c>
      <c r="I1502" s="3">
        <f>+2250172858213</f>
        <v>2250172858213</v>
      </c>
      <c r="J1502" s="3">
        <f>+2250778547048</f>
        <v>2250778547048</v>
      </c>
      <c r="K1502" s="1" t="s">
        <v>19</v>
      </c>
      <c r="L1502" s="4" t="s">
        <v>5329</v>
      </c>
    </row>
    <row r="1503">
      <c r="A1503" s="1" t="s">
        <v>12</v>
      </c>
      <c r="B1503" s="1" t="s">
        <v>5330</v>
      </c>
      <c r="C1503" s="1" t="s">
        <v>5327</v>
      </c>
      <c r="D1503" s="1" t="s">
        <v>5331</v>
      </c>
      <c r="E1503" s="5">
        <v>37979.0</v>
      </c>
      <c r="F1503" s="1" t="s">
        <v>62</v>
      </c>
      <c r="G1503" s="1" t="s">
        <v>17</v>
      </c>
      <c r="H1503" s="1" t="s">
        <v>18</v>
      </c>
      <c r="I1503" s="3">
        <f>+2250709227409</f>
        <v>2250709227409</v>
      </c>
      <c r="J1503" s="3">
        <f>+2250709074842</f>
        <v>2250709074842</v>
      </c>
      <c r="K1503" s="1" t="s">
        <v>19</v>
      </c>
      <c r="L1503" s="4" t="s">
        <v>5332</v>
      </c>
    </row>
    <row r="1504">
      <c r="A1504" s="1" t="s">
        <v>12</v>
      </c>
      <c r="B1504" s="1" t="s">
        <v>5333</v>
      </c>
      <c r="C1504" s="1" t="s">
        <v>5334</v>
      </c>
      <c r="D1504" s="1" t="s">
        <v>5335</v>
      </c>
      <c r="E1504" s="2">
        <v>37162.0</v>
      </c>
      <c r="F1504" s="1" t="s">
        <v>30</v>
      </c>
      <c r="G1504" s="1" t="s">
        <v>31</v>
      </c>
      <c r="H1504" s="1" t="s">
        <v>32</v>
      </c>
      <c r="I1504" s="3">
        <f>+2250574411437</f>
        <v>2250574411437</v>
      </c>
      <c r="J1504" s="3">
        <f>+2250758384515</f>
        <v>2250758384515</v>
      </c>
      <c r="K1504" s="1" t="s">
        <v>19</v>
      </c>
      <c r="L1504" s="4" t="s">
        <v>5336</v>
      </c>
    </row>
    <row r="1505">
      <c r="A1505" s="1" t="s">
        <v>12</v>
      </c>
      <c r="B1505" s="1" t="s">
        <v>5337</v>
      </c>
      <c r="C1505" s="1" t="s">
        <v>5338</v>
      </c>
      <c r="D1505" s="1" t="s">
        <v>5339</v>
      </c>
      <c r="E1505" s="5">
        <v>37571.0</v>
      </c>
      <c r="F1505" s="1" t="s">
        <v>101</v>
      </c>
      <c r="G1505" s="1" t="s">
        <v>31</v>
      </c>
      <c r="H1505" s="1" t="s">
        <v>32</v>
      </c>
      <c r="I1505" s="3">
        <f>+2250777766296</f>
        <v>2250777766296</v>
      </c>
      <c r="J1505" s="3">
        <f>+2250749783702</f>
        <v>2250749783702</v>
      </c>
      <c r="K1505" s="1" t="s">
        <v>19</v>
      </c>
      <c r="L1505" s="4" t="s">
        <v>5340</v>
      </c>
    </row>
    <row r="1506">
      <c r="A1506" s="1" t="s">
        <v>12</v>
      </c>
      <c r="B1506" s="1" t="s">
        <v>5341</v>
      </c>
      <c r="C1506" s="1" t="s">
        <v>5342</v>
      </c>
      <c r="D1506" s="1" t="s">
        <v>5343</v>
      </c>
      <c r="E1506" s="5">
        <v>37539.0</v>
      </c>
      <c r="F1506" s="1" t="s">
        <v>167</v>
      </c>
      <c r="G1506" s="1" t="s">
        <v>17</v>
      </c>
      <c r="H1506" s="1" t="s">
        <v>18</v>
      </c>
      <c r="I1506" s="3">
        <f>+2250778177802</f>
        <v>2250778177802</v>
      </c>
      <c r="J1506" s="3">
        <f>+2250505111400</f>
        <v>2250505111400</v>
      </c>
      <c r="K1506" s="1" t="s">
        <v>19</v>
      </c>
      <c r="L1506" s="4" t="s">
        <v>5344</v>
      </c>
    </row>
    <row r="1507">
      <c r="A1507" s="1" t="s">
        <v>12</v>
      </c>
      <c r="B1507" s="1" t="s">
        <v>5345</v>
      </c>
      <c r="C1507" s="1" t="s">
        <v>5346</v>
      </c>
      <c r="D1507" s="1" t="s">
        <v>2686</v>
      </c>
      <c r="E1507" s="2">
        <v>38489.0</v>
      </c>
      <c r="F1507" s="1" t="s">
        <v>155</v>
      </c>
      <c r="G1507" s="1" t="s">
        <v>76</v>
      </c>
      <c r="H1507" s="1" t="s">
        <v>32</v>
      </c>
      <c r="I1507" s="3">
        <f>+2250789764564</f>
        <v>2250789764564</v>
      </c>
      <c r="J1507" s="3">
        <f>+2250703980797</f>
        <v>2250703980797</v>
      </c>
      <c r="K1507" s="1" t="s">
        <v>19</v>
      </c>
      <c r="L1507" s="4" t="s">
        <v>5347</v>
      </c>
    </row>
    <row r="1508">
      <c r="A1508" s="1" t="s">
        <v>12</v>
      </c>
      <c r="B1508" s="1" t="s">
        <v>5348</v>
      </c>
      <c r="C1508" s="1" t="s">
        <v>5349</v>
      </c>
      <c r="D1508" s="1" t="s">
        <v>5350</v>
      </c>
      <c r="E1508" s="2">
        <v>37501.0</v>
      </c>
      <c r="F1508" s="1" t="s">
        <v>48</v>
      </c>
      <c r="G1508" s="1" t="s">
        <v>76</v>
      </c>
      <c r="H1508" s="1" t="s">
        <v>32</v>
      </c>
      <c r="I1508" s="3">
        <f>+2250173867328</f>
        <v>2250173867328</v>
      </c>
      <c r="J1508" s="3">
        <f>+2250708022613</f>
        <v>2250708022613</v>
      </c>
      <c r="K1508" s="1" t="s">
        <v>19</v>
      </c>
      <c r="L1508" s="4" t="s">
        <v>5351</v>
      </c>
    </row>
    <row r="1509">
      <c r="A1509" s="1" t="s">
        <v>12</v>
      </c>
      <c r="B1509" s="1" t="s">
        <v>5352</v>
      </c>
      <c r="C1509" s="1" t="s">
        <v>5353</v>
      </c>
      <c r="D1509" s="1" t="s">
        <v>5354</v>
      </c>
      <c r="E1509" s="2">
        <v>38472.0</v>
      </c>
      <c r="F1509" s="1" t="s">
        <v>62</v>
      </c>
      <c r="G1509" s="1" t="s">
        <v>25</v>
      </c>
      <c r="H1509" s="1" t="s">
        <v>18</v>
      </c>
      <c r="I1509" s="3">
        <f t="shared" ref="I1509:J1509" si="45">+2250506190166</f>
        <v>2250506190166</v>
      </c>
      <c r="J1509" s="3">
        <f t="shared" si="45"/>
        <v>2250506190166</v>
      </c>
      <c r="K1509" s="1" t="s">
        <v>19</v>
      </c>
      <c r="L1509" s="4" t="s">
        <v>5355</v>
      </c>
    </row>
    <row r="1510">
      <c r="A1510" s="1" t="s">
        <v>12</v>
      </c>
      <c r="B1510" s="1" t="s">
        <v>5356</v>
      </c>
      <c r="C1510" s="1" t="s">
        <v>5357</v>
      </c>
      <c r="D1510" s="1" t="s">
        <v>5358</v>
      </c>
      <c r="E1510" s="2">
        <v>37651.0</v>
      </c>
      <c r="F1510" s="1" t="s">
        <v>48</v>
      </c>
      <c r="G1510" s="1" t="s">
        <v>31</v>
      </c>
      <c r="H1510" s="1" t="s">
        <v>32</v>
      </c>
      <c r="I1510" s="3">
        <f>+2250564544562</f>
        <v>2250564544562</v>
      </c>
      <c r="J1510" s="3">
        <f>+2250566294349</f>
        <v>2250566294349</v>
      </c>
      <c r="K1510" s="1" t="s">
        <v>19</v>
      </c>
      <c r="L1510" s="4" t="s">
        <v>5359</v>
      </c>
    </row>
    <row r="1511">
      <c r="A1511" s="1" t="s">
        <v>12</v>
      </c>
      <c r="B1511" s="1" t="s">
        <v>5360</v>
      </c>
      <c r="C1511" s="1" t="s">
        <v>5361</v>
      </c>
      <c r="D1511" s="1" t="s">
        <v>5362</v>
      </c>
      <c r="E1511" s="2">
        <v>36949.0</v>
      </c>
      <c r="F1511" s="1" t="s">
        <v>24</v>
      </c>
      <c r="G1511" s="1" t="s">
        <v>82</v>
      </c>
      <c r="H1511" s="1" t="s">
        <v>18</v>
      </c>
      <c r="I1511" s="3">
        <f>+2250702774068</f>
        <v>2250702774068</v>
      </c>
      <c r="J1511" s="3">
        <f>+2250101186565</f>
        <v>2250101186565</v>
      </c>
      <c r="K1511" s="1" t="s">
        <v>19</v>
      </c>
      <c r="L1511" s="4" t="s">
        <v>5363</v>
      </c>
    </row>
    <row r="1512">
      <c r="A1512" s="1" t="s">
        <v>12</v>
      </c>
      <c r="B1512" s="1" t="s">
        <v>5364</v>
      </c>
      <c r="C1512" s="1" t="s">
        <v>5365</v>
      </c>
      <c r="D1512" s="1" t="s">
        <v>5366</v>
      </c>
      <c r="E1512" s="2">
        <v>38664.0</v>
      </c>
      <c r="F1512" s="1" t="s">
        <v>155</v>
      </c>
      <c r="G1512" s="1" t="s">
        <v>31</v>
      </c>
      <c r="H1512" s="1" t="s">
        <v>32</v>
      </c>
      <c r="I1512" s="3">
        <f>+2250152014608</f>
        <v>2250152014608</v>
      </c>
      <c r="J1512" s="3">
        <f>+2250101170599</f>
        <v>2250101170599</v>
      </c>
      <c r="K1512" s="1" t="s">
        <v>19</v>
      </c>
      <c r="L1512" s="4" t="s">
        <v>5367</v>
      </c>
    </row>
    <row r="1513">
      <c r="A1513" s="1" t="s">
        <v>12</v>
      </c>
      <c r="B1513" s="1" t="s">
        <v>5368</v>
      </c>
      <c r="C1513" s="1" t="s">
        <v>5369</v>
      </c>
      <c r="D1513" s="1" t="s">
        <v>5370</v>
      </c>
      <c r="E1513" s="2">
        <v>36526.0</v>
      </c>
      <c r="F1513" s="1" t="s">
        <v>62</v>
      </c>
      <c r="G1513" s="1" t="s">
        <v>25</v>
      </c>
      <c r="H1513" s="1" t="s">
        <v>18</v>
      </c>
      <c r="I1513" s="3">
        <f>+2250713889367</f>
        <v>2250713889367</v>
      </c>
      <c r="J1513" s="3">
        <f>+2250501909136</f>
        <v>2250501909136</v>
      </c>
      <c r="K1513" s="1" t="s">
        <v>19</v>
      </c>
      <c r="L1513" s="4" t="s">
        <v>5371</v>
      </c>
    </row>
    <row r="1514">
      <c r="A1514" s="1" t="s">
        <v>12</v>
      </c>
      <c r="B1514" s="1" t="s">
        <v>5372</v>
      </c>
      <c r="C1514" s="1" t="s">
        <v>5373</v>
      </c>
      <c r="D1514" s="1" t="s">
        <v>5374</v>
      </c>
      <c r="E1514" s="2">
        <v>38165.0</v>
      </c>
      <c r="F1514" s="1" t="s">
        <v>101</v>
      </c>
      <c r="G1514" s="1" t="s">
        <v>31</v>
      </c>
      <c r="H1514" s="1" t="s">
        <v>32</v>
      </c>
      <c r="I1514" s="3">
        <f>+2250711639555</f>
        <v>2250711639555</v>
      </c>
      <c r="J1514" s="3">
        <f>+2250505808500</f>
        <v>2250505808500</v>
      </c>
      <c r="K1514" s="1" t="s">
        <v>19</v>
      </c>
      <c r="L1514" s="4" t="s">
        <v>5375</v>
      </c>
    </row>
    <row r="1515">
      <c r="A1515" s="1" t="s">
        <v>12</v>
      </c>
      <c r="B1515" s="1" t="s">
        <v>5376</v>
      </c>
      <c r="C1515" s="1" t="s">
        <v>5377</v>
      </c>
      <c r="D1515" s="1" t="s">
        <v>5378</v>
      </c>
      <c r="E1515" s="2">
        <v>38138.0</v>
      </c>
      <c r="F1515" s="1" t="s">
        <v>48</v>
      </c>
      <c r="G1515" s="1" t="s">
        <v>31</v>
      </c>
      <c r="H1515" s="1" t="s">
        <v>32</v>
      </c>
      <c r="I1515" s="3">
        <f>+2250170377725</f>
        <v>2250170377725</v>
      </c>
      <c r="J1515" s="3">
        <f>+2250759621359</f>
        <v>2250759621359</v>
      </c>
      <c r="K1515" s="1" t="s">
        <v>19</v>
      </c>
      <c r="L1515" s="4" t="s">
        <v>5379</v>
      </c>
    </row>
    <row r="1516">
      <c r="A1516" s="1" t="s">
        <v>12</v>
      </c>
      <c r="B1516" s="1" t="s">
        <v>5380</v>
      </c>
      <c r="C1516" s="1" t="s">
        <v>5377</v>
      </c>
      <c r="D1516" s="1" t="s">
        <v>5381</v>
      </c>
      <c r="E1516" s="2">
        <v>37878.0</v>
      </c>
      <c r="F1516" s="1" t="s">
        <v>48</v>
      </c>
      <c r="G1516" s="1" t="s">
        <v>82</v>
      </c>
      <c r="H1516" s="1" t="s">
        <v>18</v>
      </c>
      <c r="I1516" s="3">
        <f>+2250142726290</f>
        <v>2250142726290</v>
      </c>
      <c r="J1516" s="3">
        <f>+2250707059842</f>
        <v>2250707059842</v>
      </c>
      <c r="K1516" s="1" t="s">
        <v>19</v>
      </c>
      <c r="L1516" s="4" t="s">
        <v>5382</v>
      </c>
    </row>
    <row r="1517">
      <c r="A1517" s="1" t="s">
        <v>12</v>
      </c>
      <c r="B1517" s="1" t="s">
        <v>5383</v>
      </c>
      <c r="C1517" s="1" t="s">
        <v>5384</v>
      </c>
      <c r="D1517" s="1" t="s">
        <v>5385</v>
      </c>
      <c r="E1517" s="5">
        <v>37607.0</v>
      </c>
      <c r="F1517" s="1" t="s">
        <v>62</v>
      </c>
      <c r="G1517" s="1" t="s">
        <v>17</v>
      </c>
      <c r="H1517" s="1" t="s">
        <v>18</v>
      </c>
      <c r="I1517" s="3">
        <f>+2250710015968</f>
        <v>2250710015968</v>
      </c>
      <c r="J1517" s="3">
        <f>+2250707043152</f>
        <v>2250707043152</v>
      </c>
      <c r="K1517" s="1" t="s">
        <v>19</v>
      </c>
      <c r="L1517" s="4" t="s">
        <v>5386</v>
      </c>
    </row>
    <row r="1518">
      <c r="A1518" s="1" t="s">
        <v>12</v>
      </c>
      <c r="B1518" s="1" t="s">
        <v>5387</v>
      </c>
      <c r="C1518" s="1" t="s">
        <v>5388</v>
      </c>
      <c r="D1518" s="1" t="s">
        <v>5389</v>
      </c>
      <c r="E1518" s="2">
        <v>38478.0</v>
      </c>
      <c r="F1518" s="1" t="s">
        <v>155</v>
      </c>
      <c r="G1518" s="1" t="s">
        <v>76</v>
      </c>
      <c r="H1518" s="1" t="s">
        <v>32</v>
      </c>
      <c r="I1518" s="3">
        <f>+2250767381049</f>
        <v>2250767381049</v>
      </c>
      <c r="J1518" s="3">
        <f>+2250758188264</f>
        <v>2250758188264</v>
      </c>
      <c r="K1518" s="1" t="s">
        <v>19</v>
      </c>
      <c r="L1518" s="4" t="s">
        <v>5390</v>
      </c>
    </row>
    <row r="1519">
      <c r="A1519" s="1" t="s">
        <v>12</v>
      </c>
      <c r="B1519" s="1" t="s">
        <v>5391</v>
      </c>
      <c r="C1519" s="1" t="s">
        <v>5392</v>
      </c>
      <c r="D1519" s="1" t="s">
        <v>5393</v>
      </c>
      <c r="E1519" s="2">
        <v>37692.0</v>
      </c>
      <c r="F1519" s="1" t="s">
        <v>16</v>
      </c>
      <c r="G1519" s="1" t="s">
        <v>82</v>
      </c>
      <c r="H1519" s="1" t="s">
        <v>18</v>
      </c>
      <c r="I1519" s="3">
        <f>+2250757325649</f>
        <v>2250757325649</v>
      </c>
      <c r="J1519" s="3">
        <f>+2250143792175</f>
        <v>2250143792175</v>
      </c>
      <c r="K1519" s="1" t="s">
        <v>19</v>
      </c>
      <c r="L1519" s="4" t="s">
        <v>5394</v>
      </c>
    </row>
    <row r="1520">
      <c r="A1520" s="1" t="s">
        <v>12</v>
      </c>
      <c r="B1520" s="1" t="s">
        <v>5395</v>
      </c>
      <c r="C1520" s="1" t="s">
        <v>5396</v>
      </c>
      <c r="D1520" s="1" t="s">
        <v>5397</v>
      </c>
      <c r="E1520" s="2">
        <v>37162.0</v>
      </c>
      <c r="F1520" s="1" t="s">
        <v>16</v>
      </c>
      <c r="G1520" s="1" t="s">
        <v>25</v>
      </c>
      <c r="H1520" s="1" t="s">
        <v>18</v>
      </c>
      <c r="I1520" s="3">
        <f>+2250103123688</f>
        <v>2250103123688</v>
      </c>
      <c r="J1520" s="3">
        <f>+2250103414419</f>
        <v>2250103414419</v>
      </c>
      <c r="K1520" s="1" t="s">
        <v>19</v>
      </c>
      <c r="L1520" s="4" t="s">
        <v>5398</v>
      </c>
    </row>
    <row r="1521">
      <c r="A1521" s="1" t="s">
        <v>12</v>
      </c>
      <c r="B1521" s="1" t="s">
        <v>5399</v>
      </c>
      <c r="C1521" s="1" t="s">
        <v>5400</v>
      </c>
      <c r="D1521" s="1" t="s">
        <v>5401</v>
      </c>
      <c r="E1521" s="5">
        <v>37912.0</v>
      </c>
      <c r="F1521" s="1" t="s">
        <v>16</v>
      </c>
      <c r="G1521" s="1" t="s">
        <v>82</v>
      </c>
      <c r="H1521" s="1" t="s">
        <v>18</v>
      </c>
      <c r="I1521" s="3">
        <f>+2250769331766</f>
        <v>2250769331766</v>
      </c>
      <c r="J1521" s="3">
        <f>+2250707994451</f>
        <v>2250707994451</v>
      </c>
      <c r="K1521" s="1" t="s">
        <v>19</v>
      </c>
      <c r="L1521" s="4" t="s">
        <v>5402</v>
      </c>
    </row>
    <row r="1522">
      <c r="A1522" s="1" t="s">
        <v>12</v>
      </c>
      <c r="B1522" s="1" t="s">
        <v>5403</v>
      </c>
      <c r="C1522" s="1" t="s">
        <v>5400</v>
      </c>
      <c r="D1522" s="1" t="s">
        <v>5404</v>
      </c>
      <c r="E1522" s="2">
        <v>38356.0</v>
      </c>
      <c r="F1522" s="1" t="s">
        <v>62</v>
      </c>
      <c r="G1522" s="1" t="s">
        <v>25</v>
      </c>
      <c r="H1522" s="1" t="s">
        <v>18</v>
      </c>
      <c r="I1522" s="3">
        <f>+2250565445490</f>
        <v>2250565445490</v>
      </c>
      <c r="J1522" s="3">
        <f>+2250505245416</f>
        <v>2250505245416</v>
      </c>
      <c r="K1522" s="1" t="s">
        <v>19</v>
      </c>
      <c r="L1522" s="4" t="s">
        <v>5405</v>
      </c>
    </row>
    <row r="1523">
      <c r="A1523" s="1" t="s">
        <v>12</v>
      </c>
      <c r="B1523" s="1" t="s">
        <v>5406</v>
      </c>
      <c r="C1523" s="1" t="s">
        <v>5400</v>
      </c>
      <c r="D1523" s="1" t="s">
        <v>5407</v>
      </c>
      <c r="E1523" s="2">
        <v>37834.0</v>
      </c>
      <c r="F1523" s="1" t="s">
        <v>16</v>
      </c>
      <c r="G1523" s="1" t="s">
        <v>25</v>
      </c>
      <c r="H1523" s="1" t="s">
        <v>18</v>
      </c>
      <c r="I1523" s="3">
        <f>+2250789142235</f>
        <v>2250789142235</v>
      </c>
      <c r="J1523" s="3">
        <f>+2250171905402</f>
        <v>2250171905402</v>
      </c>
      <c r="K1523" s="1" t="s">
        <v>19</v>
      </c>
      <c r="L1523" s="4" t="s">
        <v>5408</v>
      </c>
    </row>
    <row r="1524">
      <c r="A1524" s="1" t="s">
        <v>12</v>
      </c>
      <c r="B1524" s="1" t="s">
        <v>5409</v>
      </c>
      <c r="C1524" s="1" t="s">
        <v>5400</v>
      </c>
      <c r="D1524" s="1" t="s">
        <v>5410</v>
      </c>
      <c r="E1524" s="2">
        <v>38794.0</v>
      </c>
      <c r="F1524" s="1" t="s">
        <v>30</v>
      </c>
      <c r="G1524" s="1" t="s">
        <v>76</v>
      </c>
      <c r="H1524" s="1" t="s">
        <v>32</v>
      </c>
      <c r="I1524" s="3">
        <f>+2250143100056</f>
        <v>2250143100056</v>
      </c>
      <c r="J1524" s="3">
        <f>+2250787383194</f>
        <v>2250787383194</v>
      </c>
      <c r="K1524" s="1" t="s">
        <v>19</v>
      </c>
      <c r="L1524" s="4" t="s">
        <v>5411</v>
      </c>
    </row>
    <row r="1525">
      <c r="A1525" s="1" t="s">
        <v>12</v>
      </c>
      <c r="B1525" s="1" t="s">
        <v>5412</v>
      </c>
      <c r="C1525" s="1" t="s">
        <v>5400</v>
      </c>
      <c r="D1525" s="1" t="s">
        <v>5413</v>
      </c>
      <c r="E1525" s="2">
        <v>37987.0</v>
      </c>
      <c r="F1525" s="1" t="s">
        <v>62</v>
      </c>
      <c r="G1525" s="1" t="s">
        <v>17</v>
      </c>
      <c r="H1525" s="1" t="s">
        <v>18</v>
      </c>
      <c r="I1525" s="3">
        <f>+2250575614969</f>
        <v>2250575614969</v>
      </c>
      <c r="J1525" s="3">
        <f>+2250103954459</f>
        <v>2250103954459</v>
      </c>
      <c r="K1525" s="1" t="s">
        <v>19</v>
      </c>
      <c r="L1525" s="4" t="s">
        <v>5414</v>
      </c>
    </row>
    <row r="1526">
      <c r="A1526" s="1" t="s">
        <v>12</v>
      </c>
      <c r="B1526" s="1" t="s">
        <v>5415</v>
      </c>
      <c r="C1526" s="1" t="s">
        <v>5400</v>
      </c>
      <c r="D1526" s="1" t="s">
        <v>5416</v>
      </c>
      <c r="E1526" s="5">
        <v>38289.0</v>
      </c>
      <c r="F1526" s="1" t="s">
        <v>62</v>
      </c>
      <c r="G1526" s="1" t="s">
        <v>25</v>
      </c>
      <c r="H1526" s="1" t="s">
        <v>18</v>
      </c>
      <c r="I1526" s="3">
        <f>+2250747941619</f>
        <v>2250747941619</v>
      </c>
      <c r="J1526" s="3">
        <f>+2250505036944</f>
        <v>2250505036944</v>
      </c>
      <c r="K1526" s="1" t="s">
        <v>19</v>
      </c>
      <c r="L1526" s="4" t="s">
        <v>5417</v>
      </c>
    </row>
    <row r="1527">
      <c r="A1527" s="1" t="s">
        <v>12</v>
      </c>
      <c r="B1527" s="1" t="s">
        <v>5418</v>
      </c>
      <c r="C1527" s="1" t="s">
        <v>5400</v>
      </c>
      <c r="D1527" s="1" t="s">
        <v>5419</v>
      </c>
      <c r="E1527" s="2">
        <v>37302.0</v>
      </c>
      <c r="F1527" s="1" t="s">
        <v>62</v>
      </c>
      <c r="G1527" s="1" t="s">
        <v>17</v>
      </c>
      <c r="H1527" s="1" t="s">
        <v>18</v>
      </c>
      <c r="I1527" s="3">
        <f>+2250775006911</f>
        <v>2250775006911</v>
      </c>
      <c r="J1527" s="3">
        <f>+2250778142260</f>
        <v>2250778142260</v>
      </c>
      <c r="K1527" s="1" t="s">
        <v>19</v>
      </c>
      <c r="L1527" s="4" t="s">
        <v>5420</v>
      </c>
    </row>
    <row r="1528">
      <c r="A1528" s="1" t="s">
        <v>12</v>
      </c>
      <c r="B1528" s="1" t="s">
        <v>5421</v>
      </c>
      <c r="C1528" s="1" t="s">
        <v>5422</v>
      </c>
      <c r="D1528" s="1" t="s">
        <v>5423</v>
      </c>
      <c r="E1528" s="2">
        <v>38068.0</v>
      </c>
      <c r="F1528" s="1" t="s">
        <v>30</v>
      </c>
      <c r="G1528" s="1" t="s">
        <v>76</v>
      </c>
      <c r="H1528" s="1" t="s">
        <v>32</v>
      </c>
      <c r="I1528" s="3">
        <f>+2250778210133</f>
        <v>2250778210133</v>
      </c>
      <c r="J1528" s="3">
        <f>+2250758945314</f>
        <v>2250758945314</v>
      </c>
      <c r="K1528" s="1" t="s">
        <v>19</v>
      </c>
      <c r="L1528" s="4" t="s">
        <v>5424</v>
      </c>
    </row>
    <row r="1529">
      <c r="A1529" s="1" t="s">
        <v>12</v>
      </c>
      <c r="B1529" s="1" t="s">
        <v>5425</v>
      </c>
      <c r="C1529" s="1" t="s">
        <v>5422</v>
      </c>
      <c r="D1529" s="1" t="s">
        <v>5426</v>
      </c>
      <c r="E1529" s="5">
        <v>38283.0</v>
      </c>
      <c r="F1529" s="1" t="s">
        <v>16</v>
      </c>
      <c r="G1529" s="1" t="s">
        <v>25</v>
      </c>
      <c r="H1529" s="1" t="s">
        <v>18</v>
      </c>
      <c r="I1529" s="3">
        <f>+2250700434693</f>
        <v>2250700434693</v>
      </c>
      <c r="J1529" s="3">
        <f>+2250747515617</f>
        <v>2250747515617</v>
      </c>
      <c r="K1529" s="1" t="s">
        <v>19</v>
      </c>
      <c r="L1529" s="4" t="s">
        <v>5427</v>
      </c>
    </row>
    <row r="1530">
      <c r="A1530" s="1" t="s">
        <v>12</v>
      </c>
      <c r="B1530" s="1" t="s">
        <v>5428</v>
      </c>
      <c r="C1530" s="1" t="s">
        <v>5429</v>
      </c>
      <c r="D1530" s="1" t="s">
        <v>5430</v>
      </c>
      <c r="E1530" s="2">
        <v>37196.0</v>
      </c>
      <c r="F1530" s="1" t="s">
        <v>16</v>
      </c>
      <c r="G1530" s="1" t="s">
        <v>25</v>
      </c>
      <c r="H1530" s="1" t="s">
        <v>18</v>
      </c>
      <c r="I1530" s="3">
        <f>+2250544755324</f>
        <v>2250544755324</v>
      </c>
      <c r="J1530" s="3">
        <f>+2250556290235</f>
        <v>2250556290235</v>
      </c>
      <c r="K1530" s="1" t="s">
        <v>19</v>
      </c>
      <c r="L1530" s="4" t="s">
        <v>5431</v>
      </c>
    </row>
    <row r="1531">
      <c r="A1531" s="1" t="s">
        <v>12</v>
      </c>
      <c r="B1531" s="1" t="s">
        <v>5432</v>
      </c>
      <c r="C1531" s="1" t="s">
        <v>5433</v>
      </c>
      <c r="D1531" s="1" t="s">
        <v>5434</v>
      </c>
      <c r="E1531" s="2">
        <v>36680.0</v>
      </c>
      <c r="F1531" s="1" t="s">
        <v>53</v>
      </c>
      <c r="G1531" s="1" t="s">
        <v>25</v>
      </c>
      <c r="H1531" s="1" t="s">
        <v>18</v>
      </c>
      <c r="I1531" s="3">
        <f>+2250759443069</f>
        <v>2250759443069</v>
      </c>
      <c r="J1531" s="3">
        <f>+2250748484106</f>
        <v>2250748484106</v>
      </c>
      <c r="K1531" s="1" t="s">
        <v>19</v>
      </c>
      <c r="L1531" s="4" t="s">
        <v>5435</v>
      </c>
    </row>
    <row r="1532">
      <c r="A1532" s="1" t="s">
        <v>12</v>
      </c>
      <c r="B1532" s="1" t="s">
        <v>5436</v>
      </c>
      <c r="C1532" s="1" t="s">
        <v>5437</v>
      </c>
      <c r="D1532" s="1" t="s">
        <v>5438</v>
      </c>
      <c r="E1532" s="2">
        <v>37357.0</v>
      </c>
      <c r="F1532" s="1" t="s">
        <v>30</v>
      </c>
      <c r="G1532" s="1" t="s">
        <v>76</v>
      </c>
      <c r="H1532" s="1" t="s">
        <v>32</v>
      </c>
      <c r="I1532" s="3">
        <f>+2250586437883</f>
        <v>2250586437883</v>
      </c>
      <c r="J1532" s="3">
        <f>+2250504647581</f>
        <v>2250504647581</v>
      </c>
      <c r="K1532" s="1" t="s">
        <v>19</v>
      </c>
      <c r="L1532" s="4" t="s">
        <v>5439</v>
      </c>
    </row>
    <row r="1533">
      <c r="A1533" s="1" t="s">
        <v>12</v>
      </c>
      <c r="B1533" s="1" t="s">
        <v>5440</v>
      </c>
      <c r="C1533" s="1" t="s">
        <v>5441</v>
      </c>
      <c r="D1533" s="1" t="s">
        <v>5442</v>
      </c>
      <c r="E1533" s="2">
        <v>38072.0</v>
      </c>
      <c r="F1533" s="1" t="s">
        <v>155</v>
      </c>
      <c r="G1533" s="1" t="s">
        <v>76</v>
      </c>
      <c r="H1533" s="1" t="s">
        <v>32</v>
      </c>
      <c r="I1533" s="3">
        <f>+2250142500733</f>
        <v>2250142500733</v>
      </c>
      <c r="J1533" s="3">
        <f>+2250101188936</f>
        <v>2250101188936</v>
      </c>
      <c r="K1533" s="1" t="s">
        <v>19</v>
      </c>
      <c r="L1533" s="4" t="s">
        <v>5443</v>
      </c>
    </row>
    <row r="1534">
      <c r="A1534" s="1" t="s">
        <v>12</v>
      </c>
      <c r="B1534" s="1" t="s">
        <v>5444</v>
      </c>
      <c r="C1534" s="1" t="s">
        <v>5445</v>
      </c>
      <c r="D1534" s="1" t="s">
        <v>5446</v>
      </c>
      <c r="E1534" s="5">
        <v>37950.0</v>
      </c>
      <c r="F1534" s="1" t="s">
        <v>48</v>
      </c>
      <c r="G1534" s="1" t="s">
        <v>76</v>
      </c>
      <c r="H1534" s="1" t="s">
        <v>32</v>
      </c>
      <c r="I1534" s="3">
        <f>+2250170513042</f>
        <v>2250170513042</v>
      </c>
      <c r="J1534" s="3">
        <f>+2250504498050</f>
        <v>2250504498050</v>
      </c>
      <c r="K1534" s="1" t="s">
        <v>19</v>
      </c>
      <c r="L1534" s="4" t="s">
        <v>5447</v>
      </c>
    </row>
    <row r="1535">
      <c r="A1535" s="1" t="s">
        <v>12</v>
      </c>
      <c r="B1535" s="1" t="s">
        <v>5448</v>
      </c>
      <c r="C1535" s="1" t="s">
        <v>5449</v>
      </c>
      <c r="D1535" s="1" t="s">
        <v>5450</v>
      </c>
      <c r="E1535" s="2">
        <v>38353.0</v>
      </c>
      <c r="F1535" s="1" t="s">
        <v>92</v>
      </c>
      <c r="G1535" s="1" t="s">
        <v>76</v>
      </c>
      <c r="H1535" s="1" t="s">
        <v>32</v>
      </c>
      <c r="I1535" s="3">
        <f>+2250798240459</f>
        <v>2250798240459</v>
      </c>
      <c r="J1535" s="3">
        <f>+2250749983466</f>
        <v>2250749983466</v>
      </c>
      <c r="K1535" s="1" t="s">
        <v>19</v>
      </c>
      <c r="L1535" s="4" t="s">
        <v>5451</v>
      </c>
    </row>
    <row r="1536">
      <c r="A1536" s="1" t="s">
        <v>12</v>
      </c>
      <c r="B1536" s="1" t="s">
        <v>5452</v>
      </c>
      <c r="C1536" s="1" t="s">
        <v>5453</v>
      </c>
      <c r="D1536" s="1" t="s">
        <v>5454</v>
      </c>
      <c r="E1536" s="2">
        <v>36677.0</v>
      </c>
      <c r="F1536" s="1" t="s">
        <v>16</v>
      </c>
      <c r="G1536" s="1" t="s">
        <v>17</v>
      </c>
      <c r="H1536" s="1" t="s">
        <v>18</v>
      </c>
      <c r="I1536" s="3">
        <f>+2250758392183</f>
        <v>2250758392183</v>
      </c>
      <c r="J1536" s="3">
        <f>+2250707928670</f>
        <v>2250707928670</v>
      </c>
      <c r="K1536" s="1" t="s">
        <v>19</v>
      </c>
      <c r="L1536" s="4" t="s">
        <v>5455</v>
      </c>
    </row>
    <row r="1537">
      <c r="A1537" s="1" t="s">
        <v>12</v>
      </c>
      <c r="B1537" s="1" t="s">
        <v>5456</v>
      </c>
      <c r="C1537" s="1" t="s">
        <v>5457</v>
      </c>
      <c r="D1537" s="1" t="s">
        <v>5458</v>
      </c>
      <c r="E1537" s="5">
        <v>37609.0</v>
      </c>
      <c r="F1537" s="1" t="s">
        <v>16</v>
      </c>
      <c r="G1537" s="1" t="s">
        <v>82</v>
      </c>
      <c r="H1537" s="1" t="s">
        <v>18</v>
      </c>
      <c r="I1537" s="3">
        <f>+2250709802820</f>
        <v>2250709802820</v>
      </c>
      <c r="J1537" s="3">
        <f>+2250711459736</f>
        <v>2250711459736</v>
      </c>
      <c r="K1537" s="1" t="s">
        <v>19</v>
      </c>
      <c r="L1537" s="4" t="s">
        <v>5459</v>
      </c>
    </row>
    <row r="1538">
      <c r="A1538" s="1" t="s">
        <v>12</v>
      </c>
      <c r="B1538" s="1" t="s">
        <v>5460</v>
      </c>
      <c r="C1538" s="1" t="s">
        <v>5457</v>
      </c>
      <c r="D1538" s="1" t="s">
        <v>5461</v>
      </c>
      <c r="E1538" s="2">
        <v>37686.0</v>
      </c>
      <c r="F1538" s="1" t="s">
        <v>62</v>
      </c>
      <c r="G1538" s="1" t="s">
        <v>25</v>
      </c>
      <c r="H1538" s="1" t="s">
        <v>18</v>
      </c>
      <c r="I1538" s="3">
        <f>+2250173083140</f>
        <v>2250173083140</v>
      </c>
      <c r="J1538" s="3">
        <f>+2250707327290</f>
        <v>2250707327290</v>
      </c>
      <c r="K1538" s="1" t="s">
        <v>19</v>
      </c>
      <c r="L1538" s="4" t="s">
        <v>5462</v>
      </c>
    </row>
    <row r="1539">
      <c r="A1539" s="1" t="s">
        <v>12</v>
      </c>
      <c r="B1539" s="1" t="s">
        <v>5463</v>
      </c>
      <c r="C1539" s="1" t="s">
        <v>5464</v>
      </c>
      <c r="D1539" s="1" t="s">
        <v>5465</v>
      </c>
      <c r="E1539" s="2">
        <v>38298.0</v>
      </c>
      <c r="F1539" s="1" t="s">
        <v>138</v>
      </c>
      <c r="G1539" s="1" t="s">
        <v>76</v>
      </c>
      <c r="H1539" s="1" t="s">
        <v>32</v>
      </c>
      <c r="I1539" s="3">
        <f>+2250702381380</f>
        <v>2250702381380</v>
      </c>
      <c r="J1539" s="3">
        <f>+2250707587124</f>
        <v>2250707587124</v>
      </c>
      <c r="K1539" s="1" t="s">
        <v>19</v>
      </c>
      <c r="L1539" s="4" t="s">
        <v>5466</v>
      </c>
    </row>
    <row r="1540">
      <c r="A1540" s="1" t="s">
        <v>12</v>
      </c>
      <c r="B1540" s="1" t="s">
        <v>5467</v>
      </c>
      <c r="C1540" s="1" t="s">
        <v>5468</v>
      </c>
      <c r="D1540" s="1" t="s">
        <v>5469</v>
      </c>
      <c r="E1540" s="5">
        <v>36847.0</v>
      </c>
      <c r="F1540" s="1" t="s">
        <v>182</v>
      </c>
      <c r="G1540" s="1" t="s">
        <v>82</v>
      </c>
      <c r="H1540" s="1" t="s">
        <v>18</v>
      </c>
      <c r="I1540" s="3">
        <f>+2250778895135</f>
        <v>2250778895135</v>
      </c>
      <c r="J1540" s="3">
        <f>+2250501469017</f>
        <v>2250501469017</v>
      </c>
      <c r="K1540" s="1" t="s">
        <v>19</v>
      </c>
      <c r="L1540" s="4" t="s">
        <v>5470</v>
      </c>
    </row>
    <row r="1541">
      <c r="A1541" s="1" t="s">
        <v>12</v>
      </c>
      <c r="B1541" s="1" t="s">
        <v>5471</v>
      </c>
      <c r="C1541" s="1" t="s">
        <v>5472</v>
      </c>
      <c r="D1541" s="1" t="s">
        <v>5473</v>
      </c>
      <c r="E1541" s="2">
        <v>37929.0</v>
      </c>
      <c r="F1541" s="1" t="s">
        <v>416</v>
      </c>
      <c r="G1541" s="1" t="s">
        <v>31</v>
      </c>
      <c r="H1541" s="1" t="s">
        <v>32</v>
      </c>
      <c r="I1541" s="3">
        <f>+2250779328729</f>
        <v>2250779328729</v>
      </c>
      <c r="J1541" s="3">
        <f>+2250707868647</f>
        <v>2250707868647</v>
      </c>
      <c r="K1541" s="1" t="s">
        <v>19</v>
      </c>
      <c r="L1541" s="4" t="s">
        <v>5474</v>
      </c>
    </row>
    <row r="1542">
      <c r="A1542" s="1" t="s">
        <v>12</v>
      </c>
      <c r="B1542" s="1" t="s">
        <v>5475</v>
      </c>
      <c r="C1542" s="1" t="s">
        <v>5476</v>
      </c>
      <c r="D1542" s="1" t="s">
        <v>5477</v>
      </c>
      <c r="E1542" s="2">
        <v>38390.0</v>
      </c>
      <c r="F1542" s="1" t="s">
        <v>16</v>
      </c>
      <c r="G1542" s="1" t="s">
        <v>17</v>
      </c>
      <c r="H1542" s="1" t="s">
        <v>18</v>
      </c>
      <c r="I1542" s="3">
        <f>+2250799892205</f>
        <v>2250799892205</v>
      </c>
      <c r="J1542" s="3">
        <f>+2250103863164</f>
        <v>2250103863164</v>
      </c>
      <c r="K1542" s="1" t="s">
        <v>19</v>
      </c>
      <c r="L1542" s="4" t="s">
        <v>5478</v>
      </c>
    </row>
    <row r="1543">
      <c r="A1543" s="1" t="s">
        <v>12</v>
      </c>
      <c r="B1543" s="1" t="s">
        <v>5479</v>
      </c>
      <c r="C1543" s="1" t="s">
        <v>5480</v>
      </c>
      <c r="D1543" s="1" t="s">
        <v>5481</v>
      </c>
      <c r="E1543" s="2">
        <v>37638.0</v>
      </c>
      <c r="F1543" s="1" t="s">
        <v>48</v>
      </c>
      <c r="G1543" s="1" t="s">
        <v>76</v>
      </c>
      <c r="H1543" s="1" t="s">
        <v>32</v>
      </c>
      <c r="I1543" s="3">
        <f>+2250140355657</f>
        <v>2250140355657</v>
      </c>
      <c r="J1543" s="3">
        <f>+2250708271890</f>
        <v>2250708271890</v>
      </c>
      <c r="K1543" s="1" t="s">
        <v>19</v>
      </c>
      <c r="L1543" s="4" t="s">
        <v>5482</v>
      </c>
    </row>
    <row r="1544">
      <c r="A1544" s="1" t="s">
        <v>12</v>
      </c>
      <c r="B1544" s="1" t="s">
        <v>5483</v>
      </c>
      <c r="C1544" s="1" t="s">
        <v>5484</v>
      </c>
      <c r="D1544" s="1" t="s">
        <v>5485</v>
      </c>
      <c r="E1544" s="5">
        <v>36111.0</v>
      </c>
      <c r="F1544" s="1" t="s">
        <v>138</v>
      </c>
      <c r="G1544" s="1" t="s">
        <v>31</v>
      </c>
      <c r="H1544" s="1" t="s">
        <v>32</v>
      </c>
      <c r="I1544" s="3">
        <f>+2250594020653</f>
        <v>2250594020653</v>
      </c>
      <c r="J1544" s="3">
        <f>+2250709337474</f>
        <v>2250709337474</v>
      </c>
      <c r="K1544" s="1" t="s">
        <v>19</v>
      </c>
      <c r="L1544" s="4" t="s">
        <v>5486</v>
      </c>
    </row>
    <row r="1545">
      <c r="A1545" s="1" t="s">
        <v>12</v>
      </c>
      <c r="B1545" s="1" t="s">
        <v>5487</v>
      </c>
      <c r="C1545" s="1" t="s">
        <v>5488</v>
      </c>
      <c r="D1545" s="1" t="s">
        <v>5489</v>
      </c>
      <c r="E1545" s="5">
        <v>36814.0</v>
      </c>
      <c r="F1545" s="1" t="s">
        <v>155</v>
      </c>
      <c r="G1545" s="1" t="s">
        <v>82</v>
      </c>
      <c r="H1545" s="1" t="s">
        <v>18</v>
      </c>
      <c r="I1545" s="3">
        <f>+2250151545107</f>
        <v>2250151545107</v>
      </c>
      <c r="J1545" s="3">
        <f>+2250707624554</f>
        <v>2250707624554</v>
      </c>
      <c r="K1545" s="1" t="s">
        <v>19</v>
      </c>
      <c r="L1545" s="4" t="s">
        <v>5490</v>
      </c>
    </row>
    <row r="1546">
      <c r="A1546" s="1" t="s">
        <v>12</v>
      </c>
      <c r="B1546" s="1" t="s">
        <v>5491</v>
      </c>
      <c r="C1546" s="1" t="s">
        <v>5492</v>
      </c>
      <c r="D1546" s="1" t="s">
        <v>5493</v>
      </c>
      <c r="E1546" s="5">
        <v>38319.0</v>
      </c>
      <c r="F1546" s="1" t="s">
        <v>48</v>
      </c>
      <c r="G1546" s="1" t="s">
        <v>31</v>
      </c>
      <c r="H1546" s="1" t="s">
        <v>32</v>
      </c>
      <c r="I1546" s="3">
        <f>+2250545659308</f>
        <v>2250545659308</v>
      </c>
      <c r="J1546" s="3">
        <f>+2250153578909</f>
        <v>2250153578909</v>
      </c>
      <c r="K1546" s="1" t="s">
        <v>19</v>
      </c>
      <c r="L1546" s="4" t="s">
        <v>5494</v>
      </c>
    </row>
    <row r="1547">
      <c r="A1547" s="1" t="s">
        <v>12</v>
      </c>
      <c r="B1547" s="1" t="s">
        <v>5495</v>
      </c>
      <c r="C1547" s="1" t="s">
        <v>5496</v>
      </c>
      <c r="D1547" s="1" t="s">
        <v>5497</v>
      </c>
      <c r="E1547" s="2">
        <v>38110.0</v>
      </c>
      <c r="F1547" s="1" t="s">
        <v>48</v>
      </c>
      <c r="G1547" s="1" t="s">
        <v>76</v>
      </c>
      <c r="H1547" s="1" t="s">
        <v>32</v>
      </c>
      <c r="I1547" s="3">
        <f>+2250554305100</f>
        <v>2250554305100</v>
      </c>
      <c r="J1547" s="3">
        <f>+2250566201747</f>
        <v>2250566201747</v>
      </c>
      <c r="K1547" s="1" t="s">
        <v>19</v>
      </c>
      <c r="L1547" s="4" t="s">
        <v>5498</v>
      </c>
    </row>
    <row r="1548">
      <c r="A1548" s="1" t="s">
        <v>12</v>
      </c>
      <c r="B1548" s="1" t="s">
        <v>5499</v>
      </c>
      <c r="C1548" s="1" t="s">
        <v>5500</v>
      </c>
      <c r="D1548" s="1" t="s">
        <v>5501</v>
      </c>
      <c r="E1548" s="2">
        <v>37300.0</v>
      </c>
      <c r="F1548" s="1" t="s">
        <v>24</v>
      </c>
      <c r="G1548" s="1" t="s">
        <v>17</v>
      </c>
      <c r="H1548" s="1" t="s">
        <v>18</v>
      </c>
      <c r="I1548" s="3">
        <f>+2250152442111</f>
        <v>2250152442111</v>
      </c>
      <c r="J1548" s="3">
        <f>+2250758925293</f>
        <v>2250758925293</v>
      </c>
      <c r="K1548" s="1" t="s">
        <v>19</v>
      </c>
      <c r="L1548" s="4" t="s">
        <v>5502</v>
      </c>
    </row>
    <row r="1549">
      <c r="A1549" s="1" t="s">
        <v>12</v>
      </c>
      <c r="B1549" s="1" t="s">
        <v>5503</v>
      </c>
      <c r="C1549" s="1" t="s">
        <v>5504</v>
      </c>
      <c r="D1549" s="1" t="s">
        <v>1610</v>
      </c>
      <c r="E1549" s="2">
        <v>36892.0</v>
      </c>
      <c r="F1549" s="1" t="s">
        <v>30</v>
      </c>
      <c r="G1549" s="1" t="s">
        <v>31</v>
      </c>
      <c r="H1549" s="1" t="s">
        <v>32</v>
      </c>
      <c r="I1549" s="3">
        <f>+2250758871837</f>
        <v>2250758871837</v>
      </c>
      <c r="J1549" s="3">
        <f>+2250757533660</f>
        <v>2250757533660</v>
      </c>
      <c r="K1549" s="1" t="s">
        <v>19</v>
      </c>
      <c r="L1549" s="4" t="s">
        <v>5505</v>
      </c>
    </row>
    <row r="1550">
      <c r="A1550" s="1" t="s">
        <v>12</v>
      </c>
      <c r="B1550" s="1" t="s">
        <v>5506</v>
      </c>
      <c r="C1550" s="1" t="s">
        <v>5504</v>
      </c>
      <c r="D1550" s="1" t="s">
        <v>5507</v>
      </c>
      <c r="E1550" s="2">
        <v>37991.0</v>
      </c>
      <c r="F1550" s="1" t="s">
        <v>16</v>
      </c>
      <c r="G1550" s="1" t="s">
        <v>25</v>
      </c>
      <c r="H1550" s="1" t="s">
        <v>18</v>
      </c>
      <c r="I1550" s="3">
        <f>+2250575922679</f>
        <v>2250575922679</v>
      </c>
      <c r="J1550" s="3">
        <f>+2250505834013</f>
        <v>2250505834013</v>
      </c>
      <c r="K1550" s="1" t="s">
        <v>19</v>
      </c>
      <c r="L1550" s="4" t="s">
        <v>5508</v>
      </c>
    </row>
    <row r="1551">
      <c r="A1551" s="1" t="s">
        <v>12</v>
      </c>
      <c r="B1551" s="1" t="s">
        <v>5509</v>
      </c>
      <c r="C1551" s="1" t="s">
        <v>5510</v>
      </c>
      <c r="D1551" s="1" t="s">
        <v>2610</v>
      </c>
      <c r="E1551" s="2">
        <v>38089.0</v>
      </c>
      <c r="F1551" s="1" t="s">
        <v>62</v>
      </c>
      <c r="G1551" s="1" t="s">
        <v>17</v>
      </c>
      <c r="H1551" s="1" t="s">
        <v>18</v>
      </c>
      <c r="I1551" s="3">
        <f>+2250703660031</f>
        <v>2250703660031</v>
      </c>
      <c r="J1551" s="3">
        <f>+2250708969626</f>
        <v>2250708969626</v>
      </c>
      <c r="K1551" s="1" t="s">
        <v>19</v>
      </c>
      <c r="L1551" s="4" t="s">
        <v>5511</v>
      </c>
    </row>
    <row r="1552">
      <c r="A1552" s="1" t="s">
        <v>12</v>
      </c>
      <c r="B1552" s="1" t="s">
        <v>5512</v>
      </c>
      <c r="C1552" s="1" t="s">
        <v>5513</v>
      </c>
      <c r="D1552" s="1" t="s">
        <v>5514</v>
      </c>
      <c r="E1552" s="5">
        <v>38275.0</v>
      </c>
      <c r="F1552" s="1" t="s">
        <v>110</v>
      </c>
      <c r="G1552" s="1" t="s">
        <v>82</v>
      </c>
      <c r="H1552" s="1" t="s">
        <v>18</v>
      </c>
      <c r="I1552" s="3">
        <f>+2250706045780</f>
        <v>2250706045780</v>
      </c>
      <c r="J1552" s="3">
        <f>+2250505392911</f>
        <v>2250505392911</v>
      </c>
      <c r="K1552" s="1" t="s">
        <v>19</v>
      </c>
      <c r="L1552" s="4" t="s">
        <v>5515</v>
      </c>
    </row>
    <row r="1553">
      <c r="A1553" s="1" t="s">
        <v>12</v>
      </c>
      <c r="B1553" s="1" t="s">
        <v>5516</v>
      </c>
      <c r="C1553" s="1" t="s">
        <v>5517</v>
      </c>
      <c r="D1553" s="1" t="s">
        <v>5518</v>
      </c>
      <c r="E1553" s="5">
        <v>36850.0</v>
      </c>
      <c r="F1553" s="1" t="s">
        <v>62</v>
      </c>
      <c r="G1553" s="1" t="s">
        <v>25</v>
      </c>
      <c r="H1553" s="1" t="s">
        <v>18</v>
      </c>
      <c r="I1553" s="3">
        <f>+2250706640082</f>
        <v>2250706640082</v>
      </c>
      <c r="J1553" s="3">
        <f>+2250749021394</f>
        <v>2250749021394</v>
      </c>
      <c r="K1553" s="1" t="s">
        <v>19</v>
      </c>
      <c r="L1553" s="4" t="s">
        <v>5519</v>
      </c>
    </row>
    <row r="1554">
      <c r="A1554" s="1" t="s">
        <v>12</v>
      </c>
      <c r="B1554" s="1" t="s">
        <v>5520</v>
      </c>
      <c r="C1554" s="1" t="s">
        <v>5521</v>
      </c>
      <c r="D1554" s="1" t="s">
        <v>2806</v>
      </c>
      <c r="E1554" s="2">
        <v>37894.0</v>
      </c>
      <c r="F1554" s="1" t="s">
        <v>62</v>
      </c>
      <c r="G1554" s="1" t="s">
        <v>25</v>
      </c>
      <c r="H1554" s="1" t="s">
        <v>18</v>
      </c>
      <c r="I1554" s="3">
        <f>+2250767243102</f>
        <v>2250767243102</v>
      </c>
      <c r="J1554" s="3">
        <f>+2250556767101</f>
        <v>2250556767101</v>
      </c>
      <c r="K1554" s="1" t="s">
        <v>19</v>
      </c>
      <c r="L1554" s="4" t="s">
        <v>5522</v>
      </c>
    </row>
    <row r="1555">
      <c r="A1555" s="1" t="s">
        <v>12</v>
      </c>
      <c r="B1555" s="1" t="s">
        <v>5523</v>
      </c>
      <c r="C1555" s="1" t="s">
        <v>5524</v>
      </c>
      <c r="D1555" s="1" t="s">
        <v>5525</v>
      </c>
      <c r="E1555" s="2">
        <v>38414.0</v>
      </c>
      <c r="F1555" s="1" t="s">
        <v>62</v>
      </c>
      <c r="G1555" s="1" t="s">
        <v>17</v>
      </c>
      <c r="H1555" s="1" t="s">
        <v>18</v>
      </c>
      <c r="I1555" s="3">
        <f>+2250709081543</f>
        <v>2250709081543</v>
      </c>
      <c r="J1555" s="3">
        <f>+2250709014433</f>
        <v>2250709014433</v>
      </c>
      <c r="K1555" s="1" t="s">
        <v>19</v>
      </c>
      <c r="L1555" s="4" t="s">
        <v>5526</v>
      </c>
    </row>
    <row r="1556">
      <c r="A1556" s="1" t="s">
        <v>12</v>
      </c>
      <c r="B1556" s="1" t="s">
        <v>5527</v>
      </c>
      <c r="C1556" s="1" t="s">
        <v>5528</v>
      </c>
      <c r="D1556" s="1" t="s">
        <v>5529</v>
      </c>
      <c r="E1556" s="2">
        <v>38203.0</v>
      </c>
      <c r="F1556" s="1" t="s">
        <v>70</v>
      </c>
      <c r="G1556" s="1" t="s">
        <v>76</v>
      </c>
      <c r="H1556" s="1" t="s">
        <v>32</v>
      </c>
      <c r="I1556" s="3">
        <f>+2250170809478</f>
        <v>2250170809478</v>
      </c>
      <c r="J1556" s="3">
        <f>+2250748403009</f>
        <v>2250748403009</v>
      </c>
      <c r="K1556" s="1" t="s">
        <v>19</v>
      </c>
      <c r="L1556" s="4" t="s">
        <v>5530</v>
      </c>
    </row>
    <row r="1557">
      <c r="A1557" s="1" t="s">
        <v>12</v>
      </c>
      <c r="B1557" s="1" t="s">
        <v>5531</v>
      </c>
      <c r="C1557" s="1" t="s">
        <v>5528</v>
      </c>
      <c r="D1557" s="1" t="s">
        <v>5532</v>
      </c>
      <c r="E1557" s="2">
        <v>37257.0</v>
      </c>
      <c r="F1557" s="1" t="s">
        <v>101</v>
      </c>
      <c r="G1557" s="1" t="s">
        <v>31</v>
      </c>
      <c r="H1557" s="1" t="s">
        <v>32</v>
      </c>
      <c r="I1557" s="3">
        <f>+2250789078577</f>
        <v>2250789078577</v>
      </c>
      <c r="J1557" s="3">
        <f>+2250749134181</f>
        <v>2250749134181</v>
      </c>
      <c r="K1557" s="1" t="s">
        <v>19</v>
      </c>
      <c r="L1557" s="4" t="s">
        <v>5533</v>
      </c>
    </row>
    <row r="1558">
      <c r="A1558" s="1" t="s">
        <v>12</v>
      </c>
      <c r="B1558" s="1" t="s">
        <v>5534</v>
      </c>
      <c r="C1558" s="1" t="s">
        <v>5528</v>
      </c>
      <c r="D1558" s="1" t="s">
        <v>5535</v>
      </c>
      <c r="E1558" s="2">
        <v>37358.0</v>
      </c>
      <c r="F1558" s="1" t="s">
        <v>75</v>
      </c>
      <c r="G1558" s="1" t="s">
        <v>31</v>
      </c>
      <c r="H1558" s="1" t="s">
        <v>32</v>
      </c>
      <c r="I1558" s="3">
        <f>+2250779533294</f>
        <v>2250779533294</v>
      </c>
      <c r="J1558" s="3">
        <f>+2250103510359</f>
        <v>2250103510359</v>
      </c>
      <c r="K1558" s="1" t="s">
        <v>19</v>
      </c>
      <c r="L1558" s="4" t="s">
        <v>5536</v>
      </c>
    </row>
    <row r="1559">
      <c r="A1559" s="1" t="s">
        <v>12</v>
      </c>
      <c r="B1559" s="1" t="s">
        <v>5537</v>
      </c>
      <c r="C1559" s="1" t="s">
        <v>5528</v>
      </c>
      <c r="D1559" s="1" t="s">
        <v>5538</v>
      </c>
      <c r="E1559" s="2">
        <v>38116.0</v>
      </c>
      <c r="F1559" s="1" t="s">
        <v>155</v>
      </c>
      <c r="G1559" s="1" t="s">
        <v>82</v>
      </c>
      <c r="H1559" s="1" t="s">
        <v>18</v>
      </c>
      <c r="I1559" s="3">
        <f>+2250778071753</f>
        <v>2250778071753</v>
      </c>
      <c r="J1559" s="3">
        <f>+2250101209978</f>
        <v>2250101209978</v>
      </c>
      <c r="K1559" s="1" t="s">
        <v>19</v>
      </c>
      <c r="L1559" s="4" t="s">
        <v>5539</v>
      </c>
    </row>
    <row r="1560">
      <c r="A1560" s="1" t="s">
        <v>12</v>
      </c>
      <c r="B1560" s="1" t="s">
        <v>5540</v>
      </c>
      <c r="C1560" s="1" t="s">
        <v>5528</v>
      </c>
      <c r="D1560" s="1" t="s">
        <v>5541</v>
      </c>
      <c r="E1560" s="2">
        <v>37902.0</v>
      </c>
      <c r="F1560" s="1" t="s">
        <v>62</v>
      </c>
      <c r="G1560" s="1" t="s">
        <v>25</v>
      </c>
      <c r="H1560" s="1" t="s">
        <v>18</v>
      </c>
      <c r="I1560" s="3">
        <f>+2250711520629</f>
        <v>2250711520629</v>
      </c>
      <c r="J1560" s="3">
        <f>+2250708040610</f>
        <v>2250708040610</v>
      </c>
      <c r="K1560" s="1" t="s">
        <v>19</v>
      </c>
      <c r="L1560" s="4" t="s">
        <v>5542</v>
      </c>
    </row>
    <row r="1561">
      <c r="A1561" s="1" t="s">
        <v>12</v>
      </c>
      <c r="B1561" s="1" t="s">
        <v>5543</v>
      </c>
      <c r="C1561" s="1" t="s">
        <v>5528</v>
      </c>
      <c r="D1561" s="1" t="s">
        <v>5544</v>
      </c>
      <c r="E1561" s="2">
        <v>37490.0</v>
      </c>
      <c r="F1561" s="1" t="s">
        <v>16</v>
      </c>
      <c r="G1561" s="1" t="s">
        <v>17</v>
      </c>
      <c r="H1561" s="1" t="s">
        <v>18</v>
      </c>
      <c r="I1561" s="3">
        <f>+2250789864193</f>
        <v>2250789864193</v>
      </c>
      <c r="J1561" s="3">
        <f>+2250707960548</f>
        <v>2250707960548</v>
      </c>
      <c r="K1561" s="1" t="s">
        <v>19</v>
      </c>
      <c r="L1561" s="4" t="s">
        <v>5545</v>
      </c>
    </row>
    <row r="1562">
      <c r="A1562" s="1" t="s">
        <v>12</v>
      </c>
      <c r="B1562" s="1" t="s">
        <v>5546</v>
      </c>
      <c r="C1562" s="1" t="s">
        <v>181</v>
      </c>
      <c r="D1562" s="1" t="s">
        <v>5547</v>
      </c>
      <c r="E1562" s="2">
        <v>38939.0</v>
      </c>
      <c r="F1562" s="1" t="s">
        <v>16</v>
      </c>
      <c r="G1562" s="1" t="s">
        <v>25</v>
      </c>
      <c r="H1562" s="1" t="s">
        <v>18</v>
      </c>
      <c r="I1562" s="3">
        <f>+2250504404065</f>
        <v>2250504404065</v>
      </c>
      <c r="J1562" s="3">
        <f>+2250709091617</f>
        <v>2250709091617</v>
      </c>
      <c r="K1562" s="1" t="s">
        <v>19</v>
      </c>
      <c r="L1562" s="4" t="s">
        <v>5548</v>
      </c>
    </row>
    <row r="1563">
      <c r="A1563" s="1" t="s">
        <v>12</v>
      </c>
      <c r="B1563" s="1" t="s">
        <v>5549</v>
      </c>
      <c r="C1563" s="1" t="s">
        <v>1973</v>
      </c>
      <c r="D1563" s="1" t="s">
        <v>5550</v>
      </c>
      <c r="E1563" s="2">
        <v>37053.0</v>
      </c>
      <c r="F1563" s="1" t="s">
        <v>87</v>
      </c>
      <c r="G1563" s="1" t="s">
        <v>31</v>
      </c>
      <c r="H1563" s="1" t="s">
        <v>32</v>
      </c>
      <c r="I1563" s="3">
        <f>+2250768497876</f>
        <v>2250768497876</v>
      </c>
      <c r="J1563" s="3">
        <f>+2250555552303</f>
        <v>2250555552303</v>
      </c>
      <c r="K1563" s="1" t="s">
        <v>19</v>
      </c>
      <c r="L1563" s="4" t="s">
        <v>5551</v>
      </c>
    </row>
    <row r="1564">
      <c r="A1564" s="1" t="s">
        <v>12</v>
      </c>
      <c r="B1564" s="1" t="s">
        <v>5552</v>
      </c>
      <c r="C1564" s="1" t="s">
        <v>1973</v>
      </c>
      <c r="D1564" s="1" t="s">
        <v>5553</v>
      </c>
      <c r="E1564" s="2">
        <v>36020.0</v>
      </c>
      <c r="F1564" s="1" t="s">
        <v>48</v>
      </c>
      <c r="G1564" s="1" t="s">
        <v>76</v>
      </c>
      <c r="H1564" s="1" t="s">
        <v>32</v>
      </c>
      <c r="I1564" s="3">
        <f>+2250747675040</f>
        <v>2250747675040</v>
      </c>
      <c r="J1564" s="3">
        <f>+2250707115237</f>
        <v>2250707115237</v>
      </c>
      <c r="K1564" s="1" t="s">
        <v>19</v>
      </c>
      <c r="L1564" s="4" t="s">
        <v>5554</v>
      </c>
    </row>
    <row r="1565">
      <c r="A1565" s="1" t="s">
        <v>12</v>
      </c>
      <c r="B1565" s="1" t="s">
        <v>5555</v>
      </c>
      <c r="C1565" s="1" t="s">
        <v>1973</v>
      </c>
      <c r="D1565" s="1" t="s">
        <v>5556</v>
      </c>
      <c r="E1565" s="2">
        <v>38816.0</v>
      </c>
      <c r="F1565" s="1" t="s">
        <v>62</v>
      </c>
      <c r="G1565" s="1" t="s">
        <v>25</v>
      </c>
      <c r="H1565" s="1" t="s">
        <v>18</v>
      </c>
      <c r="I1565" s="3">
        <f>+2250101807466</f>
        <v>2250101807466</v>
      </c>
      <c r="J1565" s="3">
        <f>+2250141237455</f>
        <v>2250141237455</v>
      </c>
      <c r="K1565" s="1" t="s">
        <v>19</v>
      </c>
      <c r="L1565" s="4" t="s">
        <v>5557</v>
      </c>
    </row>
    <row r="1566">
      <c r="A1566" s="1" t="s">
        <v>12</v>
      </c>
      <c r="B1566" s="1" t="s">
        <v>5558</v>
      </c>
      <c r="C1566" s="1" t="s">
        <v>5559</v>
      </c>
      <c r="D1566" s="1" t="s">
        <v>5560</v>
      </c>
      <c r="E1566" s="5">
        <v>37250.0</v>
      </c>
      <c r="F1566" s="1" t="s">
        <v>138</v>
      </c>
      <c r="G1566" s="1" t="s">
        <v>31</v>
      </c>
      <c r="H1566" s="1" t="s">
        <v>32</v>
      </c>
      <c r="I1566" s="3">
        <f>+2250150139151</f>
        <v>2250150139151</v>
      </c>
      <c r="J1566" s="3">
        <f>+2250574049395</f>
        <v>2250574049395</v>
      </c>
      <c r="K1566" s="1" t="s">
        <v>19</v>
      </c>
      <c r="L1566" s="4" t="s">
        <v>5561</v>
      </c>
    </row>
    <row r="1567">
      <c r="A1567" s="1" t="s">
        <v>12</v>
      </c>
      <c r="B1567" s="1" t="s">
        <v>5562</v>
      </c>
      <c r="C1567" s="1" t="s">
        <v>5563</v>
      </c>
      <c r="D1567" s="1" t="s">
        <v>5564</v>
      </c>
      <c r="E1567" s="2">
        <v>38187.0</v>
      </c>
      <c r="F1567" s="1" t="s">
        <v>62</v>
      </c>
      <c r="G1567" s="1" t="s">
        <v>25</v>
      </c>
      <c r="H1567" s="1" t="s">
        <v>18</v>
      </c>
      <c r="I1567" s="3">
        <f t="shared" ref="I1567:J1567" si="46">+2250101077595</f>
        <v>2250101077595</v>
      </c>
      <c r="J1567" s="3">
        <f t="shared" si="46"/>
        <v>2250101077595</v>
      </c>
      <c r="K1567" s="1" t="s">
        <v>19</v>
      </c>
      <c r="L1567" s="4" t="s">
        <v>5565</v>
      </c>
    </row>
    <row r="1568">
      <c r="A1568" s="1" t="s">
        <v>12</v>
      </c>
      <c r="B1568" s="1" t="s">
        <v>5566</v>
      </c>
      <c r="C1568" s="1" t="s">
        <v>5567</v>
      </c>
      <c r="D1568" s="1" t="s">
        <v>5568</v>
      </c>
      <c r="E1568" s="2">
        <v>37106.0</v>
      </c>
      <c r="F1568" s="1" t="s">
        <v>87</v>
      </c>
      <c r="G1568" s="1" t="s">
        <v>76</v>
      </c>
      <c r="H1568" s="1" t="s">
        <v>32</v>
      </c>
      <c r="I1568" s="3">
        <f>+2250759683057</f>
        <v>2250759683057</v>
      </c>
      <c r="J1568" s="3">
        <f>+2250747565266</f>
        <v>2250747565266</v>
      </c>
      <c r="K1568" s="1" t="s">
        <v>19</v>
      </c>
      <c r="L1568" s="4" t="s">
        <v>5569</v>
      </c>
    </row>
    <row r="1569">
      <c r="A1569" s="1" t="s">
        <v>12</v>
      </c>
      <c r="B1569" s="1" t="s">
        <v>5570</v>
      </c>
      <c r="C1569" s="1" t="s">
        <v>5571</v>
      </c>
      <c r="D1569" s="1" t="s">
        <v>5572</v>
      </c>
      <c r="E1569" s="2">
        <v>32682.0</v>
      </c>
      <c r="F1569" s="1" t="s">
        <v>75</v>
      </c>
      <c r="G1569" s="1" t="s">
        <v>76</v>
      </c>
      <c r="H1569" s="1" t="s">
        <v>32</v>
      </c>
      <c r="I1569" s="3">
        <f>+2250707688238</f>
        <v>2250707688238</v>
      </c>
      <c r="J1569" s="3">
        <f>+2250171232333</f>
        <v>2250171232333</v>
      </c>
      <c r="K1569" s="1" t="s">
        <v>19</v>
      </c>
      <c r="L1569" s="4" t="s">
        <v>5573</v>
      </c>
    </row>
    <row r="1570">
      <c r="A1570" s="1" t="s">
        <v>12</v>
      </c>
      <c r="B1570" s="1" t="s">
        <v>5574</v>
      </c>
      <c r="C1570" s="1" t="s">
        <v>5575</v>
      </c>
      <c r="D1570" s="1" t="s">
        <v>5576</v>
      </c>
      <c r="E1570" s="2">
        <v>38051.0</v>
      </c>
      <c r="F1570" s="1" t="s">
        <v>62</v>
      </c>
      <c r="G1570" s="1" t="s">
        <v>25</v>
      </c>
      <c r="H1570" s="1" t="s">
        <v>18</v>
      </c>
      <c r="I1570" s="3">
        <f>+2250709728735</f>
        <v>2250709728735</v>
      </c>
      <c r="J1570" s="3">
        <f>+2250778732219</f>
        <v>2250778732219</v>
      </c>
      <c r="K1570" s="1" t="s">
        <v>19</v>
      </c>
      <c r="L1570" s="4" t="s">
        <v>5577</v>
      </c>
    </row>
    <row r="1571">
      <c r="A1571" s="1" t="s">
        <v>12</v>
      </c>
      <c r="B1571" s="1" t="s">
        <v>5578</v>
      </c>
      <c r="C1571" s="1" t="s">
        <v>5579</v>
      </c>
      <c r="D1571" s="1" t="s">
        <v>5580</v>
      </c>
      <c r="E1571" s="2">
        <v>34880.0</v>
      </c>
      <c r="F1571" s="1" t="s">
        <v>101</v>
      </c>
      <c r="G1571" s="1" t="s">
        <v>31</v>
      </c>
      <c r="H1571" s="1" t="s">
        <v>32</v>
      </c>
      <c r="I1571" s="3">
        <f>+2250706332096</f>
        <v>2250706332096</v>
      </c>
      <c r="J1571" s="3">
        <f>+2250142391072</f>
        <v>2250142391072</v>
      </c>
      <c r="K1571" s="1" t="s">
        <v>19</v>
      </c>
      <c r="L1571" s="4" t="s">
        <v>5581</v>
      </c>
    </row>
    <row r="1572">
      <c r="A1572" s="1" t="s">
        <v>12</v>
      </c>
      <c r="B1572" s="1" t="s">
        <v>5582</v>
      </c>
      <c r="C1572" s="1" t="s">
        <v>5583</v>
      </c>
      <c r="D1572" s="1" t="s">
        <v>5584</v>
      </c>
      <c r="E1572" s="2">
        <v>37722.0</v>
      </c>
      <c r="F1572" s="1" t="s">
        <v>155</v>
      </c>
      <c r="G1572" s="1" t="s">
        <v>82</v>
      </c>
      <c r="H1572" s="1" t="s">
        <v>18</v>
      </c>
      <c r="I1572" s="3">
        <f>+2250152663700</f>
        <v>2250152663700</v>
      </c>
      <c r="J1572" s="3">
        <f>+2250778118108</f>
        <v>2250778118108</v>
      </c>
      <c r="K1572" s="1" t="s">
        <v>19</v>
      </c>
      <c r="L1572" s="4" t="s">
        <v>5585</v>
      </c>
    </row>
    <row r="1573">
      <c r="A1573" s="1" t="s">
        <v>12</v>
      </c>
      <c r="B1573" s="1" t="s">
        <v>5586</v>
      </c>
      <c r="C1573" s="1" t="s">
        <v>5583</v>
      </c>
      <c r="D1573" s="1" t="s">
        <v>5587</v>
      </c>
      <c r="E1573" s="2">
        <v>45179.0</v>
      </c>
      <c r="F1573" s="1" t="s">
        <v>62</v>
      </c>
      <c r="G1573" s="1" t="s">
        <v>17</v>
      </c>
      <c r="H1573" s="1" t="s">
        <v>18</v>
      </c>
      <c r="I1573" s="3">
        <f>+2250798211551</f>
        <v>2250798211551</v>
      </c>
      <c r="J1573" s="3">
        <f>+2250709158979</f>
        <v>2250709158979</v>
      </c>
      <c r="K1573" s="1" t="s">
        <v>19</v>
      </c>
      <c r="L1573" s="4" t="s">
        <v>5588</v>
      </c>
    </row>
    <row r="1574">
      <c r="A1574" s="1" t="s">
        <v>12</v>
      </c>
      <c r="B1574" s="1" t="s">
        <v>5589</v>
      </c>
      <c r="C1574" s="1" t="s">
        <v>5583</v>
      </c>
      <c r="D1574" s="1" t="s">
        <v>178</v>
      </c>
      <c r="E1574" s="2">
        <v>37024.0</v>
      </c>
      <c r="F1574" s="1" t="s">
        <v>16</v>
      </c>
      <c r="G1574" s="1" t="s">
        <v>17</v>
      </c>
      <c r="H1574" s="1" t="s">
        <v>18</v>
      </c>
      <c r="I1574" s="3">
        <f>+2250566083400</f>
        <v>2250566083400</v>
      </c>
      <c r="J1574" s="3">
        <f>+2250506305317</f>
        <v>2250506305317</v>
      </c>
      <c r="K1574" s="1" t="s">
        <v>19</v>
      </c>
      <c r="L1574" s="4" t="s">
        <v>5590</v>
      </c>
    </row>
    <row r="1575">
      <c r="A1575" s="1" t="s">
        <v>12</v>
      </c>
      <c r="B1575" s="1" t="s">
        <v>5591</v>
      </c>
      <c r="C1575" s="1" t="s">
        <v>5583</v>
      </c>
      <c r="D1575" s="1" t="s">
        <v>5592</v>
      </c>
      <c r="E1575" s="2">
        <v>35319.0</v>
      </c>
      <c r="F1575" s="1" t="s">
        <v>351</v>
      </c>
      <c r="G1575" s="1" t="s">
        <v>76</v>
      </c>
      <c r="H1575" s="1" t="s">
        <v>32</v>
      </c>
      <c r="I1575" s="3">
        <f>+2250170758085</f>
        <v>2250170758085</v>
      </c>
      <c r="J1575" s="3">
        <f>+2250707639777</f>
        <v>2250707639777</v>
      </c>
      <c r="K1575" s="1" t="s">
        <v>19</v>
      </c>
      <c r="L1575" s="4" t="s">
        <v>5593</v>
      </c>
    </row>
    <row r="1576">
      <c r="A1576" s="1" t="s">
        <v>12</v>
      </c>
      <c r="B1576" s="1" t="s">
        <v>5594</v>
      </c>
      <c r="C1576" s="1" t="s">
        <v>5595</v>
      </c>
      <c r="D1576" s="1" t="s">
        <v>5596</v>
      </c>
      <c r="E1576" s="2">
        <v>36907.0</v>
      </c>
      <c r="F1576" s="1" t="s">
        <v>16</v>
      </c>
      <c r="G1576" s="1" t="s">
        <v>25</v>
      </c>
      <c r="H1576" s="1" t="s">
        <v>18</v>
      </c>
      <c r="I1576" s="3">
        <f>+2250779896942</f>
        <v>2250779896942</v>
      </c>
      <c r="J1576" s="3">
        <f>+2250709368932</f>
        <v>2250709368932</v>
      </c>
      <c r="K1576" s="1" t="s">
        <v>19</v>
      </c>
      <c r="L1576" s="4" t="s">
        <v>5597</v>
      </c>
    </row>
    <row r="1577">
      <c r="A1577" s="1" t="s">
        <v>12</v>
      </c>
      <c r="B1577" s="1" t="s">
        <v>5598</v>
      </c>
      <c r="C1577" s="1" t="s">
        <v>5595</v>
      </c>
      <c r="D1577" s="1" t="s">
        <v>5599</v>
      </c>
      <c r="E1577" s="2">
        <v>38180.0</v>
      </c>
      <c r="F1577" s="1" t="s">
        <v>48</v>
      </c>
      <c r="G1577" s="1" t="s">
        <v>31</v>
      </c>
      <c r="H1577" s="1" t="s">
        <v>32</v>
      </c>
      <c r="I1577" s="3">
        <f>+2250575773293</f>
        <v>2250575773293</v>
      </c>
      <c r="J1577" s="3">
        <f>+2250101384674</f>
        <v>2250101384674</v>
      </c>
      <c r="K1577" s="1" t="s">
        <v>19</v>
      </c>
      <c r="L1577" s="4" t="s">
        <v>5600</v>
      </c>
    </row>
    <row r="1578">
      <c r="A1578" s="1" t="s">
        <v>12</v>
      </c>
      <c r="B1578" s="1" t="s">
        <v>5601</v>
      </c>
      <c r="C1578" s="1" t="s">
        <v>5595</v>
      </c>
      <c r="D1578" s="1" t="s">
        <v>5602</v>
      </c>
      <c r="E1578" s="5">
        <v>37236.0</v>
      </c>
      <c r="F1578" s="1" t="s">
        <v>138</v>
      </c>
      <c r="G1578" s="1" t="s">
        <v>76</v>
      </c>
      <c r="H1578" s="1" t="s">
        <v>32</v>
      </c>
      <c r="I1578" s="3">
        <f>+2250586193689</f>
        <v>2250586193689</v>
      </c>
      <c r="J1578" s="3">
        <f>+2250758116940</f>
        <v>2250758116940</v>
      </c>
      <c r="K1578" s="1" t="s">
        <v>19</v>
      </c>
      <c r="L1578" s="4" t="s">
        <v>5603</v>
      </c>
    </row>
    <row r="1579">
      <c r="A1579" s="1" t="s">
        <v>12</v>
      </c>
      <c r="B1579" s="1" t="s">
        <v>5604</v>
      </c>
      <c r="C1579" s="1" t="s">
        <v>5605</v>
      </c>
      <c r="D1579" s="1" t="s">
        <v>5606</v>
      </c>
      <c r="E1579" s="2">
        <v>37145.0</v>
      </c>
      <c r="F1579" s="1" t="s">
        <v>155</v>
      </c>
      <c r="G1579" s="1" t="s">
        <v>31</v>
      </c>
      <c r="H1579" s="1" t="s">
        <v>32</v>
      </c>
      <c r="I1579" s="3">
        <f>+2250759075021</f>
        <v>2250759075021</v>
      </c>
      <c r="J1579" s="3">
        <f>+2250103197720</f>
        <v>2250103197720</v>
      </c>
      <c r="K1579" s="1" t="s">
        <v>19</v>
      </c>
      <c r="L1579" s="4" t="s">
        <v>5607</v>
      </c>
    </row>
    <row r="1580">
      <c r="A1580" s="1" t="s">
        <v>12</v>
      </c>
      <c r="B1580" s="1" t="s">
        <v>5608</v>
      </c>
      <c r="C1580" s="1" t="s">
        <v>5609</v>
      </c>
      <c r="D1580" s="1" t="s">
        <v>1853</v>
      </c>
      <c r="E1580" s="5">
        <v>38671.0</v>
      </c>
      <c r="F1580" s="1" t="s">
        <v>53</v>
      </c>
      <c r="G1580" s="1" t="s">
        <v>25</v>
      </c>
      <c r="H1580" s="1" t="s">
        <v>18</v>
      </c>
      <c r="I1580" s="3">
        <f>+2250566090128</f>
        <v>2250566090128</v>
      </c>
      <c r="J1580" s="3">
        <f>+2250708635488</f>
        <v>2250708635488</v>
      </c>
      <c r="K1580" s="1" t="s">
        <v>19</v>
      </c>
      <c r="L1580" s="4" t="s">
        <v>5610</v>
      </c>
    </row>
    <row r="1581">
      <c r="A1581" s="1" t="s">
        <v>12</v>
      </c>
      <c r="B1581" s="1" t="s">
        <v>5611</v>
      </c>
      <c r="C1581" s="1" t="s">
        <v>5609</v>
      </c>
      <c r="D1581" s="1" t="s">
        <v>3437</v>
      </c>
      <c r="E1581" s="5">
        <v>37189.0</v>
      </c>
      <c r="F1581" s="1" t="s">
        <v>155</v>
      </c>
      <c r="G1581" s="1" t="s">
        <v>76</v>
      </c>
      <c r="H1581" s="1" t="s">
        <v>32</v>
      </c>
      <c r="I1581" s="3">
        <f>+2250502395274</f>
        <v>2250502395274</v>
      </c>
      <c r="J1581" s="3">
        <f>+2250504047442</f>
        <v>2250504047442</v>
      </c>
      <c r="K1581" s="1" t="s">
        <v>19</v>
      </c>
      <c r="L1581" s="4" t="s">
        <v>5612</v>
      </c>
    </row>
    <row r="1582">
      <c r="A1582" s="1" t="s">
        <v>12</v>
      </c>
      <c r="B1582" s="1" t="s">
        <v>5613</v>
      </c>
      <c r="C1582" s="1" t="s">
        <v>5609</v>
      </c>
      <c r="D1582" s="1" t="s">
        <v>2841</v>
      </c>
      <c r="E1582" s="2">
        <v>37717.0</v>
      </c>
      <c r="F1582" s="1" t="s">
        <v>53</v>
      </c>
      <c r="G1582" s="1" t="s">
        <v>17</v>
      </c>
      <c r="H1582" s="1" t="s">
        <v>18</v>
      </c>
      <c r="I1582" s="3">
        <f>+2250503953041</f>
        <v>2250503953041</v>
      </c>
      <c r="J1582" s="3">
        <f>+2250546663167</f>
        <v>2250546663167</v>
      </c>
      <c r="K1582" s="1" t="s">
        <v>19</v>
      </c>
      <c r="L1582" s="4" t="s">
        <v>5614</v>
      </c>
    </row>
    <row r="1583">
      <c r="A1583" s="1" t="s">
        <v>12</v>
      </c>
      <c r="B1583" s="1" t="s">
        <v>5615</v>
      </c>
      <c r="C1583" s="1" t="s">
        <v>5616</v>
      </c>
      <c r="D1583" s="1" t="s">
        <v>5617</v>
      </c>
      <c r="E1583" s="2">
        <v>37866.0</v>
      </c>
      <c r="F1583" s="1" t="s">
        <v>62</v>
      </c>
      <c r="G1583" s="1" t="s">
        <v>25</v>
      </c>
      <c r="H1583" s="1" t="s">
        <v>18</v>
      </c>
      <c r="I1583" s="3">
        <f>+2250506428516</f>
        <v>2250506428516</v>
      </c>
      <c r="J1583" s="3">
        <f>+2250700041440</f>
        <v>2250700041440</v>
      </c>
      <c r="K1583" s="1" t="s">
        <v>19</v>
      </c>
      <c r="L1583" s="4" t="s">
        <v>5618</v>
      </c>
    </row>
    <row r="1584">
      <c r="A1584" s="1" t="s">
        <v>12</v>
      </c>
      <c r="B1584" s="1" t="s">
        <v>5619</v>
      </c>
      <c r="C1584" s="1" t="s">
        <v>5620</v>
      </c>
      <c r="D1584" s="1" t="s">
        <v>5621</v>
      </c>
      <c r="E1584" s="5">
        <v>38669.0</v>
      </c>
      <c r="F1584" s="1" t="s">
        <v>16</v>
      </c>
      <c r="G1584" s="1" t="s">
        <v>17</v>
      </c>
      <c r="H1584" s="1" t="s">
        <v>18</v>
      </c>
      <c r="I1584" s="3">
        <f>+2250506300298</f>
        <v>2250506300298</v>
      </c>
      <c r="J1584" s="3">
        <f>+2250554846652</f>
        <v>2250554846652</v>
      </c>
      <c r="K1584" s="1" t="s">
        <v>19</v>
      </c>
      <c r="L1584" s="4" t="s">
        <v>5622</v>
      </c>
    </row>
    <row r="1585">
      <c r="A1585" s="1" t="s">
        <v>12</v>
      </c>
      <c r="B1585" s="1" t="s">
        <v>5623</v>
      </c>
      <c r="C1585" s="1" t="s">
        <v>5620</v>
      </c>
      <c r="D1585" s="1" t="s">
        <v>5624</v>
      </c>
      <c r="E1585" s="2">
        <v>38119.0</v>
      </c>
      <c r="F1585" s="1" t="s">
        <v>16</v>
      </c>
      <c r="G1585" s="1" t="s">
        <v>17</v>
      </c>
      <c r="H1585" s="1" t="s">
        <v>18</v>
      </c>
      <c r="I1585" s="3">
        <f>+2250789821756</f>
        <v>2250789821756</v>
      </c>
      <c r="J1585" s="3">
        <f>+2250709305257</f>
        <v>2250709305257</v>
      </c>
      <c r="K1585" s="1" t="s">
        <v>19</v>
      </c>
      <c r="L1585" s="4" t="s">
        <v>5625</v>
      </c>
    </row>
    <row r="1586">
      <c r="A1586" s="1" t="s">
        <v>12</v>
      </c>
      <c r="B1586" s="1" t="s">
        <v>5626</v>
      </c>
      <c r="C1586" s="1" t="s">
        <v>5620</v>
      </c>
      <c r="D1586" s="1" t="s">
        <v>5627</v>
      </c>
      <c r="E1586" s="2">
        <v>37793.0</v>
      </c>
      <c r="F1586" s="1" t="s">
        <v>53</v>
      </c>
      <c r="G1586" s="1" t="s">
        <v>25</v>
      </c>
      <c r="H1586" s="1" t="s">
        <v>18</v>
      </c>
      <c r="I1586" s="3">
        <f>+2250701995622</f>
        <v>2250701995622</v>
      </c>
      <c r="J1586" s="3">
        <f>+2250778658825</f>
        <v>2250778658825</v>
      </c>
      <c r="K1586" s="1" t="s">
        <v>19</v>
      </c>
      <c r="L1586" s="4" t="s">
        <v>5628</v>
      </c>
    </row>
    <row r="1587">
      <c r="A1587" s="1" t="s">
        <v>12</v>
      </c>
      <c r="B1587" s="1" t="s">
        <v>5629</v>
      </c>
      <c r="C1587" s="1" t="s">
        <v>5620</v>
      </c>
      <c r="D1587" s="1" t="s">
        <v>5630</v>
      </c>
      <c r="E1587" s="5">
        <v>38320.0</v>
      </c>
      <c r="F1587" s="1" t="s">
        <v>53</v>
      </c>
      <c r="G1587" s="1" t="s">
        <v>17</v>
      </c>
      <c r="H1587" s="1" t="s">
        <v>18</v>
      </c>
      <c r="I1587" s="3">
        <f>+2250701238478</f>
        <v>2250701238478</v>
      </c>
      <c r="J1587" s="3">
        <f>+2250708697154</f>
        <v>2250708697154</v>
      </c>
      <c r="K1587" s="1" t="s">
        <v>19</v>
      </c>
      <c r="L1587" s="4" t="s">
        <v>5631</v>
      </c>
    </row>
    <row r="1588">
      <c r="A1588" s="1" t="s">
        <v>12</v>
      </c>
      <c r="B1588" s="1" t="s">
        <v>5632</v>
      </c>
      <c r="C1588" s="1" t="s">
        <v>5620</v>
      </c>
      <c r="D1588" s="1" t="s">
        <v>5633</v>
      </c>
      <c r="E1588" s="5">
        <v>37225.0</v>
      </c>
      <c r="F1588" s="1" t="s">
        <v>110</v>
      </c>
      <c r="G1588" s="1" t="s">
        <v>82</v>
      </c>
      <c r="H1588" s="1" t="s">
        <v>18</v>
      </c>
      <c r="I1588" s="3">
        <f>+2250504287419</f>
        <v>2250504287419</v>
      </c>
      <c r="J1588" s="3">
        <f>+2250708087972</f>
        <v>2250708087972</v>
      </c>
      <c r="K1588" s="1" t="s">
        <v>19</v>
      </c>
      <c r="L1588" s="4" t="s">
        <v>5634</v>
      </c>
    </row>
    <row r="1589">
      <c r="A1589" s="1" t="s">
        <v>12</v>
      </c>
      <c r="B1589" s="1" t="s">
        <v>5635</v>
      </c>
      <c r="C1589" s="1" t="s">
        <v>5620</v>
      </c>
      <c r="D1589" s="1" t="s">
        <v>5636</v>
      </c>
      <c r="E1589" s="2">
        <v>36729.0</v>
      </c>
      <c r="F1589" s="1" t="s">
        <v>37</v>
      </c>
      <c r="G1589" s="1" t="s">
        <v>82</v>
      </c>
      <c r="H1589" s="1" t="s">
        <v>18</v>
      </c>
      <c r="I1589" s="3">
        <f>+2250777356814</f>
        <v>2250777356814</v>
      </c>
      <c r="J1589" s="3">
        <f>+2250757752616</f>
        <v>2250757752616</v>
      </c>
      <c r="K1589" s="1" t="s">
        <v>19</v>
      </c>
      <c r="L1589" s="4" t="s">
        <v>5637</v>
      </c>
    </row>
    <row r="1590">
      <c r="A1590" s="1" t="s">
        <v>12</v>
      </c>
      <c r="B1590" s="1" t="s">
        <v>5638</v>
      </c>
      <c r="C1590" s="1" t="s">
        <v>5620</v>
      </c>
      <c r="D1590" s="1" t="s">
        <v>5639</v>
      </c>
      <c r="E1590" s="5">
        <v>37978.0</v>
      </c>
      <c r="F1590" s="1" t="s">
        <v>62</v>
      </c>
      <c r="G1590" s="1" t="s">
        <v>25</v>
      </c>
      <c r="H1590" s="1" t="s">
        <v>18</v>
      </c>
      <c r="I1590" s="3">
        <f>+2250501442487</f>
        <v>2250501442487</v>
      </c>
      <c r="J1590" s="3">
        <f>+2250707463130</f>
        <v>2250707463130</v>
      </c>
      <c r="K1590" s="1" t="s">
        <v>19</v>
      </c>
      <c r="L1590" s="4" t="s">
        <v>5640</v>
      </c>
    </row>
    <row r="1591">
      <c r="A1591" s="1" t="s">
        <v>12</v>
      </c>
      <c r="B1591" s="1" t="s">
        <v>5641</v>
      </c>
      <c r="C1591" s="1" t="s">
        <v>5620</v>
      </c>
      <c r="D1591" s="1" t="s">
        <v>5642</v>
      </c>
      <c r="E1591" s="2">
        <v>36592.0</v>
      </c>
      <c r="F1591" s="1" t="s">
        <v>92</v>
      </c>
      <c r="G1591" s="1" t="s">
        <v>31</v>
      </c>
      <c r="H1591" s="1" t="s">
        <v>32</v>
      </c>
      <c r="I1591" s="3">
        <f>+2250778616688</f>
        <v>2250778616688</v>
      </c>
      <c r="J1591" s="3">
        <f>+2250779001747</f>
        <v>2250779001747</v>
      </c>
      <c r="K1591" s="1" t="s">
        <v>19</v>
      </c>
      <c r="L1591" s="4" t="s">
        <v>5643</v>
      </c>
    </row>
    <row r="1592">
      <c r="A1592" s="1" t="s">
        <v>12</v>
      </c>
      <c r="B1592" s="1" t="s">
        <v>5644</v>
      </c>
      <c r="C1592" s="1" t="s">
        <v>5645</v>
      </c>
      <c r="D1592" s="1" t="s">
        <v>5646</v>
      </c>
      <c r="E1592" s="2">
        <v>37689.0</v>
      </c>
      <c r="F1592" s="1" t="s">
        <v>155</v>
      </c>
      <c r="G1592" s="1" t="s">
        <v>31</v>
      </c>
      <c r="H1592" s="1" t="s">
        <v>32</v>
      </c>
      <c r="I1592" s="3">
        <f>+2250748244782</f>
        <v>2250748244782</v>
      </c>
      <c r="J1592" s="3">
        <f>+2250757828211</f>
        <v>2250757828211</v>
      </c>
      <c r="K1592" s="1" t="s">
        <v>19</v>
      </c>
      <c r="L1592" s="4" t="s">
        <v>5647</v>
      </c>
    </row>
    <row r="1593">
      <c r="A1593" s="1" t="s">
        <v>12</v>
      </c>
      <c r="B1593" s="1" t="s">
        <v>5648</v>
      </c>
      <c r="C1593" s="1" t="s">
        <v>5649</v>
      </c>
      <c r="D1593" s="1" t="s">
        <v>5650</v>
      </c>
      <c r="E1593" s="2">
        <v>36781.0</v>
      </c>
      <c r="F1593" s="1" t="s">
        <v>16</v>
      </c>
      <c r="G1593" s="1" t="s">
        <v>17</v>
      </c>
      <c r="H1593" s="1" t="s">
        <v>18</v>
      </c>
      <c r="I1593" s="3">
        <f>+2250789188086</f>
        <v>2250789188086</v>
      </c>
      <c r="J1593" s="3">
        <f>+2250757556674</f>
        <v>2250757556674</v>
      </c>
      <c r="K1593" s="1" t="s">
        <v>19</v>
      </c>
      <c r="L1593" s="4" t="s">
        <v>5651</v>
      </c>
    </row>
    <row r="1594">
      <c r="A1594" s="1" t="s">
        <v>12</v>
      </c>
      <c r="B1594" s="1" t="s">
        <v>5652</v>
      </c>
      <c r="C1594" s="1" t="s">
        <v>5653</v>
      </c>
      <c r="D1594" s="1" t="s">
        <v>5654</v>
      </c>
      <c r="E1594" s="2">
        <v>37896.0</v>
      </c>
      <c r="F1594" s="1" t="s">
        <v>110</v>
      </c>
      <c r="G1594" s="1" t="s">
        <v>82</v>
      </c>
      <c r="H1594" s="1" t="s">
        <v>18</v>
      </c>
      <c r="I1594" s="3">
        <f>+2250566837107</f>
        <v>2250566837107</v>
      </c>
      <c r="J1594" s="3">
        <f>+2250757373878</f>
        <v>2250757373878</v>
      </c>
      <c r="K1594" s="1" t="s">
        <v>19</v>
      </c>
      <c r="L1594" s="4" t="s">
        <v>5655</v>
      </c>
    </row>
    <row r="1595">
      <c r="A1595" s="1" t="s">
        <v>12</v>
      </c>
      <c r="B1595" s="1" t="s">
        <v>5656</v>
      </c>
      <c r="C1595" s="1" t="s">
        <v>5653</v>
      </c>
      <c r="D1595" s="1" t="s">
        <v>5657</v>
      </c>
      <c r="E1595" s="2">
        <v>38227.0</v>
      </c>
      <c r="F1595" s="1" t="s">
        <v>62</v>
      </c>
      <c r="G1595" s="1" t="s">
        <v>25</v>
      </c>
      <c r="H1595" s="1" t="s">
        <v>18</v>
      </c>
      <c r="I1595" s="3">
        <f>+2250788406208</f>
        <v>2250788406208</v>
      </c>
      <c r="J1595" s="3">
        <f>+2250707585931</f>
        <v>2250707585931</v>
      </c>
      <c r="K1595" s="1" t="s">
        <v>19</v>
      </c>
      <c r="L1595" s="4" t="s">
        <v>5658</v>
      </c>
    </row>
    <row r="1596">
      <c r="A1596" s="1" t="s">
        <v>12</v>
      </c>
      <c r="B1596" s="1" t="s">
        <v>5659</v>
      </c>
      <c r="C1596" s="1" t="s">
        <v>5653</v>
      </c>
      <c r="D1596" s="1" t="s">
        <v>5660</v>
      </c>
      <c r="E1596" s="2">
        <v>38170.0</v>
      </c>
      <c r="F1596" s="1" t="s">
        <v>62</v>
      </c>
      <c r="G1596" s="1" t="s">
        <v>17</v>
      </c>
      <c r="H1596" s="1" t="s">
        <v>18</v>
      </c>
      <c r="I1596" s="3">
        <f t="shared" ref="I1596:J1596" si="47">+2250170176497</f>
        <v>2250170176497</v>
      </c>
      <c r="J1596" s="3">
        <f t="shared" si="47"/>
        <v>2250170176497</v>
      </c>
      <c r="K1596" s="1" t="s">
        <v>19</v>
      </c>
      <c r="L1596" s="4" t="s">
        <v>5661</v>
      </c>
    </row>
    <row r="1597">
      <c r="A1597" s="1" t="s">
        <v>12</v>
      </c>
      <c r="B1597" s="1" t="s">
        <v>5662</v>
      </c>
      <c r="C1597" s="1" t="s">
        <v>5663</v>
      </c>
      <c r="D1597" s="1" t="s">
        <v>5664</v>
      </c>
      <c r="E1597" s="2">
        <v>38901.0</v>
      </c>
      <c r="F1597" s="1" t="s">
        <v>53</v>
      </c>
      <c r="G1597" s="1" t="s">
        <v>25</v>
      </c>
      <c r="H1597" s="1" t="s">
        <v>18</v>
      </c>
      <c r="I1597" s="3">
        <f>+2250500165723</f>
        <v>2250500165723</v>
      </c>
      <c r="J1597" s="3">
        <f>+2250576887615</f>
        <v>2250576887615</v>
      </c>
      <c r="K1597" s="1" t="s">
        <v>19</v>
      </c>
      <c r="L1597" s="4" t="s">
        <v>5665</v>
      </c>
    </row>
    <row r="1598">
      <c r="A1598" s="1" t="s">
        <v>12</v>
      </c>
      <c r="B1598" s="1" t="s">
        <v>5666</v>
      </c>
      <c r="C1598" s="1" t="s">
        <v>5667</v>
      </c>
      <c r="D1598" s="1" t="s">
        <v>5668</v>
      </c>
      <c r="E1598" s="5">
        <v>39005.0</v>
      </c>
      <c r="F1598" s="1" t="s">
        <v>62</v>
      </c>
      <c r="G1598" s="1" t="s">
        <v>25</v>
      </c>
      <c r="H1598" s="1" t="s">
        <v>18</v>
      </c>
      <c r="I1598" s="3">
        <f>+2250150239099</f>
        <v>2250150239099</v>
      </c>
      <c r="J1598" s="3">
        <f>+2250708487554</f>
        <v>2250708487554</v>
      </c>
      <c r="K1598" s="1" t="s">
        <v>19</v>
      </c>
      <c r="L1598" s="4" t="s">
        <v>5669</v>
      </c>
    </row>
    <row r="1599">
      <c r="A1599" s="1" t="s">
        <v>12</v>
      </c>
      <c r="B1599" s="1" t="s">
        <v>5670</v>
      </c>
      <c r="C1599" s="1" t="s">
        <v>5671</v>
      </c>
      <c r="D1599" s="1" t="s">
        <v>5672</v>
      </c>
      <c r="E1599" s="2">
        <v>38132.0</v>
      </c>
      <c r="F1599" s="1" t="s">
        <v>53</v>
      </c>
      <c r="G1599" s="1" t="s">
        <v>25</v>
      </c>
      <c r="H1599" s="1" t="s">
        <v>18</v>
      </c>
      <c r="I1599" s="3">
        <f>+2250152482382</f>
        <v>2250152482382</v>
      </c>
      <c r="J1599" s="3">
        <f>+2250758261517</f>
        <v>2250758261517</v>
      </c>
      <c r="K1599" s="1" t="s">
        <v>19</v>
      </c>
      <c r="L1599" s="4" t="s">
        <v>5673</v>
      </c>
    </row>
    <row r="1600">
      <c r="A1600" s="1" t="s">
        <v>12</v>
      </c>
      <c r="B1600" s="1" t="s">
        <v>5674</v>
      </c>
      <c r="C1600" s="1" t="s">
        <v>5671</v>
      </c>
      <c r="D1600" s="1" t="s">
        <v>5675</v>
      </c>
      <c r="E1600" s="2">
        <v>35914.0</v>
      </c>
      <c r="F1600" s="1" t="s">
        <v>101</v>
      </c>
      <c r="G1600" s="1" t="s">
        <v>31</v>
      </c>
      <c r="H1600" s="1" t="s">
        <v>32</v>
      </c>
      <c r="I1600" s="3">
        <f>+2250102160929</f>
        <v>2250102160929</v>
      </c>
      <c r="J1600" s="3">
        <f>+2250747739300</f>
        <v>2250747739300</v>
      </c>
      <c r="K1600" s="1" t="s">
        <v>19</v>
      </c>
      <c r="L1600" s="4" t="s">
        <v>5676</v>
      </c>
    </row>
    <row r="1601">
      <c r="A1601" s="1" t="s">
        <v>12</v>
      </c>
      <c r="B1601" s="1" t="s">
        <v>5677</v>
      </c>
      <c r="C1601" s="1" t="s">
        <v>5671</v>
      </c>
      <c r="D1601" s="1" t="s">
        <v>704</v>
      </c>
      <c r="E1601" s="5">
        <v>38678.0</v>
      </c>
      <c r="F1601" s="1" t="s">
        <v>138</v>
      </c>
      <c r="G1601" s="1" t="s">
        <v>76</v>
      </c>
      <c r="H1601" s="1" t="s">
        <v>32</v>
      </c>
      <c r="I1601" s="3">
        <f>+2250142180848</f>
        <v>2250142180848</v>
      </c>
      <c r="J1601" s="3">
        <f>+2250173617274</f>
        <v>2250173617274</v>
      </c>
      <c r="K1601" s="1" t="s">
        <v>19</v>
      </c>
      <c r="L1601" s="4" t="s">
        <v>5678</v>
      </c>
    </row>
    <row r="1602">
      <c r="A1602" s="1" t="s">
        <v>12</v>
      </c>
      <c r="B1602" s="1" t="s">
        <v>5679</v>
      </c>
      <c r="C1602" s="1" t="s">
        <v>5671</v>
      </c>
      <c r="D1602" s="1" t="s">
        <v>5680</v>
      </c>
      <c r="E1602" s="5">
        <v>37970.0</v>
      </c>
      <c r="F1602" s="1" t="s">
        <v>155</v>
      </c>
      <c r="G1602" s="1" t="s">
        <v>82</v>
      </c>
      <c r="H1602" s="1" t="s">
        <v>18</v>
      </c>
      <c r="I1602" s="3">
        <f>+2250777117149</f>
        <v>2250777117149</v>
      </c>
      <c r="J1602" s="3">
        <f>+2250708099790</f>
        <v>2250708099790</v>
      </c>
      <c r="K1602" s="1" t="s">
        <v>19</v>
      </c>
      <c r="L1602" s="4" t="s">
        <v>5681</v>
      </c>
    </row>
    <row r="1603">
      <c r="A1603" s="1" t="s">
        <v>12</v>
      </c>
      <c r="B1603" s="1" t="s">
        <v>5682</v>
      </c>
      <c r="C1603" s="1" t="s">
        <v>5671</v>
      </c>
      <c r="D1603" s="1" t="s">
        <v>5683</v>
      </c>
      <c r="E1603" s="2">
        <v>38392.0</v>
      </c>
      <c r="F1603" s="1" t="s">
        <v>62</v>
      </c>
      <c r="G1603" s="1" t="s">
        <v>17</v>
      </c>
      <c r="H1603" s="1" t="s">
        <v>18</v>
      </c>
      <c r="I1603" s="3">
        <f>+2250506306746</f>
        <v>2250506306746</v>
      </c>
      <c r="J1603" s="3">
        <f>+2250777354262</f>
        <v>2250777354262</v>
      </c>
      <c r="K1603" s="1" t="s">
        <v>19</v>
      </c>
      <c r="L1603" s="4" t="s">
        <v>5684</v>
      </c>
    </row>
    <row r="1604">
      <c r="A1604" s="1" t="s">
        <v>12</v>
      </c>
      <c r="B1604" s="1" t="s">
        <v>5685</v>
      </c>
      <c r="C1604" s="1" t="s">
        <v>5671</v>
      </c>
      <c r="D1604" s="1" t="s">
        <v>5686</v>
      </c>
      <c r="E1604" s="5">
        <v>37986.0</v>
      </c>
      <c r="F1604" s="1" t="s">
        <v>48</v>
      </c>
      <c r="G1604" s="1" t="s">
        <v>76</v>
      </c>
      <c r="H1604" s="1" t="s">
        <v>32</v>
      </c>
      <c r="I1604" s="3">
        <f>+2250503115455</f>
        <v>2250503115455</v>
      </c>
      <c r="J1604" s="3">
        <f>+2250141757325</f>
        <v>2250141757325</v>
      </c>
      <c r="K1604" s="1" t="s">
        <v>19</v>
      </c>
      <c r="L1604" s="4" t="s">
        <v>5687</v>
      </c>
    </row>
    <row r="1605">
      <c r="A1605" s="1" t="s">
        <v>12</v>
      </c>
      <c r="B1605" s="1" t="s">
        <v>5688</v>
      </c>
      <c r="C1605" s="1" t="s">
        <v>5689</v>
      </c>
      <c r="D1605" s="1" t="s">
        <v>5690</v>
      </c>
      <c r="E1605" s="2">
        <v>36680.0</v>
      </c>
      <c r="F1605" s="1" t="s">
        <v>81</v>
      </c>
      <c r="G1605" s="1" t="s">
        <v>82</v>
      </c>
      <c r="H1605" s="1" t="s">
        <v>18</v>
      </c>
      <c r="I1605" s="3">
        <f>+2250574929038</f>
        <v>2250574929038</v>
      </c>
      <c r="J1605" s="3">
        <f>+2250506929287</f>
        <v>2250506929287</v>
      </c>
      <c r="K1605" s="1" t="s">
        <v>19</v>
      </c>
      <c r="L1605" s="4" t="s">
        <v>5691</v>
      </c>
    </row>
    <row r="1606">
      <c r="A1606" s="1" t="s">
        <v>12</v>
      </c>
      <c r="B1606" s="1" t="s">
        <v>5692</v>
      </c>
      <c r="C1606" s="1" t="s">
        <v>5693</v>
      </c>
      <c r="D1606" s="1" t="s">
        <v>5694</v>
      </c>
      <c r="E1606" s="5">
        <v>37604.0</v>
      </c>
      <c r="F1606" s="1" t="s">
        <v>53</v>
      </c>
      <c r="G1606" s="1" t="s">
        <v>17</v>
      </c>
      <c r="H1606" s="1" t="s">
        <v>18</v>
      </c>
      <c r="I1606" s="3">
        <f>+2250101923478</f>
        <v>2250101923478</v>
      </c>
      <c r="J1606" s="3">
        <f>+2250708063234</f>
        <v>2250708063234</v>
      </c>
      <c r="K1606" s="1" t="s">
        <v>19</v>
      </c>
      <c r="L1606" s="4" t="s">
        <v>5695</v>
      </c>
    </row>
    <row r="1607">
      <c r="A1607" s="1" t="s">
        <v>12</v>
      </c>
      <c r="B1607" s="1" t="s">
        <v>5696</v>
      </c>
      <c r="C1607" s="1" t="s">
        <v>5697</v>
      </c>
      <c r="D1607" s="1" t="s">
        <v>5698</v>
      </c>
      <c r="E1607" s="2">
        <v>38481.0</v>
      </c>
      <c r="F1607" s="1" t="s">
        <v>155</v>
      </c>
      <c r="G1607" s="1" t="s">
        <v>76</v>
      </c>
      <c r="H1607" s="1" t="s">
        <v>32</v>
      </c>
      <c r="I1607" s="3">
        <f>+2250171088552</f>
        <v>2250171088552</v>
      </c>
      <c r="J1607" s="3">
        <f>+2250709302605</f>
        <v>2250709302605</v>
      </c>
      <c r="K1607" s="1" t="s">
        <v>19</v>
      </c>
      <c r="L1607" s="4" t="s">
        <v>5699</v>
      </c>
    </row>
    <row r="1608">
      <c r="A1608" s="1" t="s">
        <v>12</v>
      </c>
      <c r="B1608" s="1" t="s">
        <v>5700</v>
      </c>
      <c r="C1608" s="1" t="s">
        <v>5701</v>
      </c>
      <c r="D1608" s="1" t="s">
        <v>5702</v>
      </c>
      <c r="E1608" s="2">
        <v>37884.0</v>
      </c>
      <c r="F1608" s="1" t="s">
        <v>110</v>
      </c>
      <c r="G1608" s="1" t="s">
        <v>82</v>
      </c>
      <c r="H1608" s="1" t="s">
        <v>18</v>
      </c>
      <c r="I1608" s="3">
        <f>+2250103519293</f>
        <v>2250103519293</v>
      </c>
      <c r="J1608" s="3">
        <f>+2250576330278</f>
        <v>2250576330278</v>
      </c>
      <c r="K1608" s="1" t="s">
        <v>19</v>
      </c>
      <c r="L1608" s="4" t="s">
        <v>5703</v>
      </c>
    </row>
    <row r="1609">
      <c r="A1609" s="1" t="s">
        <v>12</v>
      </c>
      <c r="B1609" s="1" t="s">
        <v>5704</v>
      </c>
      <c r="C1609" s="1" t="s">
        <v>5705</v>
      </c>
      <c r="D1609" s="1" t="s">
        <v>5706</v>
      </c>
      <c r="E1609" s="5">
        <v>37908.0</v>
      </c>
      <c r="F1609" s="1" t="s">
        <v>30</v>
      </c>
      <c r="G1609" s="1" t="s">
        <v>31</v>
      </c>
      <c r="H1609" s="1" t="s">
        <v>32</v>
      </c>
      <c r="I1609" s="3">
        <f>+2250501365178</f>
        <v>2250501365178</v>
      </c>
      <c r="J1609" s="3">
        <f>+2250141557308</f>
        <v>2250141557308</v>
      </c>
      <c r="K1609" s="1" t="s">
        <v>19</v>
      </c>
      <c r="L1609" s="4" t="s">
        <v>5707</v>
      </c>
    </row>
    <row r="1610">
      <c r="A1610" s="1" t="s">
        <v>12</v>
      </c>
      <c r="B1610" s="1" t="s">
        <v>5708</v>
      </c>
      <c r="C1610" s="1" t="s">
        <v>5705</v>
      </c>
      <c r="D1610" s="1" t="s">
        <v>5709</v>
      </c>
      <c r="E1610" s="2">
        <v>37591.0</v>
      </c>
      <c r="F1610" s="1" t="s">
        <v>62</v>
      </c>
      <c r="G1610" s="1" t="s">
        <v>25</v>
      </c>
      <c r="H1610" s="1" t="s">
        <v>18</v>
      </c>
      <c r="I1610" s="3">
        <f>+2250768549852</f>
        <v>2250768549852</v>
      </c>
      <c r="J1610" s="3">
        <f>+2250777562798</f>
        <v>2250777562798</v>
      </c>
      <c r="K1610" s="1" t="s">
        <v>19</v>
      </c>
      <c r="L1610" s="4" t="s">
        <v>5710</v>
      </c>
    </row>
    <row r="1611">
      <c r="A1611" s="1" t="s">
        <v>12</v>
      </c>
      <c r="B1611" s="1" t="s">
        <v>5711</v>
      </c>
      <c r="C1611" s="1" t="s">
        <v>5705</v>
      </c>
      <c r="D1611" s="1" t="s">
        <v>5712</v>
      </c>
      <c r="E1611" s="2">
        <v>38665.0</v>
      </c>
      <c r="F1611" s="1" t="s">
        <v>62</v>
      </c>
      <c r="G1611" s="1" t="s">
        <v>25</v>
      </c>
      <c r="H1611" s="1" t="s">
        <v>18</v>
      </c>
      <c r="I1611" s="3">
        <f>+2250595027677</f>
        <v>2250595027677</v>
      </c>
      <c r="J1611" s="3">
        <f>+2250707279903</f>
        <v>2250707279903</v>
      </c>
      <c r="K1611" s="1" t="s">
        <v>19</v>
      </c>
      <c r="L1611" s="4" t="s">
        <v>5713</v>
      </c>
    </row>
    <row r="1612">
      <c r="A1612" s="1" t="s">
        <v>12</v>
      </c>
      <c r="B1612" s="1" t="s">
        <v>5714</v>
      </c>
      <c r="C1612" s="1" t="s">
        <v>5715</v>
      </c>
      <c r="D1612" s="1" t="s">
        <v>5716</v>
      </c>
      <c r="E1612" s="2">
        <v>38393.0</v>
      </c>
      <c r="F1612" s="1" t="s">
        <v>62</v>
      </c>
      <c r="G1612" s="1" t="s">
        <v>25</v>
      </c>
      <c r="H1612" s="1" t="s">
        <v>18</v>
      </c>
      <c r="I1612" s="3">
        <f>+2250709116620</f>
        <v>2250709116620</v>
      </c>
      <c r="J1612" s="3">
        <f>+2250707023188</f>
        <v>2250707023188</v>
      </c>
      <c r="K1612" s="1" t="s">
        <v>19</v>
      </c>
      <c r="L1612" s="4" t="s">
        <v>5717</v>
      </c>
    </row>
    <row r="1613">
      <c r="A1613" s="1" t="s">
        <v>12</v>
      </c>
      <c r="B1613" s="1" t="s">
        <v>5718</v>
      </c>
      <c r="C1613" s="1" t="s">
        <v>5719</v>
      </c>
      <c r="D1613" s="1" t="s">
        <v>5720</v>
      </c>
      <c r="E1613" s="5">
        <v>38703.0</v>
      </c>
      <c r="F1613" s="1" t="s">
        <v>62</v>
      </c>
      <c r="G1613" s="1" t="s">
        <v>25</v>
      </c>
      <c r="H1613" s="1" t="s">
        <v>18</v>
      </c>
      <c r="I1613" s="3">
        <f>+2250101127651</f>
        <v>2250101127651</v>
      </c>
      <c r="J1613" s="3">
        <f>+2250176999946</f>
        <v>2250176999946</v>
      </c>
      <c r="K1613" s="1" t="s">
        <v>19</v>
      </c>
      <c r="L1613" s="4" t="s">
        <v>5721</v>
      </c>
    </row>
    <row r="1614">
      <c r="A1614" s="1" t="s">
        <v>12</v>
      </c>
      <c r="B1614" s="1" t="s">
        <v>5722</v>
      </c>
      <c r="C1614" s="1" t="s">
        <v>5723</v>
      </c>
      <c r="D1614" s="1" t="s">
        <v>1671</v>
      </c>
      <c r="E1614" s="2">
        <v>37929.0</v>
      </c>
      <c r="F1614" s="1" t="s">
        <v>97</v>
      </c>
      <c r="G1614" s="1" t="s">
        <v>82</v>
      </c>
      <c r="H1614" s="1" t="s">
        <v>18</v>
      </c>
      <c r="I1614" s="3">
        <f>+2250565645835</f>
        <v>2250565645835</v>
      </c>
      <c r="J1614" s="3">
        <f>+2250707638199</f>
        <v>2250707638199</v>
      </c>
      <c r="K1614" s="1" t="s">
        <v>19</v>
      </c>
      <c r="L1614" s="4" t="s">
        <v>5724</v>
      </c>
    </row>
    <row r="1615">
      <c r="A1615" s="1" t="s">
        <v>12</v>
      </c>
      <c r="B1615" s="1" t="s">
        <v>5725</v>
      </c>
      <c r="C1615" s="1" t="s">
        <v>5723</v>
      </c>
      <c r="D1615" s="1" t="s">
        <v>5726</v>
      </c>
      <c r="E1615" s="5">
        <v>37218.0</v>
      </c>
      <c r="F1615" s="1" t="s">
        <v>92</v>
      </c>
      <c r="G1615" s="1" t="s">
        <v>31</v>
      </c>
      <c r="H1615" s="1" t="s">
        <v>32</v>
      </c>
      <c r="I1615" s="3">
        <f>+2250759863264</f>
        <v>2250759863264</v>
      </c>
      <c r="J1615" s="3">
        <f>+2250707486546</f>
        <v>2250707486546</v>
      </c>
      <c r="K1615" s="1" t="s">
        <v>19</v>
      </c>
      <c r="L1615" s="4" t="s">
        <v>5727</v>
      </c>
    </row>
    <row r="1616">
      <c r="A1616" s="1" t="s">
        <v>12</v>
      </c>
      <c r="B1616" s="1" t="s">
        <v>5728</v>
      </c>
      <c r="C1616" s="1" t="s">
        <v>5723</v>
      </c>
      <c r="D1616" s="1" t="s">
        <v>5729</v>
      </c>
      <c r="E1616" s="2">
        <v>37276.0</v>
      </c>
      <c r="F1616" s="1" t="s">
        <v>53</v>
      </c>
      <c r="G1616" s="1" t="s">
        <v>25</v>
      </c>
      <c r="H1616" s="1" t="s">
        <v>18</v>
      </c>
      <c r="I1616" s="3">
        <f>+2250574800500</f>
        <v>2250574800500</v>
      </c>
      <c r="J1616" s="3">
        <f>+2250505059398</f>
        <v>2250505059398</v>
      </c>
      <c r="K1616" s="1" t="s">
        <v>19</v>
      </c>
      <c r="L1616" s="4" t="s">
        <v>5730</v>
      </c>
    </row>
    <row r="1617">
      <c r="A1617" s="1" t="s">
        <v>12</v>
      </c>
      <c r="B1617" s="1" t="s">
        <v>5731</v>
      </c>
      <c r="C1617" s="1" t="s">
        <v>5723</v>
      </c>
      <c r="D1617" s="1" t="s">
        <v>1643</v>
      </c>
      <c r="E1617" s="5">
        <v>37543.0</v>
      </c>
      <c r="F1617" s="1" t="s">
        <v>53</v>
      </c>
      <c r="G1617" s="1" t="s">
        <v>17</v>
      </c>
      <c r="H1617" s="1" t="s">
        <v>18</v>
      </c>
      <c r="I1617" s="3">
        <f>+2250170274658</f>
        <v>2250170274658</v>
      </c>
      <c r="J1617" s="3">
        <f>+2250757254264</f>
        <v>2250757254264</v>
      </c>
      <c r="K1617" s="1" t="s">
        <v>19</v>
      </c>
      <c r="L1617" s="4" t="s">
        <v>5732</v>
      </c>
    </row>
    <row r="1618">
      <c r="A1618" s="1" t="s">
        <v>12</v>
      </c>
      <c r="B1618" s="1" t="s">
        <v>5733</v>
      </c>
      <c r="C1618" s="1" t="s">
        <v>5723</v>
      </c>
      <c r="D1618" s="1" t="s">
        <v>5734</v>
      </c>
      <c r="E1618" s="2">
        <v>37722.0</v>
      </c>
      <c r="F1618" s="1" t="s">
        <v>101</v>
      </c>
      <c r="G1618" s="1" t="s">
        <v>76</v>
      </c>
      <c r="H1618" s="1" t="s">
        <v>32</v>
      </c>
      <c r="I1618" s="3">
        <f>+2250708580037</f>
        <v>2250708580037</v>
      </c>
      <c r="J1618" s="3">
        <f>+2250707093345</f>
        <v>2250707093345</v>
      </c>
      <c r="K1618" s="1" t="s">
        <v>19</v>
      </c>
      <c r="L1618" s="4" t="s">
        <v>5735</v>
      </c>
    </row>
    <row r="1619">
      <c r="A1619" s="1" t="s">
        <v>12</v>
      </c>
      <c r="B1619" s="1" t="s">
        <v>5736</v>
      </c>
      <c r="C1619" s="1" t="s">
        <v>5723</v>
      </c>
      <c r="D1619" s="1" t="s">
        <v>5737</v>
      </c>
      <c r="E1619" s="5">
        <v>38336.0</v>
      </c>
      <c r="F1619" s="1" t="s">
        <v>53</v>
      </c>
      <c r="G1619" s="1" t="s">
        <v>17</v>
      </c>
      <c r="H1619" s="1" t="s">
        <v>18</v>
      </c>
      <c r="I1619" s="3">
        <f>+2250788388137</f>
        <v>2250788388137</v>
      </c>
      <c r="J1619" s="3">
        <f>+2250708552762</f>
        <v>2250708552762</v>
      </c>
      <c r="K1619" s="1" t="s">
        <v>19</v>
      </c>
      <c r="L1619" s="4" t="s">
        <v>5738</v>
      </c>
    </row>
    <row r="1620">
      <c r="A1620" s="1" t="s">
        <v>12</v>
      </c>
      <c r="B1620" s="1" t="s">
        <v>5739</v>
      </c>
      <c r="C1620" s="1" t="s">
        <v>5723</v>
      </c>
      <c r="D1620" s="1" t="s">
        <v>3398</v>
      </c>
      <c r="E1620" s="2">
        <v>37310.0</v>
      </c>
      <c r="F1620" s="1" t="s">
        <v>62</v>
      </c>
      <c r="G1620" s="1" t="s">
        <v>17</v>
      </c>
      <c r="H1620" s="1" t="s">
        <v>18</v>
      </c>
      <c r="I1620" s="3">
        <f>+2250576822230</f>
        <v>2250576822230</v>
      </c>
      <c r="J1620" s="3">
        <f>+2250707209369</f>
        <v>2250707209369</v>
      </c>
      <c r="K1620" s="1" t="s">
        <v>19</v>
      </c>
      <c r="L1620" s="4" t="s">
        <v>5740</v>
      </c>
    </row>
    <row r="1621">
      <c r="A1621" s="1" t="s">
        <v>12</v>
      </c>
      <c r="B1621" s="1" t="s">
        <v>5741</v>
      </c>
      <c r="C1621" s="1" t="s">
        <v>5742</v>
      </c>
      <c r="D1621" s="1" t="s">
        <v>5743</v>
      </c>
      <c r="E1621" s="2">
        <v>36595.0</v>
      </c>
      <c r="F1621" s="1" t="s">
        <v>138</v>
      </c>
      <c r="G1621" s="1" t="s">
        <v>31</v>
      </c>
      <c r="H1621" s="1" t="s">
        <v>32</v>
      </c>
      <c r="I1621" s="3">
        <f>+2250150272644</f>
        <v>2250150272644</v>
      </c>
      <c r="J1621" s="3">
        <f>+2250768278799</f>
        <v>2250768278799</v>
      </c>
      <c r="K1621" s="1" t="s">
        <v>19</v>
      </c>
      <c r="L1621" s="4" t="s">
        <v>5744</v>
      </c>
    </row>
    <row r="1622">
      <c r="A1622" s="1" t="s">
        <v>12</v>
      </c>
      <c r="B1622" s="1" t="s">
        <v>5745</v>
      </c>
      <c r="C1622" s="1" t="s">
        <v>5742</v>
      </c>
      <c r="D1622" s="1" t="s">
        <v>1774</v>
      </c>
      <c r="E1622" s="2">
        <v>37268.0</v>
      </c>
      <c r="F1622" s="1" t="s">
        <v>16</v>
      </c>
      <c r="G1622" s="1" t="s">
        <v>17</v>
      </c>
      <c r="H1622" s="1" t="s">
        <v>18</v>
      </c>
      <c r="I1622" s="3">
        <f>+2250703144656</f>
        <v>2250703144656</v>
      </c>
      <c r="J1622" s="3">
        <f>+2250707873982</f>
        <v>2250707873982</v>
      </c>
      <c r="K1622" s="1" t="s">
        <v>19</v>
      </c>
      <c r="L1622" s="4" t="s">
        <v>5746</v>
      </c>
    </row>
    <row r="1623">
      <c r="A1623" s="1" t="s">
        <v>12</v>
      </c>
      <c r="B1623" s="1" t="s">
        <v>5747</v>
      </c>
      <c r="C1623" s="1" t="s">
        <v>5742</v>
      </c>
      <c r="D1623" s="1" t="s">
        <v>5748</v>
      </c>
      <c r="E1623" s="2">
        <v>38427.0</v>
      </c>
      <c r="F1623" s="1" t="s">
        <v>101</v>
      </c>
      <c r="G1623" s="1" t="s">
        <v>76</v>
      </c>
      <c r="H1623" s="1" t="s">
        <v>32</v>
      </c>
      <c r="I1623" s="3">
        <f>+2250143525762</f>
        <v>2250143525762</v>
      </c>
      <c r="J1623" s="3">
        <f>+2250708912686</f>
        <v>2250708912686</v>
      </c>
      <c r="K1623" s="1" t="s">
        <v>19</v>
      </c>
      <c r="L1623" s="4" t="s">
        <v>5749</v>
      </c>
    </row>
    <row r="1624">
      <c r="A1624" s="1" t="s">
        <v>12</v>
      </c>
      <c r="B1624" s="1" t="s">
        <v>5750</v>
      </c>
      <c r="C1624" s="1" t="s">
        <v>5742</v>
      </c>
      <c r="D1624" s="1" t="s">
        <v>3210</v>
      </c>
      <c r="E1624" s="5">
        <v>37975.0</v>
      </c>
      <c r="F1624" s="1" t="s">
        <v>62</v>
      </c>
      <c r="G1624" s="1" t="s">
        <v>17</v>
      </c>
      <c r="H1624" s="1" t="s">
        <v>18</v>
      </c>
      <c r="I1624" s="3">
        <f>+2250797069184</f>
        <v>2250797069184</v>
      </c>
      <c r="J1624" s="3">
        <f>+2250779124326</f>
        <v>2250779124326</v>
      </c>
      <c r="K1624" s="1" t="s">
        <v>19</v>
      </c>
      <c r="L1624" s="4" t="s">
        <v>5751</v>
      </c>
    </row>
    <row r="1625">
      <c r="A1625" s="1" t="s">
        <v>12</v>
      </c>
      <c r="B1625" s="1" t="s">
        <v>5752</v>
      </c>
      <c r="C1625" s="1" t="s">
        <v>5742</v>
      </c>
      <c r="D1625" s="1" t="s">
        <v>5753</v>
      </c>
      <c r="E1625" s="2">
        <v>36600.0</v>
      </c>
      <c r="F1625" s="1" t="s">
        <v>16</v>
      </c>
      <c r="G1625" s="1" t="s">
        <v>17</v>
      </c>
      <c r="H1625" s="1" t="s">
        <v>18</v>
      </c>
      <c r="I1625" s="3">
        <f>+2250787483706</f>
        <v>2250787483706</v>
      </c>
      <c r="J1625" s="3">
        <f>+2250555208809</f>
        <v>2250555208809</v>
      </c>
      <c r="K1625" s="1" t="s">
        <v>19</v>
      </c>
      <c r="L1625" s="4" t="s">
        <v>5754</v>
      </c>
    </row>
    <row r="1626">
      <c r="A1626" s="1" t="s">
        <v>12</v>
      </c>
      <c r="B1626" s="1" t="s">
        <v>5755</v>
      </c>
      <c r="C1626" s="1" t="s">
        <v>5756</v>
      </c>
      <c r="D1626" s="1" t="s">
        <v>5757</v>
      </c>
      <c r="E1626" s="2">
        <v>38470.0</v>
      </c>
      <c r="F1626" s="1" t="s">
        <v>16</v>
      </c>
      <c r="G1626" s="1" t="s">
        <v>17</v>
      </c>
      <c r="H1626" s="1" t="s">
        <v>18</v>
      </c>
      <c r="I1626" s="3">
        <f>+2250779582835</f>
        <v>2250779582835</v>
      </c>
      <c r="J1626" s="3">
        <f>+2250707297298</f>
        <v>2250707297298</v>
      </c>
      <c r="K1626" s="1" t="s">
        <v>19</v>
      </c>
      <c r="L1626" s="4" t="s">
        <v>5758</v>
      </c>
    </row>
    <row r="1627">
      <c r="A1627" s="1" t="s">
        <v>12</v>
      </c>
      <c r="B1627" s="1" t="s">
        <v>5759</v>
      </c>
      <c r="C1627" s="1" t="s">
        <v>5756</v>
      </c>
      <c r="D1627" s="1" t="s">
        <v>5760</v>
      </c>
      <c r="E1627" s="2">
        <v>37347.0</v>
      </c>
      <c r="F1627" s="1" t="s">
        <v>16</v>
      </c>
      <c r="G1627" s="1" t="s">
        <v>25</v>
      </c>
      <c r="H1627" s="1" t="s">
        <v>18</v>
      </c>
      <c r="I1627" s="3">
        <f>+2250758504333</f>
        <v>2250758504333</v>
      </c>
      <c r="J1627" s="3">
        <f>+2250708457782</f>
        <v>2250708457782</v>
      </c>
      <c r="K1627" s="1" t="s">
        <v>19</v>
      </c>
      <c r="L1627" s="4" t="s">
        <v>5761</v>
      </c>
    </row>
    <row r="1628">
      <c r="A1628" s="1" t="s">
        <v>12</v>
      </c>
      <c r="B1628" s="1" t="s">
        <v>5762</v>
      </c>
      <c r="C1628" s="1" t="s">
        <v>5756</v>
      </c>
      <c r="D1628" s="1" t="s">
        <v>5763</v>
      </c>
      <c r="E1628" s="2">
        <v>37622.0</v>
      </c>
      <c r="F1628" s="1" t="s">
        <v>167</v>
      </c>
      <c r="G1628" s="1" t="s">
        <v>17</v>
      </c>
      <c r="H1628" s="1" t="s">
        <v>18</v>
      </c>
      <c r="I1628" s="3">
        <f>+2250767879660</f>
        <v>2250767879660</v>
      </c>
      <c r="J1628" s="3">
        <f>+2250748602711</f>
        <v>2250748602711</v>
      </c>
      <c r="K1628" s="1" t="s">
        <v>19</v>
      </c>
      <c r="L1628" s="4" t="s">
        <v>5764</v>
      </c>
    </row>
    <row r="1629">
      <c r="A1629" s="1" t="s">
        <v>12</v>
      </c>
      <c r="B1629" s="1" t="s">
        <v>5765</v>
      </c>
      <c r="C1629" s="1" t="s">
        <v>5756</v>
      </c>
      <c r="D1629" s="1" t="s">
        <v>5766</v>
      </c>
      <c r="E1629" s="2">
        <v>37739.0</v>
      </c>
      <c r="F1629" s="1" t="s">
        <v>16</v>
      </c>
      <c r="G1629" s="1" t="s">
        <v>82</v>
      </c>
      <c r="H1629" s="1" t="s">
        <v>18</v>
      </c>
      <c r="I1629" s="3">
        <f>+2250757740643</f>
        <v>2250757740643</v>
      </c>
      <c r="J1629" s="3">
        <f>+2250749187458</f>
        <v>2250749187458</v>
      </c>
      <c r="K1629" s="1" t="s">
        <v>19</v>
      </c>
      <c r="L1629" s="4" t="s">
        <v>5767</v>
      </c>
    </row>
    <row r="1630">
      <c r="A1630" s="1" t="s">
        <v>12</v>
      </c>
      <c r="B1630" s="1" t="s">
        <v>5768</v>
      </c>
      <c r="C1630" s="1" t="s">
        <v>5756</v>
      </c>
      <c r="D1630" s="1" t="s">
        <v>5769</v>
      </c>
      <c r="E1630" s="2">
        <v>36536.0</v>
      </c>
      <c r="F1630" s="1" t="s">
        <v>62</v>
      </c>
      <c r="G1630" s="1" t="s">
        <v>17</v>
      </c>
      <c r="H1630" s="1" t="s">
        <v>18</v>
      </c>
      <c r="I1630" s="3">
        <f t="shared" ref="I1630:J1630" si="48">+2250544454160</f>
        <v>2250544454160</v>
      </c>
      <c r="J1630" s="3">
        <f t="shared" si="48"/>
        <v>2250544454160</v>
      </c>
      <c r="K1630" s="1" t="s">
        <v>19</v>
      </c>
      <c r="L1630" s="4" t="s">
        <v>5770</v>
      </c>
    </row>
    <row r="1631">
      <c r="A1631" s="1" t="s">
        <v>12</v>
      </c>
      <c r="B1631" s="1" t="s">
        <v>5771</v>
      </c>
      <c r="C1631" s="1" t="s">
        <v>5772</v>
      </c>
      <c r="D1631" s="1" t="s">
        <v>5773</v>
      </c>
      <c r="E1631" s="2">
        <v>38205.0</v>
      </c>
      <c r="F1631" s="1" t="s">
        <v>24</v>
      </c>
      <c r="G1631" s="1" t="s">
        <v>82</v>
      </c>
      <c r="H1631" s="1" t="s">
        <v>18</v>
      </c>
      <c r="I1631" s="3">
        <f>+2250797366189</f>
        <v>2250797366189</v>
      </c>
      <c r="J1631" s="3">
        <f>+2250709316856</f>
        <v>2250709316856</v>
      </c>
      <c r="K1631" s="1" t="s">
        <v>19</v>
      </c>
      <c r="L1631" s="4" t="s">
        <v>5774</v>
      </c>
    </row>
    <row r="1632">
      <c r="A1632" s="1" t="s">
        <v>12</v>
      </c>
      <c r="B1632" s="1" t="s">
        <v>5775</v>
      </c>
      <c r="C1632" s="1" t="s">
        <v>5772</v>
      </c>
      <c r="D1632" s="1" t="s">
        <v>5776</v>
      </c>
      <c r="E1632" s="5">
        <v>38700.0</v>
      </c>
      <c r="F1632" s="1" t="s">
        <v>62</v>
      </c>
      <c r="G1632" s="1" t="s">
        <v>25</v>
      </c>
      <c r="H1632" s="1" t="s">
        <v>18</v>
      </c>
      <c r="I1632" s="3">
        <f>+2250574971720</f>
        <v>2250574971720</v>
      </c>
      <c r="J1632" s="3">
        <f>+2250707077662</f>
        <v>2250707077662</v>
      </c>
      <c r="K1632" s="1" t="s">
        <v>19</v>
      </c>
      <c r="L1632" s="4" t="s">
        <v>5777</v>
      </c>
    </row>
    <row r="1633">
      <c r="A1633" s="1" t="s">
        <v>12</v>
      </c>
      <c r="B1633" s="1" t="s">
        <v>5778</v>
      </c>
      <c r="C1633" s="1" t="s">
        <v>5772</v>
      </c>
      <c r="D1633" s="1" t="s">
        <v>5779</v>
      </c>
      <c r="E1633" s="5">
        <v>36156.0</v>
      </c>
      <c r="F1633" s="1" t="s">
        <v>586</v>
      </c>
      <c r="G1633" s="1" t="s">
        <v>82</v>
      </c>
      <c r="H1633" s="1" t="s">
        <v>18</v>
      </c>
      <c r="I1633" s="3">
        <f>+2250748265303</f>
        <v>2250748265303</v>
      </c>
      <c r="J1633" s="3">
        <f>+2250709777793</f>
        <v>2250709777793</v>
      </c>
      <c r="K1633" s="1" t="s">
        <v>19</v>
      </c>
      <c r="L1633" s="4" t="s">
        <v>5780</v>
      </c>
    </row>
    <row r="1634">
      <c r="A1634" s="1" t="s">
        <v>12</v>
      </c>
      <c r="B1634" s="1" t="s">
        <v>5781</v>
      </c>
      <c r="C1634" s="1" t="s">
        <v>5782</v>
      </c>
      <c r="D1634" s="1" t="s">
        <v>5783</v>
      </c>
      <c r="E1634" s="2">
        <v>35537.0</v>
      </c>
      <c r="F1634" s="1" t="s">
        <v>37</v>
      </c>
      <c r="G1634" s="1" t="s">
        <v>82</v>
      </c>
      <c r="H1634" s="1" t="s">
        <v>18</v>
      </c>
      <c r="I1634" s="3">
        <f>+2250759625280</f>
        <v>2250759625280</v>
      </c>
      <c r="J1634" s="3">
        <f>+2250102045454</f>
        <v>2250102045454</v>
      </c>
      <c r="K1634" s="1" t="s">
        <v>19</v>
      </c>
      <c r="L1634" s="4" t="s">
        <v>5784</v>
      </c>
    </row>
    <row r="1635">
      <c r="A1635" s="1" t="s">
        <v>12</v>
      </c>
      <c r="B1635" s="1" t="s">
        <v>5785</v>
      </c>
      <c r="C1635" s="1" t="s">
        <v>5786</v>
      </c>
      <c r="D1635" s="1" t="s">
        <v>5787</v>
      </c>
      <c r="E1635" s="2">
        <v>38025.0</v>
      </c>
      <c r="F1635" s="1" t="s">
        <v>92</v>
      </c>
      <c r="G1635" s="1" t="s">
        <v>76</v>
      </c>
      <c r="H1635" s="1" t="s">
        <v>32</v>
      </c>
      <c r="I1635" s="3">
        <f>+2250788339410</f>
        <v>2250788339410</v>
      </c>
      <c r="J1635" s="3">
        <f>+2250746083226</f>
        <v>2250746083226</v>
      </c>
      <c r="K1635" s="1" t="s">
        <v>19</v>
      </c>
      <c r="L1635" s="4" t="s">
        <v>5788</v>
      </c>
    </row>
    <row r="1636">
      <c r="A1636" s="1" t="s">
        <v>12</v>
      </c>
      <c r="B1636" s="1" t="s">
        <v>5789</v>
      </c>
      <c r="C1636" s="1" t="s">
        <v>5790</v>
      </c>
      <c r="D1636" s="1" t="s">
        <v>5791</v>
      </c>
      <c r="E1636" s="2">
        <v>37646.0</v>
      </c>
      <c r="F1636" s="1" t="s">
        <v>30</v>
      </c>
      <c r="G1636" s="1" t="s">
        <v>31</v>
      </c>
      <c r="H1636" s="1" t="s">
        <v>32</v>
      </c>
      <c r="I1636" s="3">
        <f>+2250101604451</f>
        <v>2250101604451</v>
      </c>
      <c r="J1636" s="3">
        <f>+2250749038075</f>
        <v>2250749038075</v>
      </c>
      <c r="K1636" s="1" t="s">
        <v>19</v>
      </c>
      <c r="L1636" s="4" t="s">
        <v>5792</v>
      </c>
    </row>
    <row r="1637">
      <c r="A1637" s="1" t="s">
        <v>12</v>
      </c>
      <c r="B1637" s="1" t="s">
        <v>5793</v>
      </c>
      <c r="C1637" s="1" t="s">
        <v>5794</v>
      </c>
      <c r="D1637" s="1" t="s">
        <v>5795</v>
      </c>
      <c r="E1637" s="2">
        <v>37656.0</v>
      </c>
      <c r="F1637" s="1" t="s">
        <v>138</v>
      </c>
      <c r="G1637" s="1" t="s">
        <v>31</v>
      </c>
      <c r="H1637" s="1" t="s">
        <v>32</v>
      </c>
      <c r="I1637" s="3">
        <f>+2250788418446</f>
        <v>2250788418446</v>
      </c>
      <c r="J1637" s="3">
        <f>+2250788731813</f>
        <v>2250788731813</v>
      </c>
      <c r="K1637" s="1" t="s">
        <v>19</v>
      </c>
      <c r="L1637" s="4" t="s">
        <v>5796</v>
      </c>
    </row>
    <row r="1638">
      <c r="A1638" s="1" t="s">
        <v>12</v>
      </c>
      <c r="B1638" s="1" t="s">
        <v>5797</v>
      </c>
      <c r="C1638" s="1" t="s">
        <v>5798</v>
      </c>
      <c r="D1638" s="1" t="s">
        <v>2601</v>
      </c>
      <c r="E1638" s="2">
        <v>37264.0</v>
      </c>
      <c r="F1638" s="1" t="s">
        <v>110</v>
      </c>
      <c r="G1638" s="1" t="s">
        <v>82</v>
      </c>
      <c r="H1638" s="1" t="s">
        <v>18</v>
      </c>
      <c r="I1638" s="3">
        <f>+2250707800011</f>
        <v>2250707800011</v>
      </c>
      <c r="J1638" s="3">
        <f>+2250747178799</f>
        <v>2250747178799</v>
      </c>
      <c r="K1638" s="1" t="s">
        <v>19</v>
      </c>
      <c r="L1638" s="4" t="s">
        <v>5799</v>
      </c>
    </row>
    <row r="1639">
      <c r="A1639" s="1" t="s">
        <v>12</v>
      </c>
      <c r="B1639" s="1" t="s">
        <v>5800</v>
      </c>
      <c r="C1639" s="1" t="s">
        <v>5801</v>
      </c>
      <c r="D1639" s="1" t="s">
        <v>5802</v>
      </c>
      <c r="E1639" s="2">
        <v>36718.0</v>
      </c>
      <c r="F1639" s="1" t="s">
        <v>155</v>
      </c>
      <c r="G1639" s="1" t="s">
        <v>82</v>
      </c>
      <c r="H1639" s="1" t="s">
        <v>18</v>
      </c>
      <c r="I1639" s="3">
        <f>+2250759266494</f>
        <v>2250759266494</v>
      </c>
      <c r="J1639" s="3">
        <f>+2250749044500</f>
        <v>2250749044500</v>
      </c>
      <c r="K1639" s="1" t="s">
        <v>19</v>
      </c>
      <c r="L1639" s="4" t="s">
        <v>5803</v>
      </c>
    </row>
    <row r="1640">
      <c r="A1640" s="1" t="s">
        <v>12</v>
      </c>
      <c r="B1640" s="1" t="s">
        <v>5804</v>
      </c>
      <c r="C1640" s="1" t="s">
        <v>5801</v>
      </c>
      <c r="D1640" s="1" t="s">
        <v>5805</v>
      </c>
      <c r="E1640" s="2">
        <v>38475.0</v>
      </c>
      <c r="F1640" s="1" t="s">
        <v>53</v>
      </c>
      <c r="G1640" s="1" t="s">
        <v>17</v>
      </c>
      <c r="H1640" s="1" t="s">
        <v>18</v>
      </c>
      <c r="I1640" s="3">
        <f>+2250769710086</f>
        <v>2250769710086</v>
      </c>
      <c r="J1640" s="3">
        <f>+2250700700000</f>
        <v>2250700700000</v>
      </c>
      <c r="K1640" s="1" t="s">
        <v>19</v>
      </c>
      <c r="L1640" s="4" t="s">
        <v>5806</v>
      </c>
    </row>
    <row r="1641">
      <c r="A1641" s="1" t="s">
        <v>12</v>
      </c>
      <c r="B1641" s="1" t="s">
        <v>5807</v>
      </c>
      <c r="C1641" s="1" t="s">
        <v>5808</v>
      </c>
      <c r="D1641" s="1" t="s">
        <v>5809</v>
      </c>
      <c r="E1641" s="2">
        <v>37622.0</v>
      </c>
      <c r="F1641" s="1" t="s">
        <v>16</v>
      </c>
      <c r="G1641" s="1" t="s">
        <v>25</v>
      </c>
      <c r="H1641" s="1" t="s">
        <v>18</v>
      </c>
      <c r="I1641" s="3">
        <f>+2250566179493</f>
        <v>2250566179493</v>
      </c>
      <c r="J1641" s="3">
        <f>+2250778926322</f>
        <v>2250778926322</v>
      </c>
      <c r="K1641" s="1" t="s">
        <v>19</v>
      </c>
      <c r="L1641" s="4" t="s">
        <v>5810</v>
      </c>
    </row>
    <row r="1642">
      <c r="A1642" s="1" t="s">
        <v>12</v>
      </c>
      <c r="B1642" s="1" t="s">
        <v>5811</v>
      </c>
      <c r="C1642" s="1" t="s">
        <v>5812</v>
      </c>
      <c r="D1642" s="1" t="s">
        <v>5813</v>
      </c>
      <c r="E1642" s="2">
        <v>36470.0</v>
      </c>
      <c r="F1642" s="1" t="s">
        <v>138</v>
      </c>
      <c r="G1642" s="1" t="s">
        <v>76</v>
      </c>
      <c r="H1642" s="1" t="s">
        <v>32</v>
      </c>
      <c r="I1642" s="3">
        <f>+2250706023617</f>
        <v>2250706023617</v>
      </c>
      <c r="J1642" s="3">
        <f>+2250709982442</f>
        <v>2250709982442</v>
      </c>
      <c r="K1642" s="1" t="s">
        <v>19</v>
      </c>
      <c r="L1642" s="4" t="s">
        <v>5814</v>
      </c>
    </row>
    <row r="1643">
      <c r="A1643" s="1" t="s">
        <v>12</v>
      </c>
      <c r="B1643" s="1" t="s">
        <v>5815</v>
      </c>
      <c r="C1643" s="1" t="s">
        <v>5812</v>
      </c>
      <c r="D1643" s="1" t="s">
        <v>5816</v>
      </c>
      <c r="E1643" s="2">
        <v>37331.0</v>
      </c>
      <c r="F1643" s="1" t="s">
        <v>138</v>
      </c>
      <c r="G1643" s="1" t="s">
        <v>76</v>
      </c>
      <c r="H1643" s="1" t="s">
        <v>32</v>
      </c>
      <c r="I1643" s="3">
        <f>+2250768688632</f>
        <v>2250768688632</v>
      </c>
      <c r="J1643" s="3">
        <f>+2250759756438</f>
        <v>2250759756438</v>
      </c>
      <c r="K1643" s="1" t="s">
        <v>19</v>
      </c>
      <c r="L1643" s="4" t="s">
        <v>5817</v>
      </c>
    </row>
    <row r="1644">
      <c r="A1644" s="1" t="s">
        <v>12</v>
      </c>
      <c r="B1644" s="1" t="s">
        <v>5818</v>
      </c>
      <c r="C1644" s="1" t="s">
        <v>5812</v>
      </c>
      <c r="D1644" s="1" t="s">
        <v>5819</v>
      </c>
      <c r="E1644" s="2">
        <v>38510.0</v>
      </c>
      <c r="F1644" s="1" t="s">
        <v>48</v>
      </c>
      <c r="G1644" s="1" t="s">
        <v>76</v>
      </c>
      <c r="H1644" s="1" t="s">
        <v>32</v>
      </c>
      <c r="I1644" s="3">
        <f>+2250707930453</f>
        <v>2250707930453</v>
      </c>
      <c r="J1644" s="3">
        <f>+2250172704628</f>
        <v>2250172704628</v>
      </c>
      <c r="K1644" s="1" t="s">
        <v>19</v>
      </c>
      <c r="L1644" s="4" t="s">
        <v>5820</v>
      </c>
    </row>
    <row r="1645">
      <c r="A1645" s="1" t="s">
        <v>12</v>
      </c>
      <c r="B1645" s="1" t="s">
        <v>5821</v>
      </c>
      <c r="C1645" s="1" t="s">
        <v>5812</v>
      </c>
      <c r="D1645" s="1" t="s">
        <v>5822</v>
      </c>
      <c r="E1645" s="2">
        <v>36949.0</v>
      </c>
      <c r="F1645" s="1" t="s">
        <v>288</v>
      </c>
      <c r="G1645" s="1" t="s">
        <v>76</v>
      </c>
      <c r="H1645" s="1" t="s">
        <v>32</v>
      </c>
      <c r="I1645" s="3">
        <f>+2250777261367</f>
        <v>2250777261367</v>
      </c>
      <c r="J1645" s="3">
        <f>+2250748208920</f>
        <v>2250748208920</v>
      </c>
      <c r="K1645" s="1" t="s">
        <v>19</v>
      </c>
      <c r="L1645" s="4" t="s">
        <v>5823</v>
      </c>
    </row>
    <row r="1646">
      <c r="A1646" s="1" t="s">
        <v>12</v>
      </c>
      <c r="B1646" s="1" t="s">
        <v>5824</v>
      </c>
      <c r="C1646" s="1" t="s">
        <v>5812</v>
      </c>
      <c r="D1646" s="1" t="s">
        <v>5825</v>
      </c>
      <c r="E1646" s="2">
        <v>37899.0</v>
      </c>
      <c r="F1646" s="1" t="s">
        <v>62</v>
      </c>
      <c r="G1646" s="1" t="s">
        <v>25</v>
      </c>
      <c r="H1646" s="1" t="s">
        <v>18</v>
      </c>
      <c r="I1646" s="3">
        <f>+2250565384783</f>
        <v>2250565384783</v>
      </c>
      <c r="J1646" s="3">
        <f>+2250707114505</f>
        <v>2250707114505</v>
      </c>
      <c r="K1646" s="1" t="s">
        <v>19</v>
      </c>
      <c r="L1646" s="4" t="s">
        <v>5826</v>
      </c>
    </row>
    <row r="1647">
      <c r="A1647" s="1" t="s">
        <v>12</v>
      </c>
      <c r="B1647" s="1" t="s">
        <v>5827</v>
      </c>
      <c r="C1647" s="1" t="s">
        <v>5812</v>
      </c>
      <c r="D1647" s="1" t="s">
        <v>5828</v>
      </c>
      <c r="E1647" s="5">
        <v>37605.0</v>
      </c>
      <c r="F1647" s="1" t="s">
        <v>24</v>
      </c>
      <c r="G1647" s="1" t="s">
        <v>17</v>
      </c>
      <c r="H1647" s="1" t="s">
        <v>18</v>
      </c>
      <c r="I1647" s="3">
        <f>+2250779974988</f>
        <v>2250779974988</v>
      </c>
      <c r="J1647" s="3">
        <f>+2250141471549</f>
        <v>2250141471549</v>
      </c>
      <c r="K1647" s="1" t="s">
        <v>19</v>
      </c>
      <c r="L1647" s="4" t="s">
        <v>5829</v>
      </c>
    </row>
    <row r="1648">
      <c r="A1648" s="1" t="s">
        <v>12</v>
      </c>
      <c r="B1648" s="1" t="s">
        <v>5830</v>
      </c>
      <c r="C1648" s="1" t="s">
        <v>5831</v>
      </c>
      <c r="D1648" s="1" t="s">
        <v>5832</v>
      </c>
      <c r="E1648" s="2">
        <v>37141.0</v>
      </c>
      <c r="F1648" s="1" t="s">
        <v>16</v>
      </c>
      <c r="G1648" s="1" t="s">
        <v>17</v>
      </c>
      <c r="H1648" s="1" t="s">
        <v>18</v>
      </c>
      <c r="I1648" s="3">
        <f>+2250749104719</f>
        <v>2250749104719</v>
      </c>
      <c r="J1648" s="3">
        <f>+2250707736223</f>
        <v>2250707736223</v>
      </c>
      <c r="K1648" s="1" t="s">
        <v>19</v>
      </c>
      <c r="L1648" s="4" t="s">
        <v>5833</v>
      </c>
    </row>
    <row r="1649">
      <c r="A1649" s="1" t="s">
        <v>12</v>
      </c>
      <c r="B1649" s="1" t="s">
        <v>5834</v>
      </c>
      <c r="C1649" s="1" t="s">
        <v>5831</v>
      </c>
      <c r="D1649" s="1" t="s">
        <v>5835</v>
      </c>
      <c r="E1649" s="2">
        <v>37117.0</v>
      </c>
      <c r="F1649" s="1" t="s">
        <v>37</v>
      </c>
      <c r="G1649" s="1" t="s">
        <v>82</v>
      </c>
      <c r="H1649" s="1" t="s">
        <v>18</v>
      </c>
      <c r="I1649" s="3">
        <f>+2250787585115</f>
        <v>2250787585115</v>
      </c>
      <c r="J1649" s="3">
        <f>+2250707009057</f>
        <v>2250707009057</v>
      </c>
      <c r="K1649" s="1" t="s">
        <v>19</v>
      </c>
      <c r="L1649" s="4" t="s">
        <v>5836</v>
      </c>
    </row>
    <row r="1650">
      <c r="A1650" s="1" t="s">
        <v>12</v>
      </c>
      <c r="B1650" s="1" t="s">
        <v>5837</v>
      </c>
      <c r="C1650" s="1" t="s">
        <v>5831</v>
      </c>
      <c r="D1650" s="1" t="s">
        <v>5838</v>
      </c>
      <c r="E1650" s="2">
        <v>36987.0</v>
      </c>
      <c r="F1650" s="1" t="s">
        <v>24</v>
      </c>
      <c r="G1650" s="1" t="s">
        <v>17</v>
      </c>
      <c r="H1650" s="1" t="s">
        <v>18</v>
      </c>
      <c r="I1650" s="3">
        <f>+2250759127716</f>
        <v>2250759127716</v>
      </c>
      <c r="J1650" s="3">
        <f>+2250709248834</f>
        <v>2250709248834</v>
      </c>
      <c r="K1650" s="1" t="s">
        <v>19</v>
      </c>
      <c r="L1650" s="4" t="s">
        <v>5839</v>
      </c>
    </row>
    <row r="1651">
      <c r="A1651" s="1" t="s">
        <v>12</v>
      </c>
      <c r="B1651" s="1" t="s">
        <v>5840</v>
      </c>
      <c r="C1651" s="1" t="s">
        <v>5841</v>
      </c>
      <c r="D1651" s="1" t="s">
        <v>5842</v>
      </c>
      <c r="E1651" s="2">
        <v>38035.0</v>
      </c>
      <c r="F1651" s="1" t="s">
        <v>110</v>
      </c>
      <c r="G1651" s="1" t="s">
        <v>82</v>
      </c>
      <c r="H1651" s="1" t="s">
        <v>18</v>
      </c>
      <c r="I1651" s="3">
        <f>+2250778592914</f>
        <v>2250778592914</v>
      </c>
      <c r="J1651" s="3">
        <f>+2250708901520</f>
        <v>2250708901520</v>
      </c>
      <c r="K1651" s="1" t="s">
        <v>19</v>
      </c>
      <c r="L1651" s="4" t="s">
        <v>5843</v>
      </c>
    </row>
    <row r="1652">
      <c r="A1652" s="1" t="s">
        <v>12</v>
      </c>
      <c r="B1652" s="1" t="s">
        <v>5844</v>
      </c>
      <c r="C1652" s="1" t="s">
        <v>5845</v>
      </c>
      <c r="D1652" s="1" t="s">
        <v>5846</v>
      </c>
      <c r="E1652" s="2">
        <v>37394.0</v>
      </c>
      <c r="F1652" s="1" t="s">
        <v>70</v>
      </c>
      <c r="G1652" s="1" t="s">
        <v>31</v>
      </c>
      <c r="H1652" s="1" t="s">
        <v>32</v>
      </c>
      <c r="I1652" s="3">
        <f>+2250170421484</f>
        <v>2250170421484</v>
      </c>
      <c r="J1652" s="3">
        <f>+2250574427014</f>
        <v>2250574427014</v>
      </c>
      <c r="K1652" s="1" t="s">
        <v>19</v>
      </c>
      <c r="L1652" s="4" t="s">
        <v>5847</v>
      </c>
    </row>
    <row r="1653">
      <c r="A1653" s="1" t="s">
        <v>12</v>
      </c>
      <c r="B1653" s="1" t="s">
        <v>5848</v>
      </c>
      <c r="C1653" s="1" t="s">
        <v>5845</v>
      </c>
      <c r="D1653" s="1" t="s">
        <v>2841</v>
      </c>
      <c r="E1653" s="2">
        <v>37232.0</v>
      </c>
      <c r="F1653" s="1" t="s">
        <v>138</v>
      </c>
      <c r="G1653" s="1" t="s">
        <v>76</v>
      </c>
      <c r="H1653" s="1" t="s">
        <v>32</v>
      </c>
      <c r="I1653" s="3">
        <f>+2250556878465</f>
        <v>2250556878465</v>
      </c>
      <c r="J1653" s="3">
        <f>+2250748558677</f>
        <v>2250748558677</v>
      </c>
      <c r="K1653" s="1" t="s">
        <v>19</v>
      </c>
      <c r="L1653" s="4" t="s">
        <v>5849</v>
      </c>
    </row>
    <row r="1654">
      <c r="A1654" s="1" t="s">
        <v>12</v>
      </c>
      <c r="B1654" s="1" t="s">
        <v>5850</v>
      </c>
      <c r="C1654" s="1" t="s">
        <v>5851</v>
      </c>
      <c r="D1654" s="1" t="s">
        <v>5852</v>
      </c>
      <c r="E1654" s="2">
        <v>37439.0</v>
      </c>
      <c r="F1654" s="1" t="s">
        <v>155</v>
      </c>
      <c r="G1654" s="1" t="s">
        <v>82</v>
      </c>
      <c r="H1654" s="1" t="s">
        <v>18</v>
      </c>
      <c r="I1654" s="3">
        <f>+2250141352642</f>
        <v>2250141352642</v>
      </c>
      <c r="J1654" s="3">
        <f>+2250747719136</f>
        <v>2250747719136</v>
      </c>
      <c r="K1654" s="1" t="s">
        <v>19</v>
      </c>
      <c r="L1654" s="4" t="s">
        <v>5853</v>
      </c>
    </row>
    <row r="1655">
      <c r="A1655" s="1" t="s">
        <v>12</v>
      </c>
      <c r="B1655" s="1" t="s">
        <v>5854</v>
      </c>
      <c r="C1655" s="1" t="s">
        <v>5855</v>
      </c>
      <c r="D1655" s="1" t="s">
        <v>5856</v>
      </c>
      <c r="E1655" s="5">
        <v>37583.0</v>
      </c>
      <c r="F1655" s="1" t="s">
        <v>62</v>
      </c>
      <c r="G1655" s="1" t="s">
        <v>17</v>
      </c>
      <c r="H1655" s="1" t="s">
        <v>18</v>
      </c>
      <c r="I1655" s="3">
        <f>+2250173710685</f>
        <v>2250173710685</v>
      </c>
      <c r="J1655" s="3">
        <f>+2250142071615</f>
        <v>2250142071615</v>
      </c>
      <c r="K1655" s="1" t="s">
        <v>19</v>
      </c>
      <c r="L1655" s="4" t="s">
        <v>5857</v>
      </c>
    </row>
    <row r="1656">
      <c r="A1656" s="1" t="s">
        <v>12</v>
      </c>
      <c r="B1656" s="1" t="s">
        <v>5858</v>
      </c>
      <c r="C1656" s="1" t="s">
        <v>5859</v>
      </c>
      <c r="D1656" s="1" t="s">
        <v>5860</v>
      </c>
      <c r="E1656" s="2">
        <v>37885.0</v>
      </c>
      <c r="F1656" s="1" t="s">
        <v>53</v>
      </c>
      <c r="G1656" s="1" t="s">
        <v>25</v>
      </c>
      <c r="H1656" s="1" t="s">
        <v>18</v>
      </c>
      <c r="I1656" s="3">
        <f>+2250564199697</f>
        <v>2250564199697</v>
      </c>
      <c r="J1656" s="3">
        <f>+2250505630566</f>
        <v>2250505630566</v>
      </c>
      <c r="K1656" s="1" t="s">
        <v>19</v>
      </c>
      <c r="L1656" s="4" t="s">
        <v>5861</v>
      </c>
    </row>
    <row r="1657">
      <c r="A1657" s="1" t="s">
        <v>12</v>
      </c>
      <c r="B1657" s="1" t="s">
        <v>5862</v>
      </c>
      <c r="C1657" s="1" t="s">
        <v>5859</v>
      </c>
      <c r="D1657" s="1" t="s">
        <v>5863</v>
      </c>
      <c r="E1657" s="5">
        <v>37560.0</v>
      </c>
      <c r="F1657" s="1" t="s">
        <v>81</v>
      </c>
      <c r="G1657" s="1" t="s">
        <v>82</v>
      </c>
      <c r="H1657" s="1" t="s">
        <v>18</v>
      </c>
      <c r="I1657" s="3">
        <f>+2250160984910</f>
        <v>2250160984910</v>
      </c>
      <c r="J1657" s="3">
        <f>+2250777998029</f>
        <v>2250777998029</v>
      </c>
      <c r="K1657" s="1" t="s">
        <v>19</v>
      </c>
      <c r="L1657" s="4" t="s">
        <v>5864</v>
      </c>
    </row>
    <row r="1658">
      <c r="A1658" s="1" t="s">
        <v>12</v>
      </c>
      <c r="B1658" s="1" t="s">
        <v>5865</v>
      </c>
      <c r="C1658" s="1" t="s">
        <v>5866</v>
      </c>
      <c r="D1658" s="1" t="s">
        <v>5867</v>
      </c>
      <c r="E1658" s="2">
        <v>38161.0</v>
      </c>
      <c r="F1658" s="1" t="s">
        <v>16</v>
      </c>
      <c r="G1658" s="1" t="s">
        <v>17</v>
      </c>
      <c r="H1658" s="1" t="s">
        <v>18</v>
      </c>
      <c r="I1658" s="3">
        <f>+2250777940094</f>
        <v>2250777940094</v>
      </c>
      <c r="J1658" s="3">
        <f>+2250708896699</f>
        <v>2250708896699</v>
      </c>
      <c r="K1658" s="1" t="s">
        <v>19</v>
      </c>
      <c r="L1658" s="4" t="s">
        <v>5868</v>
      </c>
    </row>
    <row r="1659">
      <c r="A1659" s="1" t="s">
        <v>12</v>
      </c>
      <c r="B1659" s="1" t="s">
        <v>5869</v>
      </c>
      <c r="C1659" s="1" t="s">
        <v>5870</v>
      </c>
      <c r="D1659" s="1" t="s">
        <v>5871</v>
      </c>
      <c r="E1659" s="2">
        <v>37064.0</v>
      </c>
      <c r="F1659" s="1" t="s">
        <v>138</v>
      </c>
      <c r="G1659" s="1" t="s">
        <v>31</v>
      </c>
      <c r="H1659" s="1" t="s">
        <v>32</v>
      </c>
      <c r="I1659" s="3">
        <f>+2250758063854</f>
        <v>2250758063854</v>
      </c>
      <c r="J1659" s="3">
        <f>+2250101017025</f>
        <v>2250101017025</v>
      </c>
      <c r="K1659" s="1" t="s">
        <v>19</v>
      </c>
      <c r="L1659" s="4" t="s">
        <v>5872</v>
      </c>
    </row>
    <row r="1660">
      <c r="A1660" s="1" t="s">
        <v>12</v>
      </c>
      <c r="B1660" s="1" t="s">
        <v>5873</v>
      </c>
      <c r="C1660" s="1" t="s">
        <v>5874</v>
      </c>
      <c r="D1660" s="1" t="s">
        <v>1622</v>
      </c>
      <c r="E1660" s="2">
        <v>36502.0</v>
      </c>
      <c r="F1660" s="1" t="s">
        <v>155</v>
      </c>
      <c r="G1660" s="1" t="s">
        <v>82</v>
      </c>
      <c r="H1660" s="1" t="s">
        <v>18</v>
      </c>
      <c r="I1660" s="3">
        <f>+2250769817173</f>
        <v>2250769817173</v>
      </c>
      <c r="J1660" s="3">
        <f>+2250709377055</f>
        <v>2250709377055</v>
      </c>
      <c r="K1660" s="1" t="s">
        <v>19</v>
      </c>
      <c r="L1660" s="4" t="s">
        <v>5875</v>
      </c>
    </row>
    <row r="1661">
      <c r="A1661" s="1" t="s">
        <v>12</v>
      </c>
      <c r="B1661" s="1" t="s">
        <v>5876</v>
      </c>
      <c r="C1661" s="1" t="s">
        <v>5874</v>
      </c>
      <c r="D1661" s="1" t="s">
        <v>5877</v>
      </c>
      <c r="E1661" s="2">
        <v>38867.0</v>
      </c>
      <c r="F1661" s="1" t="s">
        <v>48</v>
      </c>
      <c r="G1661" s="1" t="s">
        <v>76</v>
      </c>
      <c r="H1661" s="1" t="s">
        <v>32</v>
      </c>
      <c r="I1661" s="3">
        <f>+2250702850608</f>
        <v>2250702850608</v>
      </c>
      <c r="J1661" s="3">
        <f>+2250545510542</f>
        <v>2250545510542</v>
      </c>
      <c r="K1661" s="1" t="s">
        <v>19</v>
      </c>
      <c r="L1661" s="4" t="s">
        <v>5878</v>
      </c>
    </row>
    <row r="1662">
      <c r="A1662" s="1" t="s">
        <v>12</v>
      </c>
      <c r="B1662" s="1" t="s">
        <v>5879</v>
      </c>
      <c r="C1662" s="1" t="s">
        <v>5874</v>
      </c>
      <c r="D1662" s="1" t="s">
        <v>2642</v>
      </c>
      <c r="E1662" s="2">
        <v>38163.0</v>
      </c>
      <c r="F1662" s="1" t="s">
        <v>53</v>
      </c>
      <c r="G1662" s="1" t="s">
        <v>25</v>
      </c>
      <c r="H1662" s="1" t="s">
        <v>18</v>
      </c>
      <c r="I1662" s="3">
        <f>+2250151688187</f>
        <v>2250151688187</v>
      </c>
      <c r="J1662" s="3">
        <f>+2250505307273</f>
        <v>2250505307273</v>
      </c>
      <c r="K1662" s="1" t="s">
        <v>19</v>
      </c>
      <c r="L1662" s="4" t="s">
        <v>5880</v>
      </c>
    </row>
    <row r="1663">
      <c r="A1663" s="1" t="s">
        <v>12</v>
      </c>
      <c r="B1663" s="1" t="s">
        <v>5881</v>
      </c>
      <c r="C1663" s="1" t="s">
        <v>5882</v>
      </c>
      <c r="D1663" s="1" t="s">
        <v>5883</v>
      </c>
      <c r="E1663" s="2">
        <v>38054.0</v>
      </c>
      <c r="F1663" s="1" t="s">
        <v>16</v>
      </c>
      <c r="G1663" s="1" t="s">
        <v>17</v>
      </c>
      <c r="H1663" s="1" t="s">
        <v>18</v>
      </c>
      <c r="I1663" s="3">
        <f>+2250779620211</f>
        <v>2250779620211</v>
      </c>
      <c r="J1663" s="3">
        <f>+2250707480807</f>
        <v>2250707480807</v>
      </c>
      <c r="K1663" s="1" t="s">
        <v>19</v>
      </c>
      <c r="L1663" s="4" t="s">
        <v>5884</v>
      </c>
    </row>
    <row r="1664">
      <c r="A1664" s="1" t="s">
        <v>12</v>
      </c>
      <c r="B1664" s="1" t="s">
        <v>5885</v>
      </c>
      <c r="C1664" s="1" t="s">
        <v>5882</v>
      </c>
      <c r="D1664" s="1" t="s">
        <v>5886</v>
      </c>
      <c r="E1664" s="2">
        <v>37465.0</v>
      </c>
      <c r="F1664" s="1" t="s">
        <v>16</v>
      </c>
      <c r="G1664" s="1" t="s">
        <v>17</v>
      </c>
      <c r="H1664" s="1" t="s">
        <v>18</v>
      </c>
      <c r="I1664" s="3">
        <f>+2250788154651</f>
        <v>2250788154651</v>
      </c>
      <c r="J1664" s="3">
        <f>+2250749462434</f>
        <v>2250749462434</v>
      </c>
      <c r="K1664" s="1" t="s">
        <v>19</v>
      </c>
      <c r="L1664" s="4" t="s">
        <v>5887</v>
      </c>
    </row>
    <row r="1665">
      <c r="A1665" s="1" t="s">
        <v>12</v>
      </c>
      <c r="B1665" s="1" t="s">
        <v>5888</v>
      </c>
      <c r="C1665" s="1" t="s">
        <v>5882</v>
      </c>
      <c r="D1665" s="1" t="s">
        <v>5889</v>
      </c>
      <c r="E1665" s="2">
        <v>38542.0</v>
      </c>
      <c r="F1665" s="1" t="s">
        <v>24</v>
      </c>
      <c r="G1665" s="1" t="s">
        <v>25</v>
      </c>
      <c r="H1665" s="1" t="s">
        <v>18</v>
      </c>
      <c r="I1665" s="3">
        <f>+2250703472431</f>
        <v>2250703472431</v>
      </c>
      <c r="J1665" s="3">
        <f>+2250758757923</f>
        <v>2250758757923</v>
      </c>
      <c r="K1665" s="1" t="s">
        <v>19</v>
      </c>
      <c r="L1665" s="4" t="s">
        <v>5890</v>
      </c>
    </row>
    <row r="1666">
      <c r="A1666" s="1" t="s">
        <v>12</v>
      </c>
      <c r="B1666" s="1" t="s">
        <v>5891</v>
      </c>
      <c r="C1666" s="1" t="s">
        <v>5892</v>
      </c>
      <c r="D1666" s="1" t="s">
        <v>5893</v>
      </c>
      <c r="E1666" s="2">
        <v>36028.0</v>
      </c>
      <c r="F1666" s="1" t="s">
        <v>167</v>
      </c>
      <c r="G1666" s="1" t="s">
        <v>17</v>
      </c>
      <c r="H1666" s="1" t="s">
        <v>18</v>
      </c>
      <c r="I1666" s="3">
        <f>+2250150254503</f>
        <v>2250150254503</v>
      </c>
      <c r="J1666" s="3">
        <f>+2250707265598</f>
        <v>2250707265598</v>
      </c>
      <c r="K1666" s="1" t="s">
        <v>19</v>
      </c>
      <c r="L1666" s="4" t="s">
        <v>5894</v>
      </c>
    </row>
    <row r="1667">
      <c r="A1667" s="1" t="s">
        <v>12</v>
      </c>
      <c r="B1667" s="1" t="s">
        <v>5895</v>
      </c>
      <c r="C1667" s="1" t="s">
        <v>5896</v>
      </c>
      <c r="D1667" s="1" t="s">
        <v>5897</v>
      </c>
      <c r="E1667" s="2">
        <v>37813.0</v>
      </c>
      <c r="F1667" s="1" t="s">
        <v>48</v>
      </c>
      <c r="G1667" s="1" t="s">
        <v>31</v>
      </c>
      <c r="H1667" s="1" t="s">
        <v>32</v>
      </c>
      <c r="I1667" s="3">
        <f>+2250101700407</f>
        <v>2250101700407</v>
      </c>
      <c r="J1667" s="3">
        <f>+2250141225501</f>
        <v>2250141225501</v>
      </c>
      <c r="K1667" s="1" t="s">
        <v>19</v>
      </c>
      <c r="L1667" s="4" t="s">
        <v>5898</v>
      </c>
    </row>
    <row r="1668">
      <c r="A1668" s="1" t="s">
        <v>12</v>
      </c>
      <c r="B1668" s="1" t="s">
        <v>5899</v>
      </c>
      <c r="C1668" s="1" t="s">
        <v>5900</v>
      </c>
      <c r="D1668" s="1" t="s">
        <v>5901</v>
      </c>
      <c r="E1668" s="2">
        <v>36498.0</v>
      </c>
      <c r="F1668" s="1" t="s">
        <v>155</v>
      </c>
      <c r="G1668" s="1" t="s">
        <v>31</v>
      </c>
      <c r="H1668" s="1" t="s">
        <v>32</v>
      </c>
      <c r="I1668" s="3">
        <f>+2250173587364</f>
        <v>2250173587364</v>
      </c>
      <c r="J1668" s="3">
        <f>+2250103330063</f>
        <v>2250103330063</v>
      </c>
      <c r="K1668" s="1" t="s">
        <v>19</v>
      </c>
      <c r="L1668" s="4" t="s">
        <v>5902</v>
      </c>
    </row>
    <row r="1669">
      <c r="A1669" s="1" t="s">
        <v>12</v>
      </c>
      <c r="B1669" s="1" t="s">
        <v>5903</v>
      </c>
      <c r="C1669" s="1" t="s">
        <v>5904</v>
      </c>
      <c r="D1669" s="1" t="s">
        <v>5905</v>
      </c>
      <c r="E1669" s="2">
        <v>37109.0</v>
      </c>
      <c r="F1669" s="1" t="s">
        <v>167</v>
      </c>
      <c r="G1669" s="1" t="s">
        <v>17</v>
      </c>
      <c r="H1669" s="1" t="s">
        <v>18</v>
      </c>
      <c r="I1669" s="3">
        <f>+2250585020370</f>
        <v>2250585020370</v>
      </c>
      <c r="J1669" s="3">
        <f>+2250787573765</f>
        <v>2250787573765</v>
      </c>
      <c r="K1669" s="1" t="s">
        <v>19</v>
      </c>
      <c r="L1669" s="4" t="s">
        <v>5906</v>
      </c>
    </row>
    <row r="1670">
      <c r="A1670" s="1" t="s">
        <v>12</v>
      </c>
      <c r="B1670" s="1" t="s">
        <v>5907</v>
      </c>
      <c r="C1670" s="1" t="s">
        <v>5908</v>
      </c>
      <c r="D1670" s="1" t="s">
        <v>5909</v>
      </c>
      <c r="E1670" s="2">
        <v>38166.0</v>
      </c>
      <c r="F1670" s="1" t="s">
        <v>16</v>
      </c>
      <c r="G1670" s="1" t="s">
        <v>25</v>
      </c>
      <c r="H1670" s="1" t="s">
        <v>18</v>
      </c>
      <c r="I1670" s="3">
        <f>+2250700433127</f>
        <v>2250700433127</v>
      </c>
      <c r="J1670" s="3">
        <f>+2250747184090</f>
        <v>2250747184090</v>
      </c>
      <c r="K1670" s="1" t="s">
        <v>19</v>
      </c>
      <c r="L1670" s="4" t="s">
        <v>5910</v>
      </c>
    </row>
    <row r="1671">
      <c r="A1671" s="1" t="s">
        <v>12</v>
      </c>
      <c r="B1671" s="1" t="s">
        <v>5911</v>
      </c>
      <c r="C1671" s="1" t="s">
        <v>5912</v>
      </c>
      <c r="D1671" s="1" t="s">
        <v>5913</v>
      </c>
      <c r="E1671" s="5">
        <v>37610.0</v>
      </c>
      <c r="F1671" s="1" t="s">
        <v>53</v>
      </c>
      <c r="G1671" s="1" t="s">
        <v>25</v>
      </c>
      <c r="H1671" s="1" t="s">
        <v>18</v>
      </c>
      <c r="I1671" s="3">
        <f>+2250747395584</f>
        <v>2250747395584</v>
      </c>
      <c r="J1671" s="3">
        <f>+2250748117594</f>
        <v>2250748117594</v>
      </c>
      <c r="K1671" s="1" t="s">
        <v>19</v>
      </c>
      <c r="L1671" s="4" t="s">
        <v>5914</v>
      </c>
    </row>
    <row r="1672">
      <c r="A1672" s="1" t="s">
        <v>12</v>
      </c>
      <c r="B1672" s="1" t="s">
        <v>5915</v>
      </c>
      <c r="C1672" s="1" t="s">
        <v>5916</v>
      </c>
      <c r="D1672" s="1" t="s">
        <v>5917</v>
      </c>
      <c r="E1672" s="2">
        <v>38794.0</v>
      </c>
      <c r="F1672" s="1" t="s">
        <v>70</v>
      </c>
      <c r="G1672" s="1" t="s">
        <v>76</v>
      </c>
      <c r="H1672" s="1" t="s">
        <v>32</v>
      </c>
      <c r="I1672" s="3">
        <f>+2250172470006</f>
        <v>2250172470006</v>
      </c>
      <c r="J1672" s="3">
        <f>+2250708178449</f>
        <v>2250708178449</v>
      </c>
      <c r="K1672" s="1" t="s">
        <v>19</v>
      </c>
      <c r="L1672" s="4" t="s">
        <v>5918</v>
      </c>
    </row>
    <row r="1673">
      <c r="A1673" s="1" t="s">
        <v>12</v>
      </c>
      <c r="B1673" s="1" t="s">
        <v>5919</v>
      </c>
      <c r="C1673" s="1" t="s">
        <v>5916</v>
      </c>
      <c r="D1673" s="1" t="s">
        <v>5920</v>
      </c>
      <c r="E1673" s="2">
        <v>36405.0</v>
      </c>
      <c r="F1673" s="1" t="s">
        <v>48</v>
      </c>
      <c r="G1673" s="1" t="s">
        <v>76</v>
      </c>
      <c r="H1673" s="1" t="s">
        <v>32</v>
      </c>
      <c r="I1673" s="3">
        <f>+2250585547693</f>
        <v>2250585547693</v>
      </c>
      <c r="J1673" s="3">
        <f>+2250749972358</f>
        <v>2250749972358</v>
      </c>
      <c r="K1673" s="1" t="s">
        <v>19</v>
      </c>
      <c r="L1673" s="4" t="s">
        <v>5921</v>
      </c>
    </row>
    <row r="1674">
      <c r="A1674" s="1" t="s">
        <v>12</v>
      </c>
      <c r="B1674" s="1" t="s">
        <v>5922</v>
      </c>
      <c r="C1674" s="1" t="s">
        <v>5916</v>
      </c>
      <c r="D1674" s="1" t="s">
        <v>5923</v>
      </c>
      <c r="E1674" s="2">
        <v>37830.0</v>
      </c>
      <c r="F1674" s="1" t="s">
        <v>101</v>
      </c>
      <c r="G1674" s="1" t="s">
        <v>76</v>
      </c>
      <c r="H1674" s="1" t="s">
        <v>32</v>
      </c>
      <c r="I1674" s="3">
        <f>+2250789551227</f>
        <v>2250789551227</v>
      </c>
      <c r="J1674" s="3">
        <f>+2250101584259</f>
        <v>2250101584259</v>
      </c>
      <c r="K1674" s="1" t="s">
        <v>19</v>
      </c>
      <c r="L1674" s="4" t="s">
        <v>5924</v>
      </c>
    </row>
    <row r="1675">
      <c r="A1675" s="1" t="s">
        <v>12</v>
      </c>
      <c r="B1675" s="1" t="s">
        <v>5925</v>
      </c>
      <c r="C1675" s="1" t="s">
        <v>5916</v>
      </c>
      <c r="D1675" s="1" t="s">
        <v>4026</v>
      </c>
      <c r="E1675" s="2">
        <v>37459.0</v>
      </c>
      <c r="F1675" s="1" t="s">
        <v>48</v>
      </c>
      <c r="G1675" s="1" t="s">
        <v>76</v>
      </c>
      <c r="H1675" s="1" t="s">
        <v>32</v>
      </c>
      <c r="I1675" s="3">
        <f>+2250759608834</f>
        <v>2250759608834</v>
      </c>
      <c r="J1675" s="3">
        <f>+2250554992567</f>
        <v>2250554992567</v>
      </c>
      <c r="K1675" s="1" t="s">
        <v>19</v>
      </c>
      <c r="L1675" s="4" t="s">
        <v>5926</v>
      </c>
    </row>
    <row r="1676">
      <c r="A1676" s="1" t="s">
        <v>12</v>
      </c>
      <c r="B1676" s="1" t="s">
        <v>5927</v>
      </c>
      <c r="C1676" s="1" t="s">
        <v>5916</v>
      </c>
      <c r="D1676" s="1" t="s">
        <v>5928</v>
      </c>
      <c r="E1676" s="2">
        <v>37407.0</v>
      </c>
      <c r="F1676" s="1" t="s">
        <v>75</v>
      </c>
      <c r="G1676" s="1" t="s">
        <v>31</v>
      </c>
      <c r="H1676" s="1" t="s">
        <v>32</v>
      </c>
      <c r="I1676" s="3">
        <f>+2250768660077</f>
        <v>2250768660077</v>
      </c>
      <c r="J1676" s="3">
        <f>+2250707043683</f>
        <v>2250707043683</v>
      </c>
      <c r="K1676" s="1" t="s">
        <v>19</v>
      </c>
      <c r="L1676" s="4" t="s">
        <v>5929</v>
      </c>
    </row>
    <row r="1677">
      <c r="A1677" s="1" t="s">
        <v>12</v>
      </c>
      <c r="B1677" s="1" t="s">
        <v>5930</v>
      </c>
      <c r="C1677" s="1" t="s">
        <v>5916</v>
      </c>
      <c r="D1677" s="1" t="s">
        <v>2642</v>
      </c>
      <c r="E1677" s="2">
        <v>37653.0</v>
      </c>
      <c r="F1677" s="1" t="s">
        <v>155</v>
      </c>
      <c r="G1677" s="1" t="s">
        <v>31</v>
      </c>
      <c r="H1677" s="1" t="s">
        <v>32</v>
      </c>
      <c r="I1677" s="3">
        <f>+2250767709616</f>
        <v>2250767709616</v>
      </c>
      <c r="J1677" s="3">
        <f>+2250170968707</f>
        <v>2250170968707</v>
      </c>
      <c r="K1677" s="1" t="s">
        <v>19</v>
      </c>
      <c r="L1677" s="4" t="s">
        <v>5931</v>
      </c>
    </row>
    <row r="1678">
      <c r="A1678" s="1" t="s">
        <v>12</v>
      </c>
      <c r="B1678" s="1" t="s">
        <v>5932</v>
      </c>
      <c r="C1678" s="1" t="s">
        <v>5916</v>
      </c>
      <c r="D1678" s="1" t="s">
        <v>1714</v>
      </c>
      <c r="E1678" s="2">
        <v>36921.0</v>
      </c>
      <c r="F1678" s="1" t="s">
        <v>53</v>
      </c>
      <c r="G1678" s="1" t="s">
        <v>17</v>
      </c>
      <c r="H1678" s="1" t="s">
        <v>18</v>
      </c>
      <c r="I1678" s="3">
        <f>+2250704752725</f>
        <v>2250704752725</v>
      </c>
      <c r="J1678" s="3">
        <f>+2250506361185</f>
        <v>2250506361185</v>
      </c>
      <c r="K1678" s="1" t="s">
        <v>19</v>
      </c>
      <c r="L1678" s="4" t="s">
        <v>5933</v>
      </c>
    </row>
    <row r="1679">
      <c r="A1679" s="1" t="s">
        <v>12</v>
      </c>
      <c r="B1679" s="1" t="s">
        <v>5934</v>
      </c>
      <c r="C1679" s="1" t="s">
        <v>5916</v>
      </c>
      <c r="D1679" s="1" t="s">
        <v>5935</v>
      </c>
      <c r="E1679" s="2">
        <v>38129.0</v>
      </c>
      <c r="F1679" s="1" t="s">
        <v>30</v>
      </c>
      <c r="G1679" s="1" t="s">
        <v>31</v>
      </c>
      <c r="H1679" s="1" t="s">
        <v>32</v>
      </c>
      <c r="I1679" s="3">
        <f>+2250710079094</f>
        <v>2250710079094</v>
      </c>
      <c r="J1679" s="3">
        <f>+2250707842261</f>
        <v>2250707842261</v>
      </c>
      <c r="K1679" s="1" t="s">
        <v>19</v>
      </c>
      <c r="L1679" s="4" t="s">
        <v>5936</v>
      </c>
    </row>
    <row r="1680">
      <c r="A1680" s="1" t="s">
        <v>12</v>
      </c>
      <c r="B1680" s="1" t="s">
        <v>5937</v>
      </c>
      <c r="C1680" s="1" t="s">
        <v>5916</v>
      </c>
      <c r="D1680" s="1" t="s">
        <v>5938</v>
      </c>
      <c r="E1680" s="2">
        <v>38836.0</v>
      </c>
      <c r="F1680" s="1" t="s">
        <v>53</v>
      </c>
      <c r="G1680" s="1" t="s">
        <v>25</v>
      </c>
      <c r="H1680" s="1" t="s">
        <v>18</v>
      </c>
      <c r="I1680" s="3">
        <f>+2250700143414</f>
        <v>2250700143414</v>
      </c>
      <c r="J1680" s="3">
        <f>+2250102041433</f>
        <v>2250102041433</v>
      </c>
      <c r="K1680" s="1" t="s">
        <v>19</v>
      </c>
      <c r="L1680" s="4" t="s">
        <v>5939</v>
      </c>
    </row>
    <row r="1681">
      <c r="A1681" s="1" t="s">
        <v>12</v>
      </c>
      <c r="B1681" s="1" t="s">
        <v>5940</v>
      </c>
      <c r="C1681" s="1" t="s">
        <v>5916</v>
      </c>
      <c r="D1681" s="1" t="s">
        <v>5941</v>
      </c>
      <c r="E1681" s="2">
        <v>37407.0</v>
      </c>
      <c r="F1681" s="1" t="s">
        <v>75</v>
      </c>
      <c r="G1681" s="1" t="s">
        <v>31</v>
      </c>
      <c r="H1681" s="1" t="s">
        <v>32</v>
      </c>
      <c r="I1681" s="3">
        <f>+2250708284070</f>
        <v>2250708284070</v>
      </c>
      <c r="J1681" s="3">
        <f>+2250707043683</f>
        <v>2250707043683</v>
      </c>
      <c r="K1681" s="1" t="s">
        <v>19</v>
      </c>
      <c r="L1681" s="4" t="s">
        <v>5942</v>
      </c>
    </row>
    <row r="1682">
      <c r="A1682" s="1" t="s">
        <v>12</v>
      </c>
      <c r="B1682" s="1" t="s">
        <v>5943</v>
      </c>
      <c r="C1682" s="1" t="s">
        <v>5916</v>
      </c>
      <c r="D1682" s="1" t="s">
        <v>1911</v>
      </c>
      <c r="E1682" s="2">
        <v>37198.0</v>
      </c>
      <c r="F1682" s="1" t="s">
        <v>16</v>
      </c>
      <c r="G1682" s="1" t="s">
        <v>17</v>
      </c>
      <c r="H1682" s="1" t="s">
        <v>18</v>
      </c>
      <c r="I1682" s="3">
        <f>+2250749140416</f>
        <v>2250749140416</v>
      </c>
      <c r="J1682" s="3">
        <f>+2250584020974</f>
        <v>2250584020974</v>
      </c>
      <c r="K1682" s="1" t="s">
        <v>19</v>
      </c>
      <c r="L1682" s="4" t="s">
        <v>5944</v>
      </c>
    </row>
    <row r="1683">
      <c r="A1683" s="1" t="s">
        <v>12</v>
      </c>
      <c r="B1683" s="1" t="s">
        <v>5945</v>
      </c>
      <c r="C1683" s="1" t="s">
        <v>5916</v>
      </c>
      <c r="D1683" s="1" t="s">
        <v>5946</v>
      </c>
      <c r="E1683" s="2">
        <v>38263.0</v>
      </c>
      <c r="F1683" s="1" t="s">
        <v>62</v>
      </c>
      <c r="G1683" s="1" t="s">
        <v>17</v>
      </c>
      <c r="H1683" s="1" t="s">
        <v>18</v>
      </c>
      <c r="I1683" s="3">
        <f>+2250747395650</f>
        <v>2250747395650</v>
      </c>
      <c r="J1683" s="3">
        <f>+2250707723804</f>
        <v>2250707723804</v>
      </c>
      <c r="K1683" s="1" t="s">
        <v>19</v>
      </c>
      <c r="L1683" s="4" t="s">
        <v>5947</v>
      </c>
    </row>
    <row r="1684">
      <c r="A1684" s="1" t="s">
        <v>12</v>
      </c>
      <c r="B1684" s="1" t="s">
        <v>5948</v>
      </c>
      <c r="C1684" s="1" t="s">
        <v>5949</v>
      </c>
      <c r="D1684" s="1" t="s">
        <v>5950</v>
      </c>
      <c r="E1684" s="5">
        <v>37541.0</v>
      </c>
      <c r="F1684" s="1" t="s">
        <v>155</v>
      </c>
      <c r="G1684" s="1" t="s">
        <v>82</v>
      </c>
      <c r="H1684" s="1" t="s">
        <v>18</v>
      </c>
      <c r="I1684" s="3">
        <f>+2250798425736</f>
        <v>2250798425736</v>
      </c>
      <c r="J1684" s="3">
        <f>+2250779578459</f>
        <v>2250779578459</v>
      </c>
      <c r="K1684" s="1" t="s">
        <v>19</v>
      </c>
      <c r="L1684" s="4" t="s">
        <v>5951</v>
      </c>
    </row>
    <row r="1685">
      <c r="A1685" s="1" t="s">
        <v>12</v>
      </c>
      <c r="B1685" s="1" t="s">
        <v>5952</v>
      </c>
      <c r="C1685" s="1" t="s">
        <v>5953</v>
      </c>
      <c r="D1685" s="1" t="s">
        <v>5954</v>
      </c>
      <c r="E1685" s="5">
        <v>37585.0</v>
      </c>
      <c r="F1685" s="1" t="s">
        <v>75</v>
      </c>
      <c r="G1685" s="1" t="s">
        <v>31</v>
      </c>
      <c r="H1685" s="1" t="s">
        <v>32</v>
      </c>
      <c r="I1685" s="3">
        <f>+2250777694979</f>
        <v>2250777694979</v>
      </c>
      <c r="J1685" s="3">
        <f>+2250153858687</f>
        <v>2250153858687</v>
      </c>
      <c r="K1685" s="1" t="s">
        <v>19</v>
      </c>
      <c r="L1685" s="4" t="s">
        <v>5955</v>
      </c>
    </row>
    <row r="1686">
      <c r="A1686" s="1" t="s">
        <v>12</v>
      </c>
      <c r="B1686" s="1" t="s">
        <v>5956</v>
      </c>
      <c r="C1686" s="1" t="s">
        <v>5957</v>
      </c>
      <c r="D1686" s="1" t="s">
        <v>5958</v>
      </c>
      <c r="E1686" s="2">
        <v>37653.0</v>
      </c>
      <c r="F1686" s="1" t="s">
        <v>16</v>
      </c>
      <c r="G1686" s="1" t="s">
        <v>17</v>
      </c>
      <c r="H1686" s="1" t="s">
        <v>18</v>
      </c>
      <c r="I1686" s="3">
        <f>+2250769666395</f>
        <v>2250769666395</v>
      </c>
      <c r="J1686" s="3">
        <f>+2250708568270</f>
        <v>2250708568270</v>
      </c>
      <c r="K1686" s="1" t="s">
        <v>19</v>
      </c>
      <c r="L1686" s="4" t="s">
        <v>5959</v>
      </c>
    </row>
    <row r="1687">
      <c r="A1687" s="1" t="s">
        <v>12</v>
      </c>
      <c r="B1687" s="1" t="s">
        <v>5960</v>
      </c>
      <c r="C1687" s="1" t="s">
        <v>5961</v>
      </c>
      <c r="D1687" s="1" t="s">
        <v>5962</v>
      </c>
      <c r="E1687" s="5">
        <v>38701.0</v>
      </c>
      <c r="F1687" s="1" t="s">
        <v>16</v>
      </c>
      <c r="G1687" s="1" t="s">
        <v>25</v>
      </c>
      <c r="H1687" s="1" t="s">
        <v>18</v>
      </c>
      <c r="I1687" s="3">
        <f>+2250705481180</f>
        <v>2250705481180</v>
      </c>
      <c r="J1687" s="3">
        <f>+2250747339770</f>
        <v>2250747339770</v>
      </c>
      <c r="K1687" s="1" t="s">
        <v>19</v>
      </c>
      <c r="L1687" s="4" t="s">
        <v>5963</v>
      </c>
    </row>
    <row r="1688">
      <c r="A1688" s="1" t="s">
        <v>12</v>
      </c>
      <c r="B1688" s="1" t="s">
        <v>5964</v>
      </c>
      <c r="C1688" s="1" t="s">
        <v>5965</v>
      </c>
      <c r="D1688" s="1" t="s">
        <v>5966</v>
      </c>
      <c r="E1688" s="2">
        <v>38139.0</v>
      </c>
      <c r="F1688" s="1" t="s">
        <v>155</v>
      </c>
      <c r="G1688" s="1" t="s">
        <v>76</v>
      </c>
      <c r="H1688" s="1" t="s">
        <v>32</v>
      </c>
      <c r="I1688" s="3">
        <f>+2250150130708</f>
        <v>2250150130708</v>
      </c>
      <c r="J1688" s="3">
        <f>+2250707362422</f>
        <v>2250707362422</v>
      </c>
      <c r="K1688" s="1" t="s">
        <v>19</v>
      </c>
      <c r="L1688" s="4" t="s">
        <v>5967</v>
      </c>
    </row>
    <row r="1689">
      <c r="A1689" s="1" t="s">
        <v>12</v>
      </c>
      <c r="B1689" s="1" t="s">
        <v>5968</v>
      </c>
      <c r="C1689" s="1" t="s">
        <v>5965</v>
      </c>
      <c r="D1689" s="1" t="s">
        <v>5969</v>
      </c>
      <c r="E1689" s="2">
        <v>36911.0</v>
      </c>
      <c r="F1689" s="1" t="s">
        <v>48</v>
      </c>
      <c r="G1689" s="1" t="s">
        <v>31</v>
      </c>
      <c r="H1689" s="1" t="s">
        <v>32</v>
      </c>
      <c r="I1689" s="3">
        <f>+2250595215426</f>
        <v>2250595215426</v>
      </c>
      <c r="J1689" s="3">
        <f>+2250708319258</f>
        <v>2250708319258</v>
      </c>
      <c r="K1689" s="1" t="s">
        <v>19</v>
      </c>
      <c r="L1689" s="4" t="s">
        <v>5970</v>
      </c>
    </row>
    <row r="1690">
      <c r="A1690" s="1" t="s">
        <v>12</v>
      </c>
      <c r="B1690" s="1" t="s">
        <v>5971</v>
      </c>
      <c r="C1690" s="1" t="s">
        <v>5972</v>
      </c>
      <c r="D1690" s="1" t="s">
        <v>5973</v>
      </c>
      <c r="E1690" s="2">
        <v>38991.0</v>
      </c>
      <c r="F1690" s="1" t="s">
        <v>24</v>
      </c>
      <c r="G1690" s="1" t="s">
        <v>25</v>
      </c>
      <c r="H1690" s="1" t="s">
        <v>18</v>
      </c>
      <c r="I1690" s="3">
        <f>+2250787361580</f>
        <v>2250787361580</v>
      </c>
      <c r="J1690" s="3">
        <f>+2250747756256</f>
        <v>2250747756256</v>
      </c>
      <c r="K1690" s="1" t="s">
        <v>19</v>
      </c>
      <c r="L1690" s="4" t="s">
        <v>5974</v>
      </c>
    </row>
    <row r="1691">
      <c r="A1691" s="1" t="s">
        <v>12</v>
      </c>
      <c r="B1691" s="1" t="s">
        <v>5975</v>
      </c>
      <c r="C1691" s="1" t="s">
        <v>5976</v>
      </c>
      <c r="D1691" s="1" t="s">
        <v>5977</v>
      </c>
      <c r="E1691" s="2">
        <v>37665.0</v>
      </c>
      <c r="F1691" s="1" t="s">
        <v>16</v>
      </c>
      <c r="G1691" s="1" t="s">
        <v>17</v>
      </c>
      <c r="H1691" s="1" t="s">
        <v>18</v>
      </c>
      <c r="I1691" s="3">
        <f>+2250103974738</f>
        <v>2250103974738</v>
      </c>
      <c r="J1691" s="3">
        <f>+2250150136567</f>
        <v>2250150136567</v>
      </c>
      <c r="K1691" s="1" t="s">
        <v>19</v>
      </c>
      <c r="L1691" s="4" t="s">
        <v>5978</v>
      </c>
    </row>
    <row r="1692">
      <c r="A1692" s="1" t="s">
        <v>12</v>
      </c>
      <c r="B1692" s="1" t="s">
        <v>5979</v>
      </c>
      <c r="C1692" s="1" t="s">
        <v>5980</v>
      </c>
      <c r="D1692" s="1" t="s">
        <v>5981</v>
      </c>
      <c r="E1692" s="2">
        <v>37288.0</v>
      </c>
      <c r="F1692" s="1" t="s">
        <v>62</v>
      </c>
      <c r="G1692" s="1" t="s">
        <v>17</v>
      </c>
      <c r="H1692" s="1" t="s">
        <v>18</v>
      </c>
      <c r="I1692" s="3">
        <f>+2250594930804</f>
        <v>2250594930804</v>
      </c>
      <c r="J1692" s="3">
        <f>+2250102282093</f>
        <v>2250102282093</v>
      </c>
      <c r="K1692" s="1" t="s">
        <v>19</v>
      </c>
      <c r="L1692" s="4" t="s">
        <v>5982</v>
      </c>
    </row>
    <row r="1693">
      <c r="A1693" s="1" t="s">
        <v>12</v>
      </c>
      <c r="B1693" s="1" t="s">
        <v>5983</v>
      </c>
      <c r="C1693" s="1" t="s">
        <v>5984</v>
      </c>
      <c r="D1693" s="1" t="s">
        <v>5985</v>
      </c>
      <c r="E1693" s="2">
        <v>38123.0</v>
      </c>
      <c r="F1693" s="1" t="s">
        <v>101</v>
      </c>
      <c r="G1693" s="1" t="s">
        <v>76</v>
      </c>
      <c r="H1693" s="1" t="s">
        <v>32</v>
      </c>
      <c r="I1693" s="3">
        <f>+2250789979162</f>
        <v>2250789979162</v>
      </c>
      <c r="J1693" s="3">
        <f>+2250142903306</f>
        <v>2250142903306</v>
      </c>
      <c r="K1693" s="1" t="s">
        <v>19</v>
      </c>
      <c r="L1693" s="4" t="s">
        <v>5986</v>
      </c>
    </row>
    <row r="1694">
      <c r="A1694" s="1" t="s">
        <v>12</v>
      </c>
      <c r="B1694" s="1" t="s">
        <v>5987</v>
      </c>
      <c r="C1694" s="1" t="s">
        <v>5988</v>
      </c>
      <c r="D1694" s="1" t="s">
        <v>5989</v>
      </c>
      <c r="E1694" s="2">
        <v>38367.0</v>
      </c>
      <c r="F1694" s="1" t="s">
        <v>87</v>
      </c>
      <c r="G1694" s="1" t="s">
        <v>76</v>
      </c>
      <c r="H1694" s="1" t="s">
        <v>32</v>
      </c>
      <c r="I1694" s="3">
        <f>+2250758673282</f>
        <v>2250758673282</v>
      </c>
      <c r="J1694" s="3">
        <f>+2250707008311</f>
        <v>2250707008311</v>
      </c>
      <c r="K1694" s="1" t="s">
        <v>19</v>
      </c>
      <c r="L1694" s="4" t="s">
        <v>5990</v>
      </c>
    </row>
    <row r="1695">
      <c r="A1695" s="1" t="s">
        <v>12</v>
      </c>
      <c r="B1695" s="1" t="s">
        <v>5991</v>
      </c>
      <c r="C1695" s="1" t="s">
        <v>5992</v>
      </c>
      <c r="D1695" s="1" t="s">
        <v>3398</v>
      </c>
      <c r="E1695" s="2">
        <v>36652.0</v>
      </c>
      <c r="F1695" s="1" t="s">
        <v>351</v>
      </c>
      <c r="G1695" s="1" t="s">
        <v>31</v>
      </c>
      <c r="H1695" s="1" t="s">
        <v>32</v>
      </c>
      <c r="I1695" s="3">
        <f>+2250779335675</f>
        <v>2250779335675</v>
      </c>
      <c r="J1695" s="3">
        <f>+2250501725407</f>
        <v>2250501725407</v>
      </c>
      <c r="K1695" s="1" t="s">
        <v>19</v>
      </c>
      <c r="L1695" s="4" t="s">
        <v>5993</v>
      </c>
    </row>
    <row r="1696">
      <c r="A1696" s="1" t="s">
        <v>12</v>
      </c>
      <c r="B1696" s="1" t="s">
        <v>5994</v>
      </c>
      <c r="C1696" s="1" t="s">
        <v>5995</v>
      </c>
      <c r="D1696" s="1" t="s">
        <v>5996</v>
      </c>
      <c r="E1696" s="2">
        <v>37438.0</v>
      </c>
      <c r="F1696" s="1" t="s">
        <v>16</v>
      </c>
      <c r="G1696" s="1" t="s">
        <v>17</v>
      </c>
      <c r="H1696" s="1" t="s">
        <v>18</v>
      </c>
      <c r="I1696" s="3">
        <f>+2250709230171</f>
        <v>2250709230171</v>
      </c>
      <c r="J1696" s="3">
        <f>+2250506187343</f>
        <v>2250506187343</v>
      </c>
      <c r="K1696" s="1" t="s">
        <v>19</v>
      </c>
      <c r="L1696" s="4" t="s">
        <v>5997</v>
      </c>
    </row>
    <row r="1697">
      <c r="A1697" s="1" t="s">
        <v>12</v>
      </c>
      <c r="B1697" s="1" t="s">
        <v>5998</v>
      </c>
      <c r="C1697" s="1" t="s">
        <v>5999</v>
      </c>
      <c r="D1697" s="1" t="s">
        <v>6000</v>
      </c>
      <c r="E1697" s="2">
        <v>37899.0</v>
      </c>
      <c r="F1697" s="1" t="s">
        <v>30</v>
      </c>
      <c r="G1697" s="1" t="s">
        <v>31</v>
      </c>
      <c r="H1697" s="1" t="s">
        <v>32</v>
      </c>
      <c r="I1697" s="3">
        <f>+2250546229236</f>
        <v>2250546229236</v>
      </c>
      <c r="J1697" s="3">
        <f>+2250101844256</f>
        <v>2250101844256</v>
      </c>
      <c r="K1697" s="1" t="s">
        <v>19</v>
      </c>
      <c r="L1697" s="4" t="s">
        <v>6001</v>
      </c>
    </row>
    <row r="1698">
      <c r="A1698" s="1" t="s">
        <v>12</v>
      </c>
      <c r="B1698" s="1" t="s">
        <v>6002</v>
      </c>
      <c r="C1698" s="1" t="s">
        <v>6003</v>
      </c>
      <c r="D1698" s="1" t="s">
        <v>6004</v>
      </c>
      <c r="E1698" s="2">
        <v>36340.0</v>
      </c>
      <c r="F1698" s="1" t="s">
        <v>16</v>
      </c>
      <c r="G1698" s="1" t="s">
        <v>82</v>
      </c>
      <c r="H1698" s="1" t="s">
        <v>18</v>
      </c>
      <c r="I1698" s="3">
        <f>+2250140962505</f>
        <v>2250140962505</v>
      </c>
      <c r="J1698" s="3">
        <f>+2250505484766</f>
        <v>2250505484766</v>
      </c>
      <c r="K1698" s="1" t="s">
        <v>19</v>
      </c>
      <c r="L1698" s="4" t="s">
        <v>6005</v>
      </c>
    </row>
    <row r="1699">
      <c r="A1699" s="1" t="s">
        <v>12</v>
      </c>
      <c r="B1699" s="1" t="s">
        <v>6006</v>
      </c>
      <c r="C1699" s="1" t="s">
        <v>6007</v>
      </c>
      <c r="D1699" s="1" t="s">
        <v>6008</v>
      </c>
      <c r="E1699" s="2">
        <v>36743.0</v>
      </c>
      <c r="F1699" s="1" t="s">
        <v>92</v>
      </c>
      <c r="G1699" s="1" t="s">
        <v>76</v>
      </c>
      <c r="H1699" s="1" t="s">
        <v>32</v>
      </c>
      <c r="I1699" s="3">
        <f>+2250575998305</f>
        <v>2250575998305</v>
      </c>
      <c r="J1699" s="3">
        <f>+2250160679663</f>
        <v>2250160679663</v>
      </c>
      <c r="K1699" s="1" t="s">
        <v>19</v>
      </c>
      <c r="L1699" s="4" t="s">
        <v>6009</v>
      </c>
    </row>
    <row r="1700">
      <c r="A1700" s="1" t="s">
        <v>12</v>
      </c>
      <c r="B1700" s="1" t="s">
        <v>6010</v>
      </c>
      <c r="C1700" s="1" t="s">
        <v>6011</v>
      </c>
      <c r="D1700" s="1" t="s">
        <v>6012</v>
      </c>
      <c r="E1700" s="2">
        <v>38017.0</v>
      </c>
      <c r="F1700" s="1" t="s">
        <v>101</v>
      </c>
      <c r="G1700" s="1" t="s">
        <v>76</v>
      </c>
      <c r="H1700" s="1" t="s">
        <v>32</v>
      </c>
      <c r="I1700" s="3">
        <f>+2250556644814</f>
        <v>2250556644814</v>
      </c>
      <c r="J1700" s="3">
        <f>+2250101149371</f>
        <v>2250101149371</v>
      </c>
      <c r="K1700" s="1" t="s">
        <v>19</v>
      </c>
      <c r="L1700" s="4" t="s">
        <v>6013</v>
      </c>
    </row>
    <row r="1701">
      <c r="A1701" s="1" t="s">
        <v>12</v>
      </c>
      <c r="B1701" s="1" t="s">
        <v>6014</v>
      </c>
      <c r="C1701" s="1" t="s">
        <v>6011</v>
      </c>
      <c r="D1701" s="1" t="s">
        <v>6015</v>
      </c>
      <c r="E1701" s="5">
        <v>38650.0</v>
      </c>
      <c r="F1701" s="1" t="s">
        <v>53</v>
      </c>
      <c r="G1701" s="1" t="s">
        <v>25</v>
      </c>
      <c r="H1701" s="1" t="s">
        <v>18</v>
      </c>
      <c r="I1701" s="3">
        <f>+2250143531885</f>
        <v>2250143531885</v>
      </c>
      <c r="J1701" s="3">
        <f>+2250504405786</f>
        <v>2250504405786</v>
      </c>
      <c r="K1701" s="1" t="s">
        <v>19</v>
      </c>
      <c r="L1701" s="4" t="s">
        <v>6016</v>
      </c>
    </row>
    <row r="1702">
      <c r="A1702" s="1" t="s">
        <v>12</v>
      </c>
      <c r="B1702" s="1" t="s">
        <v>6017</v>
      </c>
      <c r="C1702" s="1" t="s">
        <v>6018</v>
      </c>
      <c r="D1702" s="1" t="s">
        <v>6019</v>
      </c>
      <c r="E1702" s="5">
        <v>37602.0</v>
      </c>
      <c r="F1702" s="1" t="s">
        <v>62</v>
      </c>
      <c r="G1702" s="1" t="s">
        <v>17</v>
      </c>
      <c r="H1702" s="1" t="s">
        <v>18</v>
      </c>
      <c r="I1702" s="3">
        <f>+2250748656444</f>
        <v>2250748656444</v>
      </c>
      <c r="J1702" s="3">
        <f>+2250170132487</f>
        <v>2250170132487</v>
      </c>
      <c r="K1702" s="1" t="s">
        <v>19</v>
      </c>
      <c r="L1702" s="4" t="s">
        <v>6020</v>
      </c>
    </row>
    <row r="1703">
      <c r="A1703" s="1" t="s">
        <v>12</v>
      </c>
      <c r="B1703" s="1" t="s">
        <v>6021</v>
      </c>
      <c r="C1703" s="1" t="s">
        <v>6022</v>
      </c>
      <c r="D1703" s="1" t="s">
        <v>6023</v>
      </c>
      <c r="E1703" s="2">
        <v>38185.0</v>
      </c>
      <c r="F1703" s="1" t="s">
        <v>53</v>
      </c>
      <c r="G1703" s="1" t="s">
        <v>17</v>
      </c>
      <c r="H1703" s="1" t="s">
        <v>18</v>
      </c>
      <c r="I1703" s="3">
        <f>+2250556474724</f>
        <v>2250556474724</v>
      </c>
      <c r="J1703" s="3">
        <f>+2250504500500</f>
        <v>2250504500500</v>
      </c>
      <c r="K1703" s="1" t="s">
        <v>19</v>
      </c>
      <c r="L1703" s="4" t="s">
        <v>6024</v>
      </c>
    </row>
    <row r="1704">
      <c r="A1704" s="1" t="s">
        <v>12</v>
      </c>
      <c r="B1704" s="1" t="s">
        <v>6025</v>
      </c>
      <c r="C1704" s="1" t="s">
        <v>6022</v>
      </c>
      <c r="D1704" s="1" t="s">
        <v>6026</v>
      </c>
      <c r="E1704" s="2">
        <v>37059.0</v>
      </c>
      <c r="F1704" s="1" t="s">
        <v>147</v>
      </c>
      <c r="G1704" s="1" t="s">
        <v>17</v>
      </c>
      <c r="H1704" s="1" t="s">
        <v>18</v>
      </c>
      <c r="I1704" s="3">
        <f>+2250779802380</f>
        <v>2250779802380</v>
      </c>
      <c r="J1704" s="3">
        <f>+2250709970321</f>
        <v>2250709970321</v>
      </c>
      <c r="K1704" s="1" t="s">
        <v>19</v>
      </c>
      <c r="L1704" s="4" t="s">
        <v>6027</v>
      </c>
    </row>
    <row r="1705">
      <c r="A1705" s="1" t="s">
        <v>12</v>
      </c>
      <c r="B1705" s="1" t="s">
        <v>6028</v>
      </c>
      <c r="C1705" s="1" t="s">
        <v>6029</v>
      </c>
      <c r="D1705" s="1" t="s">
        <v>6030</v>
      </c>
      <c r="E1705" s="5">
        <v>37243.0</v>
      </c>
      <c r="F1705" s="1" t="s">
        <v>16</v>
      </c>
      <c r="G1705" s="1" t="s">
        <v>17</v>
      </c>
      <c r="H1705" s="1" t="s">
        <v>18</v>
      </c>
      <c r="I1705" s="3">
        <f>+2250777909603</f>
        <v>2250777909603</v>
      </c>
      <c r="J1705" s="3">
        <f>+2250797494964</f>
        <v>2250797494964</v>
      </c>
      <c r="K1705" s="1" t="s">
        <v>19</v>
      </c>
      <c r="L1705" s="4" t="s">
        <v>6031</v>
      </c>
    </row>
    <row r="1706">
      <c r="A1706" s="1" t="s">
        <v>12</v>
      </c>
      <c r="B1706" s="1" t="s">
        <v>6032</v>
      </c>
      <c r="C1706" s="1" t="s">
        <v>6029</v>
      </c>
      <c r="D1706" s="1" t="s">
        <v>6033</v>
      </c>
      <c r="E1706" s="2">
        <v>39250.0</v>
      </c>
      <c r="F1706" s="1" t="s">
        <v>16</v>
      </c>
      <c r="G1706" s="1" t="s">
        <v>25</v>
      </c>
      <c r="H1706" s="1" t="s">
        <v>18</v>
      </c>
      <c r="I1706" s="3">
        <f>+2250769733031</f>
        <v>2250769733031</v>
      </c>
      <c r="J1706" s="3">
        <f>+2250748818921</f>
        <v>2250748818921</v>
      </c>
      <c r="K1706" s="1" t="s">
        <v>19</v>
      </c>
      <c r="L1706" s="4" t="s">
        <v>6034</v>
      </c>
    </row>
    <row r="1707">
      <c r="A1707" s="1" t="s">
        <v>12</v>
      </c>
      <c r="B1707" s="1" t="s">
        <v>6035</v>
      </c>
      <c r="C1707" s="1" t="s">
        <v>6036</v>
      </c>
      <c r="D1707" s="1" t="s">
        <v>6037</v>
      </c>
      <c r="E1707" s="5">
        <v>38316.0</v>
      </c>
      <c r="F1707" s="1" t="s">
        <v>53</v>
      </c>
      <c r="G1707" s="1" t="s">
        <v>25</v>
      </c>
      <c r="H1707" s="1" t="s">
        <v>18</v>
      </c>
      <c r="I1707" s="3">
        <f>+2250544411448</f>
        <v>2250544411448</v>
      </c>
      <c r="J1707" s="3">
        <f>+2250544414862</f>
        <v>2250544414862</v>
      </c>
      <c r="K1707" s="1" t="s">
        <v>19</v>
      </c>
      <c r="L1707" s="4" t="s">
        <v>6038</v>
      </c>
    </row>
    <row r="1708">
      <c r="A1708" s="1" t="s">
        <v>12</v>
      </c>
      <c r="B1708" s="1" t="s">
        <v>6039</v>
      </c>
      <c r="C1708" s="1" t="s">
        <v>6040</v>
      </c>
      <c r="D1708" s="1" t="s">
        <v>6041</v>
      </c>
      <c r="E1708" s="2">
        <v>37876.0</v>
      </c>
      <c r="F1708" s="1" t="s">
        <v>16</v>
      </c>
      <c r="G1708" s="1" t="s">
        <v>25</v>
      </c>
      <c r="H1708" s="1" t="s">
        <v>18</v>
      </c>
      <c r="I1708" s="3">
        <f>+2250707272743</f>
        <v>2250707272743</v>
      </c>
      <c r="J1708" s="3">
        <f>+2250544640004</f>
        <v>2250544640004</v>
      </c>
      <c r="K1708" s="1" t="s">
        <v>19</v>
      </c>
      <c r="L1708" s="4" t="s">
        <v>6042</v>
      </c>
    </row>
    <row r="1709">
      <c r="A1709" s="1" t="s">
        <v>12</v>
      </c>
      <c r="B1709" s="1" t="s">
        <v>6043</v>
      </c>
      <c r="C1709" s="1" t="s">
        <v>6044</v>
      </c>
      <c r="D1709" s="1" t="s">
        <v>6045</v>
      </c>
      <c r="E1709" s="2">
        <v>37993.0</v>
      </c>
      <c r="F1709" s="1" t="s">
        <v>155</v>
      </c>
      <c r="G1709" s="1" t="s">
        <v>76</v>
      </c>
      <c r="H1709" s="1" t="s">
        <v>32</v>
      </c>
      <c r="I1709" s="3">
        <f>+2250103557788</f>
        <v>2250103557788</v>
      </c>
      <c r="J1709" s="3">
        <f>+2250707604187</f>
        <v>2250707604187</v>
      </c>
      <c r="K1709" s="1" t="s">
        <v>19</v>
      </c>
      <c r="L1709" s="4" t="s">
        <v>6046</v>
      </c>
    </row>
    <row r="1710">
      <c r="A1710" s="1" t="s">
        <v>12</v>
      </c>
      <c r="B1710" s="1" t="s">
        <v>6047</v>
      </c>
      <c r="C1710" s="1" t="s">
        <v>6048</v>
      </c>
      <c r="D1710" s="1" t="s">
        <v>6049</v>
      </c>
      <c r="E1710" s="2">
        <v>37450.0</v>
      </c>
      <c r="F1710" s="1" t="s">
        <v>155</v>
      </c>
      <c r="G1710" s="1" t="s">
        <v>76</v>
      </c>
      <c r="H1710" s="1" t="s">
        <v>32</v>
      </c>
      <c r="I1710" s="3">
        <f>+2250565418188</f>
        <v>2250565418188</v>
      </c>
      <c r="J1710" s="3">
        <f>+2250779847995</f>
        <v>2250779847995</v>
      </c>
      <c r="K1710" s="1" t="s">
        <v>19</v>
      </c>
      <c r="L1710" s="4" t="s">
        <v>6050</v>
      </c>
    </row>
    <row r="1711">
      <c r="A1711" s="1" t="s">
        <v>12</v>
      </c>
      <c r="B1711" s="1" t="s">
        <v>6051</v>
      </c>
      <c r="C1711" s="1" t="s">
        <v>6052</v>
      </c>
      <c r="D1711" s="1" t="s">
        <v>6053</v>
      </c>
      <c r="E1711" s="5">
        <v>38656.0</v>
      </c>
      <c r="F1711" s="1" t="s">
        <v>16</v>
      </c>
      <c r="G1711" s="1" t="s">
        <v>25</v>
      </c>
      <c r="H1711" s="1" t="s">
        <v>18</v>
      </c>
      <c r="I1711" s="3">
        <f>+2250585959947</f>
        <v>2250585959947</v>
      </c>
      <c r="J1711" s="3">
        <f>+2250102098780</f>
        <v>2250102098780</v>
      </c>
      <c r="K1711" s="1" t="s">
        <v>19</v>
      </c>
      <c r="L1711" s="4" t="s">
        <v>6054</v>
      </c>
    </row>
    <row r="1712">
      <c r="A1712" s="1" t="s">
        <v>12</v>
      </c>
      <c r="B1712" s="1" t="s">
        <v>6055</v>
      </c>
      <c r="C1712" s="1" t="s">
        <v>6056</v>
      </c>
      <c r="D1712" s="1" t="s">
        <v>6057</v>
      </c>
      <c r="E1712" s="2">
        <v>37173.0</v>
      </c>
      <c r="F1712" s="1" t="s">
        <v>30</v>
      </c>
      <c r="G1712" s="1" t="s">
        <v>31</v>
      </c>
      <c r="H1712" s="1" t="s">
        <v>32</v>
      </c>
      <c r="I1712" s="3">
        <f>+2250757382787</f>
        <v>2250757382787</v>
      </c>
      <c r="J1712" s="3">
        <f>+2250778769096</f>
        <v>2250778769096</v>
      </c>
      <c r="K1712" s="1" t="s">
        <v>19</v>
      </c>
      <c r="L1712" s="4" t="s">
        <v>6058</v>
      </c>
    </row>
    <row r="1713">
      <c r="A1713" s="1" t="s">
        <v>12</v>
      </c>
      <c r="B1713" s="1" t="s">
        <v>6059</v>
      </c>
      <c r="C1713" s="1" t="s">
        <v>6060</v>
      </c>
      <c r="D1713" s="1" t="s">
        <v>6061</v>
      </c>
      <c r="E1713" s="2">
        <v>38808.0</v>
      </c>
      <c r="F1713" s="1" t="s">
        <v>62</v>
      </c>
      <c r="G1713" s="1" t="s">
        <v>25</v>
      </c>
      <c r="H1713" s="1" t="s">
        <v>18</v>
      </c>
      <c r="I1713" s="3">
        <f>+2250711239920</f>
        <v>2250711239920</v>
      </c>
      <c r="J1713" s="3">
        <f>+2250101047081</f>
        <v>2250101047081</v>
      </c>
      <c r="K1713" s="1" t="s">
        <v>19</v>
      </c>
      <c r="L1713" s="4" t="s">
        <v>6062</v>
      </c>
    </row>
    <row r="1714">
      <c r="A1714" s="1" t="s">
        <v>12</v>
      </c>
      <c r="B1714" s="1" t="s">
        <v>6063</v>
      </c>
      <c r="C1714" s="1" t="s">
        <v>6064</v>
      </c>
      <c r="D1714" s="1" t="s">
        <v>6065</v>
      </c>
      <c r="E1714" s="2">
        <v>37838.0</v>
      </c>
      <c r="F1714" s="1" t="s">
        <v>16</v>
      </c>
      <c r="G1714" s="1" t="s">
        <v>25</v>
      </c>
      <c r="H1714" s="1" t="s">
        <v>18</v>
      </c>
      <c r="I1714" s="3">
        <f>+2250703627778</f>
        <v>2250703627778</v>
      </c>
      <c r="J1714" s="3">
        <f>+2250709589521</f>
        <v>2250709589521</v>
      </c>
      <c r="K1714" s="1" t="s">
        <v>19</v>
      </c>
      <c r="L1714" s="4" t="s">
        <v>6066</v>
      </c>
    </row>
    <row r="1715">
      <c r="A1715" s="1" t="s">
        <v>12</v>
      </c>
      <c r="B1715" s="1" t="s">
        <v>6067</v>
      </c>
      <c r="C1715" s="1" t="s">
        <v>6064</v>
      </c>
      <c r="D1715" s="1" t="s">
        <v>6068</v>
      </c>
      <c r="E1715" s="2">
        <v>37880.0</v>
      </c>
      <c r="F1715" s="1" t="s">
        <v>48</v>
      </c>
      <c r="G1715" s="1" t="s">
        <v>31</v>
      </c>
      <c r="H1715" s="1" t="s">
        <v>32</v>
      </c>
      <c r="I1715" s="3">
        <f>+2250142835655</f>
        <v>2250142835655</v>
      </c>
      <c r="J1715" s="3">
        <f>+2250101906679</f>
        <v>2250101906679</v>
      </c>
      <c r="K1715" s="1" t="s">
        <v>19</v>
      </c>
      <c r="L1715" s="4" t="s">
        <v>6069</v>
      </c>
    </row>
    <row r="1716">
      <c r="A1716" s="1" t="s">
        <v>12</v>
      </c>
      <c r="B1716" s="1" t="s">
        <v>6070</v>
      </c>
      <c r="C1716" s="1" t="s">
        <v>6071</v>
      </c>
      <c r="D1716" s="1" t="s">
        <v>6072</v>
      </c>
      <c r="E1716" s="2">
        <v>38468.0</v>
      </c>
      <c r="F1716" s="1" t="s">
        <v>16</v>
      </c>
      <c r="G1716" s="1" t="s">
        <v>17</v>
      </c>
      <c r="H1716" s="1" t="s">
        <v>18</v>
      </c>
      <c r="I1716" s="3">
        <f>+2250775374935</f>
        <v>2250775374935</v>
      </c>
      <c r="J1716" s="3">
        <f>+2250745234622</f>
        <v>2250745234622</v>
      </c>
      <c r="K1716" s="1" t="s">
        <v>19</v>
      </c>
      <c r="L1716" s="4" t="s">
        <v>6073</v>
      </c>
    </row>
    <row r="1717">
      <c r="A1717" s="1" t="s">
        <v>12</v>
      </c>
      <c r="B1717" s="1" t="s">
        <v>6074</v>
      </c>
      <c r="C1717" s="1" t="s">
        <v>6075</v>
      </c>
      <c r="D1717" s="1" t="s">
        <v>6076</v>
      </c>
      <c r="E1717" s="2">
        <v>38552.0</v>
      </c>
      <c r="F1717" s="1" t="s">
        <v>16</v>
      </c>
      <c r="G1717" s="1" t="s">
        <v>25</v>
      </c>
      <c r="H1717" s="1" t="s">
        <v>18</v>
      </c>
      <c r="I1717" s="3">
        <f>+2250789046339</f>
        <v>2250789046339</v>
      </c>
      <c r="J1717" s="3">
        <f>+2250707860431</f>
        <v>2250707860431</v>
      </c>
      <c r="K1717" s="1" t="s">
        <v>19</v>
      </c>
      <c r="L1717" s="4" t="s">
        <v>6077</v>
      </c>
    </row>
    <row r="1718">
      <c r="A1718" s="1" t="s">
        <v>12</v>
      </c>
      <c r="B1718" s="1" t="s">
        <v>6078</v>
      </c>
      <c r="C1718" s="1" t="s">
        <v>6075</v>
      </c>
      <c r="D1718" s="1" t="s">
        <v>6079</v>
      </c>
      <c r="E1718" s="2">
        <v>37931.0</v>
      </c>
      <c r="F1718" s="1" t="s">
        <v>53</v>
      </c>
      <c r="G1718" s="1" t="s">
        <v>25</v>
      </c>
      <c r="H1718" s="1" t="s">
        <v>18</v>
      </c>
      <c r="I1718" s="3">
        <f>+2250748705257</f>
        <v>2250748705257</v>
      </c>
      <c r="J1718" s="3">
        <f>+2250709471652</f>
        <v>2250709471652</v>
      </c>
      <c r="K1718" s="1" t="s">
        <v>19</v>
      </c>
      <c r="L1718" s="4" t="s">
        <v>6080</v>
      </c>
    </row>
    <row r="1719">
      <c r="A1719" s="1" t="s">
        <v>12</v>
      </c>
      <c r="B1719" s="1" t="s">
        <v>6081</v>
      </c>
      <c r="C1719" s="1" t="s">
        <v>6082</v>
      </c>
      <c r="D1719" s="1" t="s">
        <v>6083</v>
      </c>
      <c r="E1719" s="2">
        <v>37901.0</v>
      </c>
      <c r="F1719" s="1" t="s">
        <v>101</v>
      </c>
      <c r="G1719" s="1" t="s">
        <v>31</v>
      </c>
      <c r="H1719" s="1" t="s">
        <v>32</v>
      </c>
      <c r="I1719" s="3">
        <f>+2250778349984</f>
        <v>2250778349984</v>
      </c>
      <c r="J1719" s="3">
        <f>+2250707991406</f>
        <v>2250707991406</v>
      </c>
      <c r="K1719" s="1" t="s">
        <v>19</v>
      </c>
      <c r="L1719" s="4" t="s">
        <v>6084</v>
      </c>
    </row>
    <row r="1720">
      <c r="A1720" s="1" t="s">
        <v>12</v>
      </c>
      <c r="B1720" s="1" t="s">
        <v>6085</v>
      </c>
      <c r="C1720" s="1" t="s">
        <v>6086</v>
      </c>
      <c r="D1720" s="1" t="s">
        <v>6087</v>
      </c>
      <c r="E1720" s="2">
        <v>36992.0</v>
      </c>
      <c r="F1720" s="1" t="s">
        <v>182</v>
      </c>
      <c r="G1720" s="1" t="s">
        <v>82</v>
      </c>
      <c r="H1720" s="1" t="s">
        <v>18</v>
      </c>
      <c r="I1720" s="3">
        <f>+2250748933644</f>
        <v>2250748933644</v>
      </c>
      <c r="J1720" s="3">
        <f>+2250777288722</f>
        <v>2250777288722</v>
      </c>
      <c r="K1720" s="1" t="s">
        <v>19</v>
      </c>
      <c r="L1720" s="4" t="s">
        <v>6088</v>
      </c>
    </row>
    <row r="1721">
      <c r="A1721" s="1" t="s">
        <v>12</v>
      </c>
      <c r="B1721" s="1" t="s">
        <v>6089</v>
      </c>
      <c r="C1721" s="1" t="s">
        <v>6090</v>
      </c>
      <c r="D1721" s="1" t="s">
        <v>6091</v>
      </c>
      <c r="E1721" s="2">
        <v>36969.0</v>
      </c>
      <c r="F1721" s="1" t="s">
        <v>167</v>
      </c>
      <c r="G1721" s="1" t="s">
        <v>17</v>
      </c>
      <c r="H1721" s="1" t="s">
        <v>18</v>
      </c>
      <c r="I1721" s="3">
        <f>+2250779589057</f>
        <v>2250779589057</v>
      </c>
      <c r="J1721" s="3">
        <f>+2250709936914</f>
        <v>2250709936914</v>
      </c>
      <c r="K1721" s="1" t="s">
        <v>19</v>
      </c>
      <c r="L1721" s="4" t="s">
        <v>6092</v>
      </c>
    </row>
    <row r="1722">
      <c r="A1722" s="1" t="s">
        <v>12</v>
      </c>
      <c r="B1722" s="1" t="s">
        <v>6093</v>
      </c>
      <c r="C1722" s="1" t="s">
        <v>6094</v>
      </c>
      <c r="D1722" s="1" t="s">
        <v>6095</v>
      </c>
      <c r="E1722" s="2">
        <v>36684.0</v>
      </c>
      <c r="F1722" s="1" t="s">
        <v>53</v>
      </c>
      <c r="G1722" s="1" t="s">
        <v>17</v>
      </c>
      <c r="H1722" s="1" t="s">
        <v>18</v>
      </c>
      <c r="I1722" s="3">
        <f>+2250704635058</f>
        <v>2250704635058</v>
      </c>
      <c r="J1722" s="3">
        <f>+2250172551479</f>
        <v>2250172551479</v>
      </c>
      <c r="K1722" s="1" t="s">
        <v>19</v>
      </c>
      <c r="L1722" s="4" t="s">
        <v>6096</v>
      </c>
    </row>
    <row r="1723">
      <c r="A1723" s="1" t="s">
        <v>12</v>
      </c>
      <c r="B1723" s="1" t="s">
        <v>6097</v>
      </c>
      <c r="C1723" s="1" t="s">
        <v>6094</v>
      </c>
      <c r="D1723" s="1" t="s">
        <v>6098</v>
      </c>
      <c r="E1723" s="5">
        <v>37967.0</v>
      </c>
      <c r="F1723" s="1" t="s">
        <v>53</v>
      </c>
      <c r="G1723" s="1" t="s">
        <v>25</v>
      </c>
      <c r="H1723" s="1" t="s">
        <v>18</v>
      </c>
      <c r="I1723" s="3">
        <f>+2250595504048</f>
        <v>2250595504048</v>
      </c>
      <c r="J1723" s="3">
        <f>+2250505870368</f>
        <v>2250505870368</v>
      </c>
      <c r="K1723" s="1" t="s">
        <v>19</v>
      </c>
      <c r="L1723" s="4" t="s">
        <v>6099</v>
      </c>
    </row>
    <row r="1724">
      <c r="A1724" s="1" t="s">
        <v>12</v>
      </c>
      <c r="B1724" s="1" t="s">
        <v>6100</v>
      </c>
      <c r="C1724" s="1" t="s">
        <v>6094</v>
      </c>
      <c r="D1724" s="1" t="s">
        <v>6101</v>
      </c>
      <c r="E1724" s="2">
        <v>37530.0</v>
      </c>
      <c r="F1724" s="1" t="s">
        <v>92</v>
      </c>
      <c r="G1724" s="1" t="s">
        <v>76</v>
      </c>
      <c r="H1724" s="1" t="s">
        <v>32</v>
      </c>
      <c r="I1724" s="3">
        <f>+2250503803601</f>
        <v>2250503803601</v>
      </c>
      <c r="J1724" s="3">
        <f>+2250707896108</f>
        <v>2250707896108</v>
      </c>
      <c r="K1724" s="1" t="s">
        <v>19</v>
      </c>
      <c r="L1724" s="4" t="s">
        <v>6102</v>
      </c>
    </row>
    <row r="1725">
      <c r="A1725" s="1" t="s">
        <v>12</v>
      </c>
      <c r="B1725" s="1" t="s">
        <v>6103</v>
      </c>
      <c r="C1725" s="1" t="s">
        <v>6104</v>
      </c>
      <c r="D1725" s="1" t="s">
        <v>6105</v>
      </c>
      <c r="E1725" s="2">
        <v>37257.0</v>
      </c>
      <c r="F1725" s="1" t="s">
        <v>48</v>
      </c>
      <c r="G1725" s="1" t="s">
        <v>76</v>
      </c>
      <c r="H1725" s="1" t="s">
        <v>32</v>
      </c>
      <c r="I1725" s="3">
        <f>+2250546791242</f>
        <v>2250546791242</v>
      </c>
      <c r="J1725" s="3">
        <f>+225070810248</f>
        <v>225070810248</v>
      </c>
      <c r="K1725" s="1" t="s">
        <v>19</v>
      </c>
      <c r="L1725" s="4" t="s">
        <v>6106</v>
      </c>
    </row>
    <row r="1726">
      <c r="A1726" s="1" t="s">
        <v>12</v>
      </c>
      <c r="B1726" s="1" t="s">
        <v>6107</v>
      </c>
      <c r="C1726" s="1" t="s">
        <v>6104</v>
      </c>
      <c r="D1726" s="1" t="s">
        <v>6108</v>
      </c>
      <c r="E1726" s="5">
        <v>37254.0</v>
      </c>
      <c r="F1726" s="1" t="s">
        <v>62</v>
      </c>
      <c r="G1726" s="1" t="s">
        <v>17</v>
      </c>
      <c r="H1726" s="1" t="s">
        <v>18</v>
      </c>
      <c r="I1726" s="3">
        <f>+2250708680995</f>
        <v>2250708680995</v>
      </c>
      <c r="J1726" s="3">
        <f>+2250708252540</f>
        <v>2250708252540</v>
      </c>
      <c r="K1726" s="1" t="s">
        <v>19</v>
      </c>
      <c r="L1726" s="4" t="s">
        <v>6109</v>
      </c>
    </row>
    <row r="1727">
      <c r="A1727" s="1" t="s">
        <v>12</v>
      </c>
      <c r="B1727" s="1" t="s">
        <v>6110</v>
      </c>
      <c r="C1727" s="1" t="s">
        <v>6104</v>
      </c>
      <c r="D1727" s="1" t="s">
        <v>6111</v>
      </c>
      <c r="E1727" s="2">
        <v>37516.0</v>
      </c>
      <c r="F1727" s="1" t="s">
        <v>30</v>
      </c>
      <c r="G1727" s="1" t="s">
        <v>76</v>
      </c>
      <c r="H1727" s="1" t="s">
        <v>32</v>
      </c>
      <c r="I1727" s="3">
        <f>+2250798984318</f>
        <v>2250798984318</v>
      </c>
      <c r="J1727" s="3">
        <f>+2250759473055</f>
        <v>2250759473055</v>
      </c>
      <c r="K1727" s="1" t="s">
        <v>19</v>
      </c>
      <c r="L1727" s="4" t="s">
        <v>6112</v>
      </c>
    </row>
    <row r="1728">
      <c r="A1728" s="1" t="s">
        <v>12</v>
      </c>
      <c r="B1728" s="1" t="s">
        <v>6113</v>
      </c>
      <c r="C1728" s="1" t="s">
        <v>6104</v>
      </c>
      <c r="D1728" s="1" t="s">
        <v>6114</v>
      </c>
      <c r="E1728" s="2">
        <v>38002.0</v>
      </c>
      <c r="F1728" s="1" t="s">
        <v>53</v>
      </c>
      <c r="G1728" s="1" t="s">
        <v>25</v>
      </c>
      <c r="H1728" s="1" t="s">
        <v>18</v>
      </c>
      <c r="I1728" s="3">
        <f>+2250789369349</f>
        <v>2250789369349</v>
      </c>
      <c r="J1728" s="3">
        <f>+2250707244383</f>
        <v>2250707244383</v>
      </c>
      <c r="K1728" s="1" t="s">
        <v>19</v>
      </c>
      <c r="L1728" s="4" t="s">
        <v>6115</v>
      </c>
    </row>
    <row r="1729">
      <c r="A1729" s="1" t="s">
        <v>12</v>
      </c>
      <c r="B1729" s="1" t="s">
        <v>6116</v>
      </c>
      <c r="C1729" s="1" t="s">
        <v>6104</v>
      </c>
      <c r="D1729" s="1" t="s">
        <v>6117</v>
      </c>
      <c r="E1729" s="5">
        <v>37220.0</v>
      </c>
      <c r="F1729" s="1" t="s">
        <v>16</v>
      </c>
      <c r="G1729" s="1" t="s">
        <v>25</v>
      </c>
      <c r="H1729" s="1" t="s">
        <v>18</v>
      </c>
      <c r="I1729" s="3">
        <f>+2250140373722</f>
        <v>2250140373722</v>
      </c>
      <c r="J1729" s="3">
        <f>+2250102823976</f>
        <v>2250102823976</v>
      </c>
      <c r="K1729" s="1" t="s">
        <v>19</v>
      </c>
      <c r="L1729" s="4" t="s">
        <v>6118</v>
      </c>
    </row>
    <row r="1730">
      <c r="A1730" s="1" t="s">
        <v>12</v>
      </c>
      <c r="B1730" s="1" t="s">
        <v>6119</v>
      </c>
      <c r="C1730" s="1" t="s">
        <v>6104</v>
      </c>
      <c r="D1730" s="1" t="s">
        <v>6120</v>
      </c>
      <c r="E1730" s="2">
        <v>38577.0</v>
      </c>
      <c r="F1730" s="1" t="s">
        <v>53</v>
      </c>
      <c r="G1730" s="1" t="s">
        <v>25</v>
      </c>
      <c r="H1730" s="1" t="s">
        <v>18</v>
      </c>
      <c r="I1730" s="3">
        <f>+2250767565516</f>
        <v>2250767565516</v>
      </c>
      <c r="J1730" s="3">
        <f>+2250707859135</f>
        <v>2250707859135</v>
      </c>
      <c r="K1730" s="1" t="s">
        <v>19</v>
      </c>
      <c r="L1730" s="4" t="s">
        <v>6121</v>
      </c>
    </row>
    <row r="1731">
      <c r="A1731" s="1" t="s">
        <v>12</v>
      </c>
      <c r="B1731" s="1" t="s">
        <v>6122</v>
      </c>
      <c r="C1731" s="1" t="s">
        <v>6104</v>
      </c>
      <c r="D1731" s="1" t="s">
        <v>6123</v>
      </c>
      <c r="E1731" s="5">
        <v>37919.0</v>
      </c>
      <c r="F1731" s="1" t="s">
        <v>16</v>
      </c>
      <c r="G1731" s="1" t="s">
        <v>17</v>
      </c>
      <c r="H1731" s="1" t="s">
        <v>18</v>
      </c>
      <c r="I1731" s="3">
        <f>+2250143530764</f>
        <v>2250143530764</v>
      </c>
      <c r="J1731" s="3">
        <f>+2250749509411</f>
        <v>2250749509411</v>
      </c>
      <c r="K1731" s="1" t="s">
        <v>19</v>
      </c>
      <c r="L1731" s="4" t="s">
        <v>6124</v>
      </c>
    </row>
    <row r="1732">
      <c r="A1732" s="1" t="s">
        <v>12</v>
      </c>
      <c r="B1732" s="1" t="s">
        <v>6125</v>
      </c>
      <c r="C1732" s="1" t="s">
        <v>6104</v>
      </c>
      <c r="D1732" s="1" t="s">
        <v>6126</v>
      </c>
      <c r="E1732" s="2">
        <v>37660.0</v>
      </c>
      <c r="F1732" s="1" t="s">
        <v>24</v>
      </c>
      <c r="G1732" s="1" t="s">
        <v>82</v>
      </c>
      <c r="H1732" s="1" t="s">
        <v>18</v>
      </c>
      <c r="I1732" s="3">
        <f>+2250747514111</f>
        <v>2250747514111</v>
      </c>
      <c r="J1732" s="3">
        <f>+2250506084997</f>
        <v>2250506084997</v>
      </c>
      <c r="K1732" s="1" t="s">
        <v>19</v>
      </c>
      <c r="L1732" s="4" t="s">
        <v>6127</v>
      </c>
    </row>
    <row r="1733">
      <c r="A1733" s="1" t="s">
        <v>12</v>
      </c>
      <c r="B1733" s="1" t="s">
        <v>6128</v>
      </c>
      <c r="C1733" s="1" t="s">
        <v>6104</v>
      </c>
      <c r="D1733" s="1" t="s">
        <v>6129</v>
      </c>
      <c r="E1733" s="5">
        <v>37611.0</v>
      </c>
      <c r="F1733" s="1" t="s">
        <v>53</v>
      </c>
      <c r="G1733" s="1" t="s">
        <v>25</v>
      </c>
      <c r="H1733" s="1" t="s">
        <v>18</v>
      </c>
      <c r="I1733" s="3">
        <f>+2250788287700</f>
        <v>2250788287700</v>
      </c>
      <c r="J1733" s="3">
        <f>+2250101672832</f>
        <v>2250101672832</v>
      </c>
      <c r="K1733" s="1" t="s">
        <v>19</v>
      </c>
      <c r="L1733" s="4" t="s">
        <v>6130</v>
      </c>
    </row>
    <row r="1734">
      <c r="A1734" s="1" t="s">
        <v>12</v>
      </c>
      <c r="B1734" s="1" t="s">
        <v>6131</v>
      </c>
      <c r="C1734" s="1" t="s">
        <v>6104</v>
      </c>
      <c r="D1734" s="1" t="s">
        <v>6132</v>
      </c>
      <c r="E1734" s="2">
        <v>37882.0</v>
      </c>
      <c r="F1734" s="1" t="s">
        <v>37</v>
      </c>
      <c r="G1734" s="1" t="s">
        <v>82</v>
      </c>
      <c r="H1734" s="1" t="s">
        <v>18</v>
      </c>
      <c r="I1734" s="3">
        <f>+2250709868923</f>
        <v>2250709868923</v>
      </c>
      <c r="J1734" s="3">
        <f>+2250709351585</f>
        <v>2250709351585</v>
      </c>
      <c r="K1734" s="1" t="s">
        <v>19</v>
      </c>
      <c r="L1734" s="4" t="s">
        <v>6133</v>
      </c>
    </row>
    <row r="1735">
      <c r="A1735" s="1" t="s">
        <v>12</v>
      </c>
      <c r="B1735" s="1" t="s">
        <v>6134</v>
      </c>
      <c r="C1735" s="1" t="s">
        <v>6104</v>
      </c>
      <c r="D1735" s="1" t="s">
        <v>6135</v>
      </c>
      <c r="E1735" s="2">
        <v>37903.0</v>
      </c>
      <c r="F1735" s="1" t="s">
        <v>101</v>
      </c>
      <c r="G1735" s="1" t="s">
        <v>76</v>
      </c>
      <c r="H1735" s="1" t="s">
        <v>32</v>
      </c>
      <c r="I1735" s="3">
        <f>+2250778066771</f>
        <v>2250778066771</v>
      </c>
      <c r="J1735" s="3">
        <f>+2250798232895</f>
        <v>2250798232895</v>
      </c>
      <c r="K1735" s="1" t="s">
        <v>19</v>
      </c>
      <c r="L1735" s="4" t="s">
        <v>6136</v>
      </c>
    </row>
    <row r="1736">
      <c r="A1736" s="1" t="s">
        <v>12</v>
      </c>
      <c r="B1736" s="1" t="s">
        <v>6137</v>
      </c>
      <c r="C1736" s="1" t="s">
        <v>6104</v>
      </c>
      <c r="D1736" s="1" t="s">
        <v>6138</v>
      </c>
      <c r="E1736" s="2">
        <v>38205.0</v>
      </c>
      <c r="F1736" s="1" t="s">
        <v>16</v>
      </c>
      <c r="G1736" s="1" t="s">
        <v>25</v>
      </c>
      <c r="H1736" s="1" t="s">
        <v>18</v>
      </c>
      <c r="I1736" s="3">
        <f>+2250788516723</f>
        <v>2250788516723</v>
      </c>
      <c r="J1736" s="3">
        <f>+2250707424633</f>
        <v>2250707424633</v>
      </c>
      <c r="K1736" s="1" t="s">
        <v>19</v>
      </c>
      <c r="L1736" s="4" t="s">
        <v>6139</v>
      </c>
    </row>
    <row r="1737">
      <c r="A1737" s="1" t="s">
        <v>12</v>
      </c>
      <c r="B1737" s="1" t="s">
        <v>6140</v>
      </c>
      <c r="C1737" s="1" t="s">
        <v>6104</v>
      </c>
      <c r="D1737" s="1" t="s">
        <v>6141</v>
      </c>
      <c r="E1737" s="2">
        <v>37136.0</v>
      </c>
      <c r="F1737" s="1" t="s">
        <v>16</v>
      </c>
      <c r="G1737" s="1" t="s">
        <v>17</v>
      </c>
      <c r="H1737" s="1" t="s">
        <v>18</v>
      </c>
      <c r="I1737" s="3">
        <f>+2250758552090</f>
        <v>2250758552090</v>
      </c>
      <c r="J1737" s="3">
        <f>+2250101773347</f>
        <v>2250101773347</v>
      </c>
      <c r="K1737" s="1" t="s">
        <v>19</v>
      </c>
      <c r="L1737" s="4" t="s">
        <v>6142</v>
      </c>
    </row>
    <row r="1738">
      <c r="A1738" s="1" t="s">
        <v>12</v>
      </c>
      <c r="B1738" s="1" t="s">
        <v>6143</v>
      </c>
      <c r="C1738" s="1" t="s">
        <v>6104</v>
      </c>
      <c r="D1738" s="1" t="s">
        <v>6144</v>
      </c>
      <c r="E1738" s="2">
        <v>37641.0</v>
      </c>
      <c r="F1738" s="1" t="s">
        <v>147</v>
      </c>
      <c r="G1738" s="1" t="s">
        <v>25</v>
      </c>
      <c r="H1738" s="1" t="s">
        <v>18</v>
      </c>
      <c r="I1738" s="3">
        <f>+2250142402326</f>
        <v>2250142402326</v>
      </c>
      <c r="J1738" s="3">
        <f>+2250707935438</f>
        <v>2250707935438</v>
      </c>
      <c r="K1738" s="1" t="s">
        <v>19</v>
      </c>
      <c r="L1738" s="4" t="s">
        <v>6145</v>
      </c>
    </row>
    <row r="1739">
      <c r="A1739" s="1" t="s">
        <v>12</v>
      </c>
      <c r="B1739" s="1" t="s">
        <v>6146</v>
      </c>
      <c r="C1739" s="1" t="s">
        <v>6104</v>
      </c>
      <c r="D1739" s="1" t="s">
        <v>6147</v>
      </c>
      <c r="E1739" s="5">
        <v>38272.0</v>
      </c>
      <c r="F1739" s="1" t="s">
        <v>92</v>
      </c>
      <c r="G1739" s="1" t="s">
        <v>31</v>
      </c>
      <c r="H1739" s="1" t="s">
        <v>32</v>
      </c>
      <c r="I1739" s="3">
        <f>+2250769696169</f>
        <v>2250769696169</v>
      </c>
      <c r="J1739" s="3">
        <f>+2250758494261</f>
        <v>2250758494261</v>
      </c>
      <c r="K1739" s="1" t="s">
        <v>19</v>
      </c>
      <c r="L1739" s="4" t="s">
        <v>6148</v>
      </c>
    </row>
    <row r="1740">
      <c r="A1740" s="1" t="s">
        <v>12</v>
      </c>
      <c r="B1740" s="1" t="s">
        <v>6149</v>
      </c>
      <c r="C1740" s="1" t="s">
        <v>6104</v>
      </c>
      <c r="D1740" s="1" t="s">
        <v>6150</v>
      </c>
      <c r="E1740" s="2">
        <v>37360.0</v>
      </c>
      <c r="F1740" s="1" t="s">
        <v>16</v>
      </c>
      <c r="G1740" s="1" t="s">
        <v>82</v>
      </c>
      <c r="H1740" s="1" t="s">
        <v>18</v>
      </c>
      <c r="I1740" s="3">
        <f>+2250779769920</f>
        <v>2250779769920</v>
      </c>
      <c r="J1740" s="3">
        <f>+2250708182183</f>
        <v>2250708182183</v>
      </c>
      <c r="K1740" s="1" t="s">
        <v>19</v>
      </c>
      <c r="L1740" s="4" t="s">
        <v>6151</v>
      </c>
    </row>
    <row r="1741">
      <c r="A1741" s="1" t="s">
        <v>12</v>
      </c>
      <c r="B1741" s="1" t="s">
        <v>6152</v>
      </c>
      <c r="C1741" s="1" t="s">
        <v>6104</v>
      </c>
      <c r="D1741" s="1" t="s">
        <v>6153</v>
      </c>
      <c r="E1741" s="5">
        <v>36482.0</v>
      </c>
      <c r="F1741" s="1" t="s">
        <v>62</v>
      </c>
      <c r="G1741" s="1" t="s">
        <v>17</v>
      </c>
      <c r="H1741" s="1" t="s">
        <v>18</v>
      </c>
      <c r="I1741" s="3">
        <f>+2250711356664</f>
        <v>2250711356664</v>
      </c>
      <c r="J1741" s="3">
        <f>+2250779502973</f>
        <v>2250779502973</v>
      </c>
      <c r="K1741" s="1" t="s">
        <v>19</v>
      </c>
      <c r="L1741" s="4" t="s">
        <v>6154</v>
      </c>
    </row>
    <row r="1742">
      <c r="A1742" s="1" t="s">
        <v>12</v>
      </c>
      <c r="B1742" s="1" t="s">
        <v>6155</v>
      </c>
      <c r="C1742" s="1" t="s">
        <v>6104</v>
      </c>
      <c r="D1742" s="1" t="s">
        <v>6156</v>
      </c>
      <c r="E1742" s="2">
        <v>37155.0</v>
      </c>
      <c r="F1742" s="1" t="s">
        <v>16</v>
      </c>
      <c r="G1742" s="1" t="s">
        <v>17</v>
      </c>
      <c r="H1742" s="1" t="s">
        <v>18</v>
      </c>
      <c r="I1742" s="3">
        <f>+2250701808124</f>
        <v>2250701808124</v>
      </c>
      <c r="J1742" s="3">
        <f>+2250707974719</f>
        <v>2250707974719</v>
      </c>
      <c r="K1742" s="1" t="s">
        <v>19</v>
      </c>
      <c r="L1742" s="4" t="s">
        <v>6157</v>
      </c>
    </row>
    <row r="1743">
      <c r="A1743" s="1" t="s">
        <v>12</v>
      </c>
      <c r="B1743" s="1" t="s">
        <v>6158</v>
      </c>
      <c r="C1743" s="1" t="s">
        <v>6104</v>
      </c>
      <c r="D1743" s="1" t="s">
        <v>6159</v>
      </c>
      <c r="E1743" s="2">
        <v>37381.0</v>
      </c>
      <c r="F1743" s="1" t="s">
        <v>138</v>
      </c>
      <c r="G1743" s="1" t="s">
        <v>76</v>
      </c>
      <c r="H1743" s="1" t="s">
        <v>32</v>
      </c>
      <c r="I1743" s="3">
        <f>+2250703937090</f>
        <v>2250703937090</v>
      </c>
      <c r="J1743" s="3">
        <f>+2250759584945</f>
        <v>2250759584945</v>
      </c>
      <c r="K1743" s="1" t="s">
        <v>19</v>
      </c>
      <c r="L1743" s="4" t="s">
        <v>6160</v>
      </c>
    </row>
    <row r="1744">
      <c r="A1744" s="1" t="s">
        <v>12</v>
      </c>
      <c r="B1744" s="1" t="s">
        <v>6161</v>
      </c>
      <c r="C1744" s="1" t="s">
        <v>6104</v>
      </c>
      <c r="D1744" s="1" t="s">
        <v>6162</v>
      </c>
      <c r="E1744" s="5">
        <v>36461.0</v>
      </c>
      <c r="F1744" s="1" t="s">
        <v>16</v>
      </c>
      <c r="G1744" s="1" t="s">
        <v>17</v>
      </c>
      <c r="H1744" s="1" t="s">
        <v>18</v>
      </c>
      <c r="I1744" s="3">
        <f>+2250502983661</f>
        <v>2250502983661</v>
      </c>
      <c r="J1744" s="3">
        <f>+2250709436179</f>
        <v>2250709436179</v>
      </c>
      <c r="K1744" s="1" t="s">
        <v>19</v>
      </c>
      <c r="L1744" s="4" t="s">
        <v>6163</v>
      </c>
    </row>
    <row r="1745">
      <c r="A1745" s="1" t="s">
        <v>12</v>
      </c>
      <c r="B1745" s="1" t="s">
        <v>6164</v>
      </c>
      <c r="C1745" s="1" t="s">
        <v>6104</v>
      </c>
      <c r="D1745" s="1" t="s">
        <v>6165</v>
      </c>
      <c r="E1745" s="2">
        <v>36978.0</v>
      </c>
      <c r="F1745" s="1" t="s">
        <v>24</v>
      </c>
      <c r="G1745" s="1" t="s">
        <v>17</v>
      </c>
      <c r="H1745" s="1" t="s">
        <v>18</v>
      </c>
      <c r="I1745" s="3">
        <f>+2250789436939</f>
        <v>2250789436939</v>
      </c>
      <c r="J1745" s="3">
        <f>+2250709470120</f>
        <v>2250709470120</v>
      </c>
      <c r="K1745" s="1" t="s">
        <v>19</v>
      </c>
      <c r="L1745" s="4" t="s">
        <v>6166</v>
      </c>
    </row>
    <row r="1746">
      <c r="A1746" s="1" t="s">
        <v>12</v>
      </c>
      <c r="B1746" s="1" t="s">
        <v>6167</v>
      </c>
      <c r="C1746" s="1" t="s">
        <v>6104</v>
      </c>
      <c r="D1746" s="1" t="s">
        <v>6168</v>
      </c>
      <c r="E1746" s="2">
        <v>36757.0</v>
      </c>
      <c r="F1746" s="1" t="s">
        <v>75</v>
      </c>
      <c r="G1746" s="1" t="s">
        <v>82</v>
      </c>
      <c r="H1746" s="1" t="s">
        <v>18</v>
      </c>
      <c r="I1746" s="3">
        <f>+2250704309296</f>
        <v>2250704309296</v>
      </c>
      <c r="J1746" s="3">
        <f>+2250778781425</f>
        <v>2250778781425</v>
      </c>
      <c r="K1746" s="1" t="s">
        <v>19</v>
      </c>
      <c r="L1746" s="4" t="s">
        <v>6169</v>
      </c>
    </row>
    <row r="1747">
      <c r="A1747" s="1" t="s">
        <v>12</v>
      </c>
      <c r="B1747" s="1" t="s">
        <v>6170</v>
      </c>
      <c r="C1747" s="1" t="s">
        <v>6104</v>
      </c>
      <c r="D1747" s="1" t="s">
        <v>6171</v>
      </c>
      <c r="E1747" s="2">
        <v>36803.0</v>
      </c>
      <c r="F1747" s="1" t="s">
        <v>155</v>
      </c>
      <c r="G1747" s="1" t="s">
        <v>76</v>
      </c>
      <c r="H1747" s="1" t="s">
        <v>32</v>
      </c>
      <c r="I1747" s="3">
        <f>+2250747683284</f>
        <v>2250747683284</v>
      </c>
      <c r="J1747" s="3">
        <f>+2250748040786</f>
        <v>2250748040786</v>
      </c>
      <c r="K1747" s="1" t="s">
        <v>19</v>
      </c>
      <c r="L1747" s="4" t="s">
        <v>6172</v>
      </c>
    </row>
    <row r="1748">
      <c r="A1748" s="1" t="s">
        <v>12</v>
      </c>
      <c r="B1748" s="1" t="s">
        <v>6173</v>
      </c>
      <c r="C1748" s="1" t="s">
        <v>6104</v>
      </c>
      <c r="D1748" s="1" t="s">
        <v>6174</v>
      </c>
      <c r="E1748" s="2">
        <v>37766.0</v>
      </c>
      <c r="F1748" s="1" t="s">
        <v>53</v>
      </c>
      <c r="G1748" s="1" t="s">
        <v>25</v>
      </c>
      <c r="H1748" s="1" t="s">
        <v>18</v>
      </c>
      <c r="I1748" s="3">
        <f>+2250702767623</f>
        <v>2250702767623</v>
      </c>
      <c r="J1748" s="3">
        <f>+2250708263309</f>
        <v>2250708263309</v>
      </c>
      <c r="K1748" s="1" t="s">
        <v>19</v>
      </c>
      <c r="L1748" s="4" t="s">
        <v>6175</v>
      </c>
    </row>
    <row r="1749">
      <c r="A1749" s="1" t="s">
        <v>12</v>
      </c>
      <c r="B1749" s="1" t="s">
        <v>6176</v>
      </c>
      <c r="C1749" s="1" t="s">
        <v>6104</v>
      </c>
      <c r="D1749" s="1" t="s">
        <v>6177</v>
      </c>
      <c r="E1749" s="2">
        <v>38919.0</v>
      </c>
      <c r="F1749" s="1" t="s">
        <v>75</v>
      </c>
      <c r="G1749" s="1" t="s">
        <v>76</v>
      </c>
      <c r="H1749" s="1" t="s">
        <v>32</v>
      </c>
      <c r="I1749" s="3">
        <f>+2250711664481</f>
        <v>2250711664481</v>
      </c>
      <c r="J1749" s="3">
        <f>+2250707712440</f>
        <v>2250707712440</v>
      </c>
      <c r="K1749" s="1" t="s">
        <v>19</v>
      </c>
      <c r="L1749" s="4" t="s">
        <v>6178</v>
      </c>
    </row>
    <row r="1750">
      <c r="A1750" s="1" t="s">
        <v>12</v>
      </c>
      <c r="B1750" s="1" t="s">
        <v>6179</v>
      </c>
      <c r="C1750" s="1" t="s">
        <v>6104</v>
      </c>
      <c r="D1750" s="1" t="s">
        <v>6180</v>
      </c>
      <c r="E1750" s="2">
        <v>38325.0</v>
      </c>
      <c r="F1750" s="1" t="s">
        <v>586</v>
      </c>
      <c r="G1750" s="1" t="s">
        <v>82</v>
      </c>
      <c r="H1750" s="1" t="s">
        <v>18</v>
      </c>
      <c r="I1750" s="3">
        <f>+2250789352299</f>
        <v>2250789352299</v>
      </c>
      <c r="J1750" s="3">
        <f>+2250759128479</f>
        <v>2250759128479</v>
      </c>
      <c r="K1750" s="1" t="s">
        <v>19</v>
      </c>
      <c r="L1750" s="4" t="s">
        <v>6181</v>
      </c>
    </row>
    <row r="1751">
      <c r="A1751" s="1" t="s">
        <v>12</v>
      </c>
      <c r="B1751" s="1" t="s">
        <v>6182</v>
      </c>
      <c r="C1751" s="1" t="s">
        <v>6104</v>
      </c>
      <c r="D1751" s="1" t="s">
        <v>6183</v>
      </c>
      <c r="E1751" s="2">
        <v>36716.0</v>
      </c>
      <c r="F1751" s="1" t="s">
        <v>53</v>
      </c>
      <c r="G1751" s="1" t="s">
        <v>17</v>
      </c>
      <c r="H1751" s="1" t="s">
        <v>18</v>
      </c>
      <c r="I1751" s="3">
        <f t="shared" ref="I1751:J1751" si="49">+2250778280502</f>
        <v>2250778280502</v>
      </c>
      <c r="J1751" s="3">
        <f t="shared" si="49"/>
        <v>2250778280502</v>
      </c>
      <c r="K1751" s="1" t="s">
        <v>19</v>
      </c>
      <c r="L1751" s="4" t="s">
        <v>6184</v>
      </c>
    </row>
    <row r="1752">
      <c r="A1752" s="1" t="s">
        <v>12</v>
      </c>
      <c r="B1752" s="1" t="s">
        <v>6185</v>
      </c>
      <c r="C1752" s="1" t="s">
        <v>6104</v>
      </c>
      <c r="D1752" s="1" t="s">
        <v>6186</v>
      </c>
      <c r="E1752" s="2">
        <v>38064.0</v>
      </c>
      <c r="F1752" s="1" t="s">
        <v>62</v>
      </c>
      <c r="G1752" s="1" t="s">
        <v>17</v>
      </c>
      <c r="H1752" s="1" t="s">
        <v>18</v>
      </c>
      <c r="I1752" s="3">
        <f>+2250152818911</f>
        <v>2250152818911</v>
      </c>
      <c r="J1752" s="3">
        <f>+2250777082024</f>
        <v>2250777082024</v>
      </c>
      <c r="K1752" s="1" t="s">
        <v>19</v>
      </c>
      <c r="L1752" s="4" t="s">
        <v>6187</v>
      </c>
    </row>
    <row r="1753">
      <c r="A1753" s="1" t="s">
        <v>12</v>
      </c>
      <c r="B1753" s="1" t="s">
        <v>6188</v>
      </c>
      <c r="C1753" s="1" t="s">
        <v>6104</v>
      </c>
      <c r="D1753" s="1" t="s">
        <v>6189</v>
      </c>
      <c r="E1753" s="5">
        <v>37600.0</v>
      </c>
      <c r="F1753" s="1" t="s">
        <v>16</v>
      </c>
      <c r="G1753" s="1" t="s">
        <v>17</v>
      </c>
      <c r="H1753" s="1" t="s">
        <v>18</v>
      </c>
      <c r="I1753" s="3">
        <f>+2250710659627</f>
        <v>2250710659627</v>
      </c>
      <c r="J1753" s="3">
        <f>+2250709520601</f>
        <v>2250709520601</v>
      </c>
      <c r="K1753" s="1" t="s">
        <v>19</v>
      </c>
      <c r="L1753" s="4" t="s">
        <v>6190</v>
      </c>
    </row>
    <row r="1754">
      <c r="A1754" s="1" t="s">
        <v>12</v>
      </c>
      <c r="B1754" s="1" t="s">
        <v>6191</v>
      </c>
      <c r="C1754" s="1" t="s">
        <v>6104</v>
      </c>
      <c r="D1754" s="1" t="s">
        <v>6192</v>
      </c>
      <c r="E1754" s="2">
        <v>38154.0</v>
      </c>
      <c r="F1754" s="1" t="s">
        <v>155</v>
      </c>
      <c r="G1754" s="1" t="s">
        <v>31</v>
      </c>
      <c r="H1754" s="1" t="s">
        <v>32</v>
      </c>
      <c r="I1754" s="3">
        <f>+2250703788394</f>
        <v>2250703788394</v>
      </c>
      <c r="J1754" s="3">
        <f>+2250749522666</f>
        <v>2250749522666</v>
      </c>
      <c r="K1754" s="1" t="s">
        <v>19</v>
      </c>
      <c r="L1754" s="4" t="s">
        <v>6193</v>
      </c>
    </row>
    <row r="1755">
      <c r="A1755" s="1" t="s">
        <v>12</v>
      </c>
      <c r="B1755" s="1" t="s">
        <v>6194</v>
      </c>
      <c r="C1755" s="1" t="s">
        <v>6104</v>
      </c>
      <c r="D1755" s="1" t="s">
        <v>6195</v>
      </c>
      <c r="E1755" s="2">
        <v>37127.0</v>
      </c>
      <c r="F1755" s="1" t="s">
        <v>101</v>
      </c>
      <c r="G1755" s="1" t="s">
        <v>31</v>
      </c>
      <c r="H1755" s="1" t="s">
        <v>32</v>
      </c>
      <c r="I1755" s="3">
        <f>+2250703392307</f>
        <v>2250703392307</v>
      </c>
      <c r="J1755" s="3">
        <f>+2250707143929</f>
        <v>2250707143929</v>
      </c>
      <c r="K1755" s="1" t="s">
        <v>19</v>
      </c>
      <c r="L1755" s="4" t="s">
        <v>6196</v>
      </c>
    </row>
    <row r="1756">
      <c r="A1756" s="1" t="s">
        <v>12</v>
      </c>
      <c r="B1756" s="1" t="s">
        <v>6197</v>
      </c>
      <c r="C1756" s="1" t="s">
        <v>6104</v>
      </c>
      <c r="D1756" s="1" t="s">
        <v>6198</v>
      </c>
      <c r="E1756" s="5">
        <v>36149.0</v>
      </c>
      <c r="F1756" s="1" t="s">
        <v>101</v>
      </c>
      <c r="G1756" s="1" t="s">
        <v>31</v>
      </c>
      <c r="H1756" s="1" t="s">
        <v>32</v>
      </c>
      <c r="I1756" s="3">
        <f>+2250708677587</f>
        <v>2250708677587</v>
      </c>
      <c r="J1756" s="3">
        <f>+2250708957742</f>
        <v>2250708957742</v>
      </c>
      <c r="K1756" s="1" t="s">
        <v>19</v>
      </c>
      <c r="L1756" s="4" t="s">
        <v>6199</v>
      </c>
    </row>
    <row r="1757">
      <c r="A1757" s="1" t="s">
        <v>12</v>
      </c>
      <c r="B1757" s="1" t="s">
        <v>6200</v>
      </c>
      <c r="C1757" s="1" t="s">
        <v>6104</v>
      </c>
      <c r="D1757" s="1" t="s">
        <v>6201</v>
      </c>
      <c r="E1757" s="2">
        <v>38583.0</v>
      </c>
      <c r="F1757" s="1" t="s">
        <v>53</v>
      </c>
      <c r="G1757" s="1" t="s">
        <v>25</v>
      </c>
      <c r="H1757" s="1" t="s">
        <v>18</v>
      </c>
      <c r="I1757" s="3">
        <f>+2250759428737</f>
        <v>2250759428737</v>
      </c>
      <c r="J1757" s="3">
        <f>+2250748853309</f>
        <v>2250748853309</v>
      </c>
      <c r="K1757" s="1" t="s">
        <v>19</v>
      </c>
      <c r="L1757" s="4" t="s">
        <v>6202</v>
      </c>
    </row>
    <row r="1758">
      <c r="A1758" s="1" t="s">
        <v>12</v>
      </c>
      <c r="B1758" s="1" t="s">
        <v>6203</v>
      </c>
      <c r="C1758" s="1" t="s">
        <v>6104</v>
      </c>
      <c r="D1758" s="1" t="s">
        <v>6204</v>
      </c>
      <c r="E1758" s="5">
        <v>37970.0</v>
      </c>
      <c r="F1758" s="1" t="s">
        <v>62</v>
      </c>
      <c r="G1758" s="1" t="s">
        <v>17</v>
      </c>
      <c r="H1758" s="1" t="s">
        <v>18</v>
      </c>
      <c r="I1758" s="3">
        <f>+2250767524877</f>
        <v>2250767524877</v>
      </c>
      <c r="J1758" s="3">
        <f>+2250150371961</f>
        <v>2250150371961</v>
      </c>
      <c r="K1758" s="1" t="s">
        <v>19</v>
      </c>
      <c r="L1758" s="4" t="s">
        <v>6205</v>
      </c>
    </row>
    <row r="1759">
      <c r="A1759" s="1" t="s">
        <v>12</v>
      </c>
      <c r="B1759" s="1" t="s">
        <v>6206</v>
      </c>
      <c r="C1759" s="1" t="s">
        <v>6104</v>
      </c>
      <c r="D1759" s="1" t="s">
        <v>6207</v>
      </c>
      <c r="E1759" s="2">
        <v>37501.0</v>
      </c>
      <c r="F1759" s="1" t="s">
        <v>16</v>
      </c>
      <c r="G1759" s="1" t="s">
        <v>17</v>
      </c>
      <c r="H1759" s="1" t="s">
        <v>18</v>
      </c>
      <c r="I1759" s="3">
        <f>+2250768145217</f>
        <v>2250768145217</v>
      </c>
      <c r="J1759" s="3">
        <f>+2250708099803</f>
        <v>2250708099803</v>
      </c>
      <c r="K1759" s="1" t="s">
        <v>19</v>
      </c>
      <c r="L1759" s="4" t="s">
        <v>6208</v>
      </c>
    </row>
    <row r="1760">
      <c r="A1760" s="1" t="s">
        <v>12</v>
      </c>
      <c r="B1760" s="1" t="s">
        <v>6209</v>
      </c>
      <c r="C1760" s="1" t="s">
        <v>6104</v>
      </c>
      <c r="D1760" s="1" t="s">
        <v>6210</v>
      </c>
      <c r="E1760" s="2">
        <v>37566.0</v>
      </c>
      <c r="F1760" s="1" t="s">
        <v>16</v>
      </c>
      <c r="G1760" s="1" t="s">
        <v>17</v>
      </c>
      <c r="H1760" s="1" t="s">
        <v>18</v>
      </c>
      <c r="I1760" s="3">
        <f>+2250749491321</f>
        <v>2250749491321</v>
      </c>
      <c r="J1760" s="3">
        <f>+2250101028802</f>
        <v>2250101028802</v>
      </c>
      <c r="K1760" s="1" t="s">
        <v>19</v>
      </c>
      <c r="L1760" s="4" t="s">
        <v>6211</v>
      </c>
    </row>
    <row r="1761">
      <c r="A1761" s="1" t="s">
        <v>12</v>
      </c>
      <c r="B1761" s="1" t="s">
        <v>6212</v>
      </c>
      <c r="C1761" s="1" t="s">
        <v>6104</v>
      </c>
      <c r="D1761" s="1" t="s">
        <v>6213</v>
      </c>
      <c r="E1761" s="2">
        <v>38502.0</v>
      </c>
      <c r="F1761" s="1" t="s">
        <v>16</v>
      </c>
      <c r="G1761" s="1" t="s">
        <v>17</v>
      </c>
      <c r="H1761" s="1" t="s">
        <v>18</v>
      </c>
      <c r="I1761" s="3">
        <f>+2250700139937</f>
        <v>2250700139937</v>
      </c>
      <c r="J1761" s="3">
        <f>+2250708565743</f>
        <v>2250708565743</v>
      </c>
      <c r="K1761" s="1" t="s">
        <v>19</v>
      </c>
      <c r="L1761" s="4" t="s">
        <v>6214</v>
      </c>
    </row>
    <row r="1762">
      <c r="A1762" s="1" t="s">
        <v>12</v>
      </c>
      <c r="B1762" s="1" t="s">
        <v>6215</v>
      </c>
      <c r="C1762" s="1" t="s">
        <v>6104</v>
      </c>
      <c r="D1762" s="1" t="s">
        <v>6216</v>
      </c>
      <c r="E1762" s="5">
        <v>37543.0</v>
      </c>
      <c r="F1762" s="1" t="s">
        <v>53</v>
      </c>
      <c r="G1762" s="1" t="s">
        <v>17</v>
      </c>
      <c r="H1762" s="1" t="s">
        <v>18</v>
      </c>
      <c r="I1762" s="3">
        <f>+2250101424465</f>
        <v>2250101424465</v>
      </c>
      <c r="J1762" s="3">
        <f>+2250555828373</f>
        <v>2250555828373</v>
      </c>
      <c r="K1762" s="1" t="s">
        <v>19</v>
      </c>
      <c r="L1762" s="4" t="s">
        <v>6217</v>
      </c>
    </row>
    <row r="1763">
      <c r="A1763" s="1" t="s">
        <v>12</v>
      </c>
      <c r="B1763" s="1" t="s">
        <v>6218</v>
      </c>
      <c r="C1763" s="1" t="s">
        <v>6104</v>
      </c>
      <c r="D1763" s="1" t="s">
        <v>6219</v>
      </c>
      <c r="E1763" s="2">
        <v>37075.0</v>
      </c>
      <c r="F1763" s="1" t="s">
        <v>167</v>
      </c>
      <c r="G1763" s="1" t="s">
        <v>17</v>
      </c>
      <c r="H1763" s="1" t="s">
        <v>18</v>
      </c>
      <c r="I1763" s="3">
        <f>+2250555445374</f>
        <v>2250555445374</v>
      </c>
      <c r="J1763" s="3">
        <f>+2250757374922</f>
        <v>2250757374922</v>
      </c>
      <c r="K1763" s="1" t="s">
        <v>19</v>
      </c>
      <c r="L1763" s="4" t="s">
        <v>6220</v>
      </c>
    </row>
    <row r="1764">
      <c r="A1764" s="1" t="s">
        <v>12</v>
      </c>
      <c r="B1764" s="1" t="s">
        <v>6221</v>
      </c>
      <c r="C1764" s="1" t="s">
        <v>6104</v>
      </c>
      <c r="D1764" s="1" t="s">
        <v>6222</v>
      </c>
      <c r="E1764" s="2">
        <v>37312.0</v>
      </c>
      <c r="F1764" s="1" t="s">
        <v>110</v>
      </c>
      <c r="G1764" s="1" t="s">
        <v>82</v>
      </c>
      <c r="H1764" s="1" t="s">
        <v>18</v>
      </c>
      <c r="I1764" s="3">
        <f>+2250799083339</f>
        <v>2250799083339</v>
      </c>
      <c r="J1764" s="3">
        <f>+2250171686480</f>
        <v>2250171686480</v>
      </c>
      <c r="K1764" s="1" t="s">
        <v>19</v>
      </c>
      <c r="L1764" s="4" t="s">
        <v>6223</v>
      </c>
    </row>
    <row r="1765">
      <c r="A1765" s="1" t="s">
        <v>12</v>
      </c>
      <c r="B1765" s="1" t="s">
        <v>6224</v>
      </c>
      <c r="C1765" s="1" t="s">
        <v>6104</v>
      </c>
      <c r="D1765" s="1" t="s">
        <v>6225</v>
      </c>
      <c r="E1765" s="2">
        <v>37705.0</v>
      </c>
      <c r="F1765" s="1" t="s">
        <v>53</v>
      </c>
      <c r="G1765" s="1" t="s">
        <v>25</v>
      </c>
      <c r="H1765" s="1" t="s">
        <v>18</v>
      </c>
      <c r="I1765" s="3">
        <f>+2250777966746</f>
        <v>2250777966746</v>
      </c>
      <c r="J1765" s="3">
        <f>+2250757190365</f>
        <v>2250757190365</v>
      </c>
      <c r="K1765" s="1" t="s">
        <v>19</v>
      </c>
      <c r="L1765" s="4" t="s">
        <v>6226</v>
      </c>
    </row>
    <row r="1766">
      <c r="A1766" s="1" t="s">
        <v>12</v>
      </c>
      <c r="B1766" s="1" t="s">
        <v>6227</v>
      </c>
      <c r="C1766" s="1" t="s">
        <v>6104</v>
      </c>
      <c r="D1766" s="1" t="s">
        <v>6228</v>
      </c>
      <c r="E1766" s="2">
        <v>37566.0</v>
      </c>
      <c r="F1766" s="1" t="s">
        <v>62</v>
      </c>
      <c r="G1766" s="1" t="s">
        <v>25</v>
      </c>
      <c r="H1766" s="1" t="s">
        <v>18</v>
      </c>
      <c r="I1766" s="3">
        <f>+2250787752946</f>
        <v>2250787752946</v>
      </c>
      <c r="J1766" s="3">
        <f>+2250708417066</f>
        <v>2250708417066</v>
      </c>
      <c r="K1766" s="1" t="s">
        <v>19</v>
      </c>
      <c r="L1766" s="4" t="s">
        <v>6229</v>
      </c>
    </row>
    <row r="1767">
      <c r="A1767" s="1" t="s">
        <v>12</v>
      </c>
      <c r="B1767" s="1" t="s">
        <v>6230</v>
      </c>
      <c r="C1767" s="1" t="s">
        <v>6104</v>
      </c>
      <c r="D1767" s="1" t="s">
        <v>6231</v>
      </c>
      <c r="E1767" s="2">
        <v>37627.0</v>
      </c>
      <c r="F1767" s="1" t="s">
        <v>155</v>
      </c>
      <c r="G1767" s="1" t="s">
        <v>82</v>
      </c>
      <c r="H1767" s="1" t="s">
        <v>18</v>
      </c>
      <c r="I1767" s="3">
        <f>+2250103589199</f>
        <v>2250103589199</v>
      </c>
      <c r="J1767" s="3">
        <f>+2250707900617</f>
        <v>2250707900617</v>
      </c>
      <c r="K1767" s="1" t="s">
        <v>19</v>
      </c>
      <c r="L1767" s="4" t="s">
        <v>6232</v>
      </c>
    </row>
    <row r="1768">
      <c r="A1768" s="1" t="s">
        <v>12</v>
      </c>
      <c r="B1768" s="1" t="s">
        <v>6233</v>
      </c>
      <c r="C1768" s="1" t="s">
        <v>6104</v>
      </c>
      <c r="D1768" s="1" t="s">
        <v>6234</v>
      </c>
      <c r="E1768" s="2">
        <v>35923.0</v>
      </c>
      <c r="F1768" s="1" t="s">
        <v>92</v>
      </c>
      <c r="G1768" s="1" t="s">
        <v>82</v>
      </c>
      <c r="H1768" s="1" t="s">
        <v>18</v>
      </c>
      <c r="I1768" s="3">
        <f>+2250789588042</f>
        <v>2250789588042</v>
      </c>
      <c r="J1768" s="3">
        <f>+2250757205257</f>
        <v>2250757205257</v>
      </c>
      <c r="K1768" s="1" t="s">
        <v>19</v>
      </c>
      <c r="L1768" s="4" t="s">
        <v>6235</v>
      </c>
    </row>
    <row r="1769">
      <c r="A1769" s="1" t="s">
        <v>12</v>
      </c>
      <c r="B1769" s="1" t="s">
        <v>6236</v>
      </c>
      <c r="C1769" s="1" t="s">
        <v>6104</v>
      </c>
      <c r="D1769" s="1" t="s">
        <v>6237</v>
      </c>
      <c r="E1769" s="2">
        <v>36055.0</v>
      </c>
      <c r="F1769" s="1" t="s">
        <v>75</v>
      </c>
      <c r="G1769" s="1" t="s">
        <v>31</v>
      </c>
      <c r="H1769" s="1" t="s">
        <v>32</v>
      </c>
      <c r="I1769" s="3">
        <f>+2250768372560</f>
        <v>2250768372560</v>
      </c>
      <c r="J1769" s="3">
        <f>+2250576859671</f>
        <v>2250576859671</v>
      </c>
      <c r="K1769" s="1" t="s">
        <v>19</v>
      </c>
      <c r="L1769" s="4" t="s">
        <v>6238</v>
      </c>
    </row>
    <row r="1770">
      <c r="A1770" s="1" t="s">
        <v>12</v>
      </c>
      <c r="B1770" s="1" t="s">
        <v>6239</v>
      </c>
      <c r="C1770" s="1" t="s">
        <v>6104</v>
      </c>
      <c r="D1770" s="1" t="s">
        <v>6240</v>
      </c>
      <c r="E1770" s="2">
        <v>36529.0</v>
      </c>
      <c r="F1770" s="1" t="s">
        <v>53</v>
      </c>
      <c r="G1770" s="1" t="s">
        <v>17</v>
      </c>
      <c r="H1770" s="1" t="s">
        <v>18</v>
      </c>
      <c r="I1770" s="3">
        <f>+2250546608972</f>
        <v>2250546608972</v>
      </c>
      <c r="J1770" s="3">
        <f>+2250505336308</f>
        <v>2250505336308</v>
      </c>
      <c r="K1770" s="1" t="s">
        <v>19</v>
      </c>
      <c r="L1770" s="4" t="s">
        <v>6241</v>
      </c>
    </row>
    <row r="1771">
      <c r="A1771" s="1" t="s">
        <v>12</v>
      </c>
      <c r="B1771" s="1" t="s">
        <v>6242</v>
      </c>
      <c r="C1771" s="1" t="s">
        <v>6104</v>
      </c>
      <c r="D1771" s="1" t="s">
        <v>6243</v>
      </c>
      <c r="E1771" s="2">
        <v>36959.0</v>
      </c>
      <c r="F1771" s="1" t="s">
        <v>16</v>
      </c>
      <c r="G1771" s="1" t="s">
        <v>17</v>
      </c>
      <c r="H1771" s="1" t="s">
        <v>18</v>
      </c>
      <c r="I1771" s="3">
        <f>+2250768837148</f>
        <v>2250768837148</v>
      </c>
      <c r="J1771" s="3">
        <f>+2250703975767</f>
        <v>2250703975767</v>
      </c>
      <c r="K1771" s="1" t="s">
        <v>19</v>
      </c>
      <c r="L1771" s="4" t="s">
        <v>6244</v>
      </c>
    </row>
    <row r="1772">
      <c r="A1772" s="1" t="s">
        <v>12</v>
      </c>
      <c r="B1772" s="1" t="s">
        <v>6245</v>
      </c>
      <c r="C1772" s="1" t="s">
        <v>6104</v>
      </c>
      <c r="D1772" s="1" t="s">
        <v>6246</v>
      </c>
      <c r="E1772" s="2">
        <v>37171.0</v>
      </c>
      <c r="F1772" s="1" t="s">
        <v>138</v>
      </c>
      <c r="G1772" s="1" t="s">
        <v>31</v>
      </c>
      <c r="H1772" s="1" t="s">
        <v>32</v>
      </c>
      <c r="I1772" s="3">
        <f>+2250710068278</f>
        <v>2250710068278</v>
      </c>
      <c r="J1772" s="3">
        <f>+2250749313193</f>
        <v>2250749313193</v>
      </c>
      <c r="K1772" s="1" t="s">
        <v>19</v>
      </c>
      <c r="L1772" s="4" t="s">
        <v>6247</v>
      </c>
    </row>
    <row r="1773">
      <c r="A1773" s="1" t="s">
        <v>12</v>
      </c>
      <c r="B1773" s="1" t="s">
        <v>6248</v>
      </c>
      <c r="C1773" s="1" t="s">
        <v>6104</v>
      </c>
      <c r="D1773" s="1" t="s">
        <v>6249</v>
      </c>
      <c r="E1773" s="5">
        <v>37921.0</v>
      </c>
      <c r="F1773" s="1" t="s">
        <v>155</v>
      </c>
      <c r="G1773" s="1" t="s">
        <v>76</v>
      </c>
      <c r="H1773" s="1" t="s">
        <v>32</v>
      </c>
      <c r="I1773" s="3">
        <f>+2250152580854</f>
        <v>2250152580854</v>
      </c>
      <c r="J1773" s="3">
        <f>+2250707777636</f>
        <v>2250707777636</v>
      </c>
      <c r="K1773" s="1" t="s">
        <v>19</v>
      </c>
      <c r="L1773" s="4" t="s">
        <v>6250</v>
      </c>
    </row>
    <row r="1774">
      <c r="A1774" s="1" t="s">
        <v>12</v>
      </c>
      <c r="B1774" s="1" t="s">
        <v>6251</v>
      </c>
      <c r="C1774" s="1" t="s">
        <v>6104</v>
      </c>
      <c r="D1774" s="1" t="s">
        <v>6252</v>
      </c>
      <c r="E1774" s="2">
        <v>37170.0</v>
      </c>
      <c r="F1774" s="1" t="s">
        <v>75</v>
      </c>
      <c r="G1774" s="1" t="s">
        <v>76</v>
      </c>
      <c r="H1774" s="1" t="s">
        <v>32</v>
      </c>
      <c r="I1774" s="3">
        <f>+2250172243552</f>
        <v>2250172243552</v>
      </c>
      <c r="J1774" s="3">
        <f>+2250709919404</f>
        <v>2250709919404</v>
      </c>
      <c r="K1774" s="1" t="s">
        <v>19</v>
      </c>
      <c r="L1774" s="4" t="s">
        <v>6253</v>
      </c>
    </row>
    <row r="1775">
      <c r="A1775" s="1" t="s">
        <v>12</v>
      </c>
      <c r="B1775" s="1" t="s">
        <v>6254</v>
      </c>
      <c r="C1775" s="1" t="s">
        <v>6104</v>
      </c>
      <c r="D1775" s="1" t="s">
        <v>6255</v>
      </c>
      <c r="E1775" s="2">
        <v>38299.0</v>
      </c>
      <c r="F1775" s="1" t="s">
        <v>138</v>
      </c>
      <c r="G1775" s="1" t="s">
        <v>76</v>
      </c>
      <c r="H1775" s="1" t="s">
        <v>32</v>
      </c>
      <c r="I1775" s="3">
        <f>+2250709986519</f>
        <v>2250709986519</v>
      </c>
      <c r="J1775" s="3">
        <f>+2250747925938</f>
        <v>2250747925938</v>
      </c>
      <c r="K1775" s="1" t="s">
        <v>19</v>
      </c>
      <c r="L1775" s="4" t="s">
        <v>6256</v>
      </c>
    </row>
    <row r="1776">
      <c r="A1776" s="1" t="s">
        <v>12</v>
      </c>
      <c r="B1776" s="1" t="s">
        <v>6257</v>
      </c>
      <c r="C1776" s="1" t="s">
        <v>6104</v>
      </c>
      <c r="D1776" s="1" t="s">
        <v>4161</v>
      </c>
      <c r="E1776" s="2">
        <v>38004.0</v>
      </c>
      <c r="F1776" s="1" t="s">
        <v>167</v>
      </c>
      <c r="G1776" s="1" t="s">
        <v>82</v>
      </c>
      <c r="H1776" s="1" t="s">
        <v>18</v>
      </c>
      <c r="I1776" s="3">
        <f>+2250749594433</f>
        <v>2250749594433</v>
      </c>
      <c r="J1776" s="3">
        <f>+2250758231674</f>
        <v>2250758231674</v>
      </c>
      <c r="K1776" s="1" t="s">
        <v>19</v>
      </c>
      <c r="L1776" s="4" t="s">
        <v>6258</v>
      </c>
    </row>
    <row r="1777">
      <c r="A1777" s="1" t="s">
        <v>12</v>
      </c>
      <c r="B1777" s="1" t="s">
        <v>6259</v>
      </c>
      <c r="C1777" s="1" t="s">
        <v>6104</v>
      </c>
      <c r="D1777" s="1" t="s">
        <v>6260</v>
      </c>
      <c r="E1777" s="2">
        <v>38369.0</v>
      </c>
      <c r="F1777" s="1" t="s">
        <v>147</v>
      </c>
      <c r="G1777" s="1" t="s">
        <v>17</v>
      </c>
      <c r="H1777" s="1" t="s">
        <v>18</v>
      </c>
      <c r="I1777" s="3">
        <f>+2250152095437</f>
        <v>2250152095437</v>
      </c>
      <c r="J1777" s="3">
        <f>+2250708452519</f>
        <v>2250708452519</v>
      </c>
      <c r="K1777" s="1" t="s">
        <v>19</v>
      </c>
      <c r="L1777" s="4" t="s">
        <v>6261</v>
      </c>
    </row>
    <row r="1778">
      <c r="A1778" s="1" t="s">
        <v>12</v>
      </c>
      <c r="B1778" s="1" t="s">
        <v>6262</v>
      </c>
      <c r="C1778" s="1" t="s">
        <v>6104</v>
      </c>
      <c r="D1778" s="1" t="s">
        <v>6263</v>
      </c>
      <c r="E1778" s="2">
        <v>38517.0</v>
      </c>
      <c r="F1778" s="1" t="s">
        <v>62</v>
      </c>
      <c r="G1778" s="1" t="s">
        <v>17</v>
      </c>
      <c r="H1778" s="1" t="s">
        <v>18</v>
      </c>
      <c r="I1778" s="3">
        <f>+2250575131463</f>
        <v>2250575131463</v>
      </c>
      <c r="J1778" s="3">
        <f>+2250545254880</f>
        <v>2250545254880</v>
      </c>
      <c r="K1778" s="1" t="s">
        <v>19</v>
      </c>
      <c r="L1778" s="4" t="s">
        <v>6264</v>
      </c>
    </row>
    <row r="1779">
      <c r="A1779" s="1" t="s">
        <v>12</v>
      </c>
      <c r="B1779" s="1" t="s">
        <v>6265</v>
      </c>
      <c r="C1779" s="1" t="s">
        <v>6104</v>
      </c>
      <c r="D1779" s="1" t="s">
        <v>6266</v>
      </c>
      <c r="E1779" s="2">
        <v>38378.0</v>
      </c>
      <c r="F1779" s="1" t="s">
        <v>155</v>
      </c>
      <c r="G1779" s="1" t="s">
        <v>31</v>
      </c>
      <c r="H1779" s="1" t="s">
        <v>32</v>
      </c>
      <c r="I1779" s="3">
        <f>+2250545454596</f>
        <v>2250545454596</v>
      </c>
      <c r="J1779" s="3">
        <f>+2250594494163</f>
        <v>2250594494163</v>
      </c>
      <c r="K1779" s="1" t="s">
        <v>19</v>
      </c>
      <c r="L1779" s="4" t="s">
        <v>6267</v>
      </c>
    </row>
    <row r="1780">
      <c r="A1780" s="1" t="s">
        <v>12</v>
      </c>
      <c r="B1780" s="1" t="s">
        <v>6268</v>
      </c>
      <c r="C1780" s="1" t="s">
        <v>6104</v>
      </c>
      <c r="D1780" s="1" t="s">
        <v>6269</v>
      </c>
      <c r="E1780" s="2">
        <v>36304.0</v>
      </c>
      <c r="F1780" s="1" t="s">
        <v>16</v>
      </c>
      <c r="G1780" s="1" t="s">
        <v>82</v>
      </c>
      <c r="H1780" s="1" t="s">
        <v>18</v>
      </c>
      <c r="I1780" s="3">
        <f>+2250556286577</f>
        <v>2250556286577</v>
      </c>
      <c r="J1780" s="3">
        <f>+2250789878454</f>
        <v>2250789878454</v>
      </c>
      <c r="K1780" s="1" t="s">
        <v>19</v>
      </c>
      <c r="L1780" s="4" t="s">
        <v>6270</v>
      </c>
    </row>
    <row r="1781">
      <c r="A1781" s="1" t="s">
        <v>12</v>
      </c>
      <c r="B1781" s="1" t="s">
        <v>6271</v>
      </c>
      <c r="C1781" s="1" t="s">
        <v>6104</v>
      </c>
      <c r="D1781" s="1" t="s">
        <v>6272</v>
      </c>
      <c r="E1781" s="2">
        <v>37382.0</v>
      </c>
      <c r="F1781" s="1" t="s">
        <v>62</v>
      </c>
      <c r="G1781" s="1" t="s">
        <v>17</v>
      </c>
      <c r="H1781" s="1" t="s">
        <v>18</v>
      </c>
      <c r="I1781" s="3">
        <f>+2250574314633</f>
        <v>2250574314633</v>
      </c>
      <c r="J1781" s="3">
        <f>+2250576859671</f>
        <v>2250576859671</v>
      </c>
      <c r="K1781" s="1" t="s">
        <v>19</v>
      </c>
      <c r="L1781" s="4" t="s">
        <v>6273</v>
      </c>
    </row>
    <row r="1782">
      <c r="A1782" s="1" t="s">
        <v>12</v>
      </c>
      <c r="B1782" s="1" t="s">
        <v>6274</v>
      </c>
      <c r="C1782" s="1" t="s">
        <v>6104</v>
      </c>
      <c r="D1782" s="1" t="s">
        <v>6275</v>
      </c>
      <c r="E1782" s="2">
        <v>37928.0</v>
      </c>
      <c r="F1782" s="1" t="s">
        <v>53</v>
      </c>
      <c r="G1782" s="1" t="s">
        <v>17</v>
      </c>
      <c r="H1782" s="1" t="s">
        <v>18</v>
      </c>
      <c r="I1782" s="3">
        <f>+2250153281740</f>
        <v>2250153281740</v>
      </c>
      <c r="J1782" s="3">
        <f>+2250152177178</f>
        <v>2250152177178</v>
      </c>
      <c r="K1782" s="1" t="s">
        <v>19</v>
      </c>
      <c r="L1782" s="4" t="s">
        <v>6276</v>
      </c>
    </row>
    <row r="1783">
      <c r="A1783" s="1" t="s">
        <v>12</v>
      </c>
      <c r="B1783" s="1" t="s">
        <v>6277</v>
      </c>
      <c r="C1783" s="1" t="s">
        <v>6104</v>
      </c>
      <c r="D1783" s="1" t="s">
        <v>6278</v>
      </c>
      <c r="E1783" s="2">
        <v>38092.0</v>
      </c>
      <c r="F1783" s="1" t="s">
        <v>48</v>
      </c>
      <c r="G1783" s="1" t="s">
        <v>76</v>
      </c>
      <c r="H1783" s="1" t="s">
        <v>32</v>
      </c>
      <c r="I1783" s="3">
        <f>+2250556898156</f>
        <v>2250556898156</v>
      </c>
      <c r="J1783" s="3">
        <f>+2250504269308</f>
        <v>2250504269308</v>
      </c>
      <c r="K1783" s="1" t="s">
        <v>19</v>
      </c>
      <c r="L1783" s="4" t="s">
        <v>6279</v>
      </c>
    </row>
    <row r="1784">
      <c r="A1784" s="1" t="s">
        <v>12</v>
      </c>
      <c r="B1784" s="1" t="s">
        <v>6280</v>
      </c>
      <c r="C1784" s="1" t="s">
        <v>6104</v>
      </c>
      <c r="D1784" s="1" t="s">
        <v>6281</v>
      </c>
      <c r="E1784" s="2">
        <v>38619.0</v>
      </c>
      <c r="F1784" s="1" t="s">
        <v>138</v>
      </c>
      <c r="G1784" s="1" t="s">
        <v>76</v>
      </c>
      <c r="H1784" s="1" t="s">
        <v>32</v>
      </c>
      <c r="I1784" s="3">
        <f>+2250565247013</f>
        <v>2250565247013</v>
      </c>
      <c r="J1784" s="3">
        <f>+2250506038822</f>
        <v>2250506038822</v>
      </c>
      <c r="K1784" s="1" t="s">
        <v>19</v>
      </c>
      <c r="L1784" s="4" t="s">
        <v>6282</v>
      </c>
    </row>
    <row r="1785">
      <c r="A1785" s="1" t="s">
        <v>12</v>
      </c>
      <c r="B1785" s="1" t="s">
        <v>6283</v>
      </c>
      <c r="C1785" s="1" t="s">
        <v>6104</v>
      </c>
      <c r="D1785" s="1" t="s">
        <v>6284</v>
      </c>
      <c r="E1785" s="5">
        <v>38313.0</v>
      </c>
      <c r="F1785" s="1" t="s">
        <v>53</v>
      </c>
      <c r="G1785" s="1" t="s">
        <v>25</v>
      </c>
      <c r="H1785" s="1" t="s">
        <v>18</v>
      </c>
      <c r="I1785" s="3">
        <f>+2250707692674</f>
        <v>2250707692674</v>
      </c>
      <c r="J1785" s="3">
        <f>+2250708762700</f>
        <v>2250708762700</v>
      </c>
      <c r="K1785" s="1" t="s">
        <v>19</v>
      </c>
      <c r="L1785" s="4" t="s">
        <v>6285</v>
      </c>
    </row>
    <row r="1786">
      <c r="A1786" s="1" t="s">
        <v>12</v>
      </c>
      <c r="B1786" s="1" t="s">
        <v>6286</v>
      </c>
      <c r="C1786" s="1" t="s">
        <v>6104</v>
      </c>
      <c r="D1786" s="1" t="s">
        <v>6287</v>
      </c>
      <c r="E1786" s="2">
        <v>36915.0</v>
      </c>
      <c r="F1786" s="1" t="s">
        <v>586</v>
      </c>
      <c r="G1786" s="1" t="s">
        <v>82</v>
      </c>
      <c r="H1786" s="1" t="s">
        <v>18</v>
      </c>
      <c r="I1786" s="3">
        <f>+2250700559963</f>
        <v>2250700559963</v>
      </c>
      <c r="J1786" s="3">
        <f>+2250777186331</f>
        <v>2250777186331</v>
      </c>
      <c r="K1786" s="1" t="s">
        <v>19</v>
      </c>
      <c r="L1786" s="4" t="s">
        <v>6288</v>
      </c>
    </row>
    <row r="1787">
      <c r="A1787" s="1" t="s">
        <v>12</v>
      </c>
      <c r="B1787" s="1" t="s">
        <v>6289</v>
      </c>
      <c r="C1787" s="1" t="s">
        <v>6104</v>
      </c>
      <c r="D1787" s="1" t="s">
        <v>6290</v>
      </c>
      <c r="E1787" s="5">
        <v>37923.0</v>
      </c>
      <c r="F1787" s="1" t="s">
        <v>167</v>
      </c>
      <c r="G1787" s="1" t="s">
        <v>17</v>
      </c>
      <c r="H1787" s="1" t="s">
        <v>18</v>
      </c>
      <c r="I1787" s="3">
        <f>+2250142743786</f>
        <v>2250142743786</v>
      </c>
      <c r="J1787" s="3">
        <f>+2250749609403</f>
        <v>2250749609403</v>
      </c>
      <c r="K1787" s="1" t="s">
        <v>19</v>
      </c>
      <c r="L1787" s="4" t="s">
        <v>6291</v>
      </c>
    </row>
    <row r="1788">
      <c r="A1788" s="1" t="s">
        <v>12</v>
      </c>
      <c r="B1788" s="1" t="s">
        <v>6292</v>
      </c>
      <c r="C1788" s="1" t="s">
        <v>6104</v>
      </c>
      <c r="D1788" s="1" t="s">
        <v>6293</v>
      </c>
      <c r="E1788" s="2">
        <v>38050.0</v>
      </c>
      <c r="F1788" s="1" t="s">
        <v>16</v>
      </c>
      <c r="G1788" s="1" t="s">
        <v>25</v>
      </c>
      <c r="H1788" s="1" t="s">
        <v>18</v>
      </c>
      <c r="I1788" s="3">
        <f>+2250546649618</f>
        <v>2250546649618</v>
      </c>
      <c r="J1788" s="3">
        <f>+2250505472934</f>
        <v>2250505472934</v>
      </c>
      <c r="K1788" s="1" t="s">
        <v>19</v>
      </c>
      <c r="L1788" s="4" t="s">
        <v>6294</v>
      </c>
    </row>
    <row r="1789">
      <c r="A1789" s="1" t="s">
        <v>12</v>
      </c>
      <c r="B1789" s="1" t="s">
        <v>6295</v>
      </c>
      <c r="C1789" s="1" t="s">
        <v>6104</v>
      </c>
      <c r="D1789" s="1" t="s">
        <v>6296</v>
      </c>
      <c r="E1789" s="2">
        <v>38113.0</v>
      </c>
      <c r="F1789" s="1" t="s">
        <v>101</v>
      </c>
      <c r="G1789" s="1" t="s">
        <v>76</v>
      </c>
      <c r="H1789" s="1" t="s">
        <v>32</v>
      </c>
      <c r="I1789" s="3">
        <f>+2250565039391</f>
        <v>2250565039391</v>
      </c>
      <c r="J1789" s="3">
        <f>+2250758564464</f>
        <v>2250758564464</v>
      </c>
      <c r="K1789" s="1" t="s">
        <v>19</v>
      </c>
      <c r="L1789" s="4" t="s">
        <v>6297</v>
      </c>
    </row>
    <row r="1790">
      <c r="A1790" s="1" t="s">
        <v>12</v>
      </c>
      <c r="B1790" s="1" t="s">
        <v>6298</v>
      </c>
      <c r="C1790" s="1" t="s">
        <v>6104</v>
      </c>
      <c r="D1790" s="1" t="s">
        <v>6299</v>
      </c>
      <c r="E1790" s="5">
        <v>37541.0</v>
      </c>
      <c r="F1790" s="1" t="s">
        <v>167</v>
      </c>
      <c r="G1790" s="1" t="s">
        <v>17</v>
      </c>
      <c r="H1790" s="1" t="s">
        <v>18</v>
      </c>
      <c r="I1790" s="3">
        <f>+2250757675629</f>
        <v>2250757675629</v>
      </c>
      <c r="J1790" s="3">
        <f>+2250707552227</f>
        <v>2250707552227</v>
      </c>
      <c r="K1790" s="1" t="s">
        <v>19</v>
      </c>
      <c r="L1790" s="4" t="s">
        <v>6300</v>
      </c>
    </row>
    <row r="1791">
      <c r="A1791" s="1" t="s">
        <v>12</v>
      </c>
      <c r="B1791" s="1" t="s">
        <v>6301</v>
      </c>
      <c r="C1791" s="1" t="s">
        <v>6104</v>
      </c>
      <c r="D1791" s="1" t="s">
        <v>6302</v>
      </c>
      <c r="E1791" s="2">
        <v>37315.0</v>
      </c>
      <c r="F1791" s="1" t="s">
        <v>24</v>
      </c>
      <c r="G1791" s="1" t="s">
        <v>17</v>
      </c>
      <c r="H1791" s="1" t="s">
        <v>18</v>
      </c>
      <c r="I1791" s="3">
        <f>+2250749922518</f>
        <v>2250749922518</v>
      </c>
      <c r="J1791" s="3">
        <f>+2250709107650</f>
        <v>2250709107650</v>
      </c>
      <c r="K1791" s="1" t="s">
        <v>19</v>
      </c>
      <c r="L1791" s="4" t="s">
        <v>6303</v>
      </c>
    </row>
    <row r="1792">
      <c r="A1792" s="1" t="s">
        <v>12</v>
      </c>
      <c r="B1792" s="1" t="s">
        <v>6304</v>
      </c>
      <c r="C1792" s="1" t="s">
        <v>6104</v>
      </c>
      <c r="D1792" s="1" t="s">
        <v>6305</v>
      </c>
      <c r="E1792" s="2">
        <v>37745.0</v>
      </c>
      <c r="F1792" s="1" t="s">
        <v>62</v>
      </c>
      <c r="G1792" s="1" t="s">
        <v>17</v>
      </c>
      <c r="H1792" s="1" t="s">
        <v>18</v>
      </c>
      <c r="I1792" s="3">
        <f>+2250789109021</f>
        <v>2250789109021</v>
      </c>
      <c r="J1792" s="3">
        <f>+2250747069229</f>
        <v>2250747069229</v>
      </c>
      <c r="K1792" s="1" t="s">
        <v>19</v>
      </c>
      <c r="L1792" s="4" t="s">
        <v>6306</v>
      </c>
    </row>
    <row r="1793">
      <c r="A1793" s="1" t="s">
        <v>12</v>
      </c>
      <c r="B1793" s="1" t="s">
        <v>6307</v>
      </c>
      <c r="C1793" s="1" t="s">
        <v>6104</v>
      </c>
      <c r="D1793" s="1" t="s">
        <v>6308</v>
      </c>
      <c r="E1793" s="2">
        <v>37227.0</v>
      </c>
      <c r="F1793" s="1" t="s">
        <v>351</v>
      </c>
      <c r="G1793" s="1" t="s">
        <v>82</v>
      </c>
      <c r="H1793" s="1" t="s">
        <v>18</v>
      </c>
      <c r="I1793" s="3">
        <f>+2250787877293</f>
        <v>2250787877293</v>
      </c>
      <c r="J1793" s="3">
        <f>+2250707591199</f>
        <v>2250707591199</v>
      </c>
      <c r="K1793" s="1" t="s">
        <v>19</v>
      </c>
      <c r="L1793" s="4" t="s">
        <v>6309</v>
      </c>
    </row>
    <row r="1794">
      <c r="A1794" s="1" t="s">
        <v>12</v>
      </c>
      <c r="B1794" s="1" t="s">
        <v>6310</v>
      </c>
      <c r="C1794" s="1" t="s">
        <v>6104</v>
      </c>
      <c r="D1794" s="1" t="s">
        <v>6311</v>
      </c>
      <c r="E1794" s="5">
        <v>37570.0</v>
      </c>
      <c r="F1794" s="1" t="s">
        <v>48</v>
      </c>
      <c r="G1794" s="1" t="s">
        <v>76</v>
      </c>
      <c r="H1794" s="1" t="s">
        <v>32</v>
      </c>
      <c r="I1794" s="3">
        <f t="shared" ref="I1794:J1794" si="50">+2250748108320</f>
        <v>2250748108320</v>
      </c>
      <c r="J1794" s="3">
        <f t="shared" si="50"/>
        <v>2250748108320</v>
      </c>
      <c r="K1794" s="1" t="s">
        <v>19</v>
      </c>
      <c r="L1794" s="4" t="s">
        <v>6312</v>
      </c>
    </row>
    <row r="1795">
      <c r="A1795" s="1" t="s">
        <v>12</v>
      </c>
      <c r="B1795" s="1" t="s">
        <v>6313</v>
      </c>
      <c r="C1795" s="1" t="s">
        <v>6104</v>
      </c>
      <c r="D1795" s="1" t="s">
        <v>6314</v>
      </c>
      <c r="E1795" s="2">
        <v>37838.0</v>
      </c>
      <c r="F1795" s="1" t="s">
        <v>62</v>
      </c>
      <c r="G1795" s="1" t="s">
        <v>25</v>
      </c>
      <c r="H1795" s="1" t="s">
        <v>18</v>
      </c>
      <c r="I1795" s="3">
        <f>+2250564339315</f>
        <v>2250564339315</v>
      </c>
      <c r="J1795" s="3">
        <f>+2250544200551</f>
        <v>2250544200551</v>
      </c>
      <c r="K1795" s="1" t="s">
        <v>19</v>
      </c>
      <c r="L1795" s="4" t="s">
        <v>6315</v>
      </c>
    </row>
    <row r="1796">
      <c r="A1796" s="1" t="s">
        <v>12</v>
      </c>
      <c r="B1796" s="1" t="s">
        <v>6316</v>
      </c>
      <c r="C1796" s="1" t="s">
        <v>6104</v>
      </c>
      <c r="D1796" s="1" t="s">
        <v>6317</v>
      </c>
      <c r="E1796" s="5">
        <v>37977.0</v>
      </c>
      <c r="F1796" s="1" t="s">
        <v>16</v>
      </c>
      <c r="G1796" s="1" t="s">
        <v>25</v>
      </c>
      <c r="H1796" s="1" t="s">
        <v>18</v>
      </c>
      <c r="I1796" s="3">
        <f>+2250153162474</f>
        <v>2250153162474</v>
      </c>
      <c r="J1796" s="3">
        <f>+2250506983494</f>
        <v>2250506983494</v>
      </c>
      <c r="K1796" s="1" t="s">
        <v>19</v>
      </c>
      <c r="L1796" s="4" t="s">
        <v>6318</v>
      </c>
    </row>
    <row r="1797">
      <c r="A1797" s="1" t="s">
        <v>12</v>
      </c>
      <c r="B1797" s="1" t="s">
        <v>6319</v>
      </c>
      <c r="C1797" s="1" t="s">
        <v>6104</v>
      </c>
      <c r="D1797" s="1" t="s">
        <v>6320</v>
      </c>
      <c r="E1797" s="5">
        <v>37589.0</v>
      </c>
      <c r="F1797" s="1" t="s">
        <v>53</v>
      </c>
      <c r="G1797" s="1" t="s">
        <v>17</v>
      </c>
      <c r="H1797" s="1" t="s">
        <v>18</v>
      </c>
      <c r="I1797" s="3">
        <f>+2250700202363</f>
        <v>2250700202363</v>
      </c>
      <c r="J1797" s="3">
        <f>+2250143387278</f>
        <v>2250143387278</v>
      </c>
      <c r="K1797" s="1" t="s">
        <v>19</v>
      </c>
      <c r="L1797" s="4" t="s">
        <v>6321</v>
      </c>
    </row>
    <row r="1798">
      <c r="A1798" s="1" t="s">
        <v>12</v>
      </c>
      <c r="B1798" s="1" t="s">
        <v>6322</v>
      </c>
      <c r="C1798" s="1" t="s">
        <v>6104</v>
      </c>
      <c r="D1798" s="1" t="s">
        <v>3157</v>
      </c>
      <c r="E1798" s="2">
        <v>38362.0</v>
      </c>
      <c r="F1798" s="1" t="s">
        <v>62</v>
      </c>
      <c r="G1798" s="1" t="s">
        <v>25</v>
      </c>
      <c r="H1798" s="1" t="s">
        <v>18</v>
      </c>
      <c r="I1798" s="3">
        <f>+2250779224036</f>
        <v>2250779224036</v>
      </c>
      <c r="J1798" s="3">
        <f>+2250708920394</f>
        <v>2250708920394</v>
      </c>
      <c r="K1798" s="1" t="s">
        <v>19</v>
      </c>
      <c r="L1798" s="4" t="s">
        <v>6323</v>
      </c>
    </row>
    <row r="1799">
      <c r="A1799" s="1" t="s">
        <v>12</v>
      </c>
      <c r="B1799" s="1" t="s">
        <v>6324</v>
      </c>
      <c r="C1799" s="1" t="s">
        <v>6104</v>
      </c>
      <c r="D1799" s="1" t="s">
        <v>6325</v>
      </c>
      <c r="E1799" s="2">
        <v>36997.0</v>
      </c>
      <c r="F1799" s="1" t="s">
        <v>62</v>
      </c>
      <c r="G1799" s="1" t="s">
        <v>17</v>
      </c>
      <c r="H1799" s="1" t="s">
        <v>18</v>
      </c>
      <c r="I1799" s="3">
        <f>+2250758724458</f>
        <v>2250758724458</v>
      </c>
      <c r="J1799" s="3">
        <f>+2250707429602</f>
        <v>2250707429602</v>
      </c>
      <c r="K1799" s="1" t="s">
        <v>19</v>
      </c>
      <c r="L1799" s="4" t="s">
        <v>6326</v>
      </c>
    </row>
    <row r="1800">
      <c r="A1800" s="1" t="s">
        <v>12</v>
      </c>
      <c r="B1800" s="1" t="s">
        <v>6327</v>
      </c>
      <c r="C1800" s="1" t="s">
        <v>6104</v>
      </c>
      <c r="D1800" s="1" t="s">
        <v>6328</v>
      </c>
      <c r="E1800" s="2">
        <v>38501.0</v>
      </c>
      <c r="F1800" s="1" t="s">
        <v>48</v>
      </c>
      <c r="G1800" s="1" t="s">
        <v>31</v>
      </c>
      <c r="H1800" s="1" t="s">
        <v>32</v>
      </c>
      <c r="I1800" s="3">
        <f>+2250564043303</f>
        <v>2250564043303</v>
      </c>
      <c r="J1800" s="3">
        <f>+2250709455062</f>
        <v>2250709455062</v>
      </c>
      <c r="K1800" s="1" t="s">
        <v>19</v>
      </c>
      <c r="L1800" s="4" t="s">
        <v>6329</v>
      </c>
    </row>
    <row r="1801">
      <c r="A1801" s="1" t="s">
        <v>12</v>
      </c>
      <c r="B1801" s="1" t="s">
        <v>6330</v>
      </c>
      <c r="C1801" s="1" t="s">
        <v>6104</v>
      </c>
      <c r="D1801" s="1" t="s">
        <v>6331</v>
      </c>
      <c r="E1801" s="2">
        <v>37756.0</v>
      </c>
      <c r="F1801" s="1" t="s">
        <v>16</v>
      </c>
      <c r="G1801" s="1" t="s">
        <v>17</v>
      </c>
      <c r="H1801" s="1" t="s">
        <v>18</v>
      </c>
      <c r="I1801" s="3">
        <f>+2250768626399</f>
        <v>2250768626399</v>
      </c>
      <c r="J1801" s="3">
        <f>+2250777203264</f>
        <v>2250777203264</v>
      </c>
      <c r="K1801" s="1" t="s">
        <v>19</v>
      </c>
      <c r="L1801" s="4" t="s">
        <v>6332</v>
      </c>
    </row>
    <row r="1802">
      <c r="A1802" s="1" t="s">
        <v>12</v>
      </c>
      <c r="B1802" s="1" t="s">
        <v>6333</v>
      </c>
      <c r="C1802" s="1" t="s">
        <v>6104</v>
      </c>
      <c r="D1802" s="1" t="s">
        <v>6334</v>
      </c>
      <c r="E1802" s="5">
        <v>36828.0</v>
      </c>
      <c r="F1802" s="1" t="s">
        <v>16</v>
      </c>
      <c r="G1802" s="1" t="s">
        <v>17</v>
      </c>
      <c r="H1802" s="1" t="s">
        <v>18</v>
      </c>
      <c r="I1802" s="3">
        <f>+2250564911775</f>
        <v>2250564911775</v>
      </c>
      <c r="J1802" s="3">
        <f>+2250748791046</f>
        <v>2250748791046</v>
      </c>
      <c r="K1802" s="1" t="s">
        <v>19</v>
      </c>
      <c r="L1802" s="4" t="s">
        <v>6335</v>
      </c>
    </row>
    <row r="1803">
      <c r="A1803" s="1" t="s">
        <v>12</v>
      </c>
      <c r="B1803" s="1" t="s">
        <v>6336</v>
      </c>
      <c r="C1803" s="1" t="s">
        <v>6104</v>
      </c>
      <c r="D1803" s="1" t="s">
        <v>6337</v>
      </c>
      <c r="E1803" s="2">
        <v>38516.0</v>
      </c>
      <c r="F1803" s="1" t="s">
        <v>147</v>
      </c>
      <c r="G1803" s="1" t="s">
        <v>25</v>
      </c>
      <c r="H1803" s="1" t="s">
        <v>18</v>
      </c>
      <c r="I1803" s="3">
        <f>+2250555622008</f>
        <v>2250555622008</v>
      </c>
      <c r="J1803" s="3">
        <f>+2250707742097</f>
        <v>2250707742097</v>
      </c>
      <c r="K1803" s="1" t="s">
        <v>19</v>
      </c>
      <c r="L1803" s="4" t="s">
        <v>6338</v>
      </c>
    </row>
    <row r="1804">
      <c r="A1804" s="1" t="s">
        <v>12</v>
      </c>
      <c r="B1804" s="1" t="s">
        <v>6339</v>
      </c>
      <c r="C1804" s="1" t="s">
        <v>6104</v>
      </c>
      <c r="D1804" s="1" t="s">
        <v>6340</v>
      </c>
      <c r="E1804" s="2">
        <v>37565.0</v>
      </c>
      <c r="F1804" s="1" t="s">
        <v>30</v>
      </c>
      <c r="G1804" s="1" t="s">
        <v>31</v>
      </c>
      <c r="H1804" s="1" t="s">
        <v>32</v>
      </c>
      <c r="I1804" s="3">
        <f>+2250575022000</f>
        <v>2250575022000</v>
      </c>
      <c r="J1804" s="3">
        <f>+2250707925669</f>
        <v>2250707925669</v>
      </c>
      <c r="K1804" s="1" t="s">
        <v>19</v>
      </c>
      <c r="L1804" s="4" t="s">
        <v>6341</v>
      </c>
    </row>
    <row r="1805">
      <c r="A1805" s="1" t="s">
        <v>12</v>
      </c>
      <c r="B1805" s="1" t="s">
        <v>6342</v>
      </c>
      <c r="C1805" s="1" t="s">
        <v>6104</v>
      </c>
      <c r="D1805" s="1" t="s">
        <v>6343</v>
      </c>
      <c r="E1805" s="2">
        <v>38914.0</v>
      </c>
      <c r="F1805" s="1" t="s">
        <v>92</v>
      </c>
      <c r="G1805" s="1" t="s">
        <v>76</v>
      </c>
      <c r="H1805" s="1" t="s">
        <v>32</v>
      </c>
      <c r="I1805" s="3">
        <f>+2250142160229</f>
        <v>2250142160229</v>
      </c>
      <c r="J1805" s="3">
        <f>+2250707793394</f>
        <v>2250707793394</v>
      </c>
      <c r="K1805" s="1" t="s">
        <v>19</v>
      </c>
      <c r="L1805" s="4" t="s">
        <v>6344</v>
      </c>
    </row>
    <row r="1806">
      <c r="A1806" s="1" t="s">
        <v>12</v>
      </c>
      <c r="B1806" s="1" t="s">
        <v>6345</v>
      </c>
      <c r="C1806" s="1" t="s">
        <v>6104</v>
      </c>
      <c r="D1806" s="1" t="s">
        <v>6346</v>
      </c>
      <c r="E1806" s="2">
        <v>38224.0</v>
      </c>
      <c r="F1806" s="1" t="s">
        <v>62</v>
      </c>
      <c r="G1806" s="1" t="s">
        <v>17</v>
      </c>
      <c r="H1806" s="1" t="s">
        <v>18</v>
      </c>
      <c r="I1806" s="3">
        <f>+2250789978039</f>
        <v>2250789978039</v>
      </c>
      <c r="J1806" s="3">
        <f>+2250707572476</f>
        <v>2250707572476</v>
      </c>
      <c r="K1806" s="1" t="s">
        <v>19</v>
      </c>
      <c r="L1806" s="4" t="s">
        <v>6347</v>
      </c>
    </row>
    <row r="1807">
      <c r="A1807" s="1" t="s">
        <v>12</v>
      </c>
      <c r="B1807" s="1" t="s">
        <v>6348</v>
      </c>
      <c r="C1807" s="1" t="s">
        <v>6104</v>
      </c>
      <c r="D1807" s="1" t="s">
        <v>6349</v>
      </c>
      <c r="E1807" s="2">
        <v>38563.0</v>
      </c>
      <c r="F1807" s="1" t="s">
        <v>30</v>
      </c>
      <c r="G1807" s="1" t="s">
        <v>76</v>
      </c>
      <c r="H1807" s="1" t="s">
        <v>32</v>
      </c>
      <c r="I1807" s="3">
        <f>+2250759857453</f>
        <v>2250759857453</v>
      </c>
      <c r="J1807" s="3">
        <f>+2250708579441</f>
        <v>2250708579441</v>
      </c>
      <c r="K1807" s="1" t="s">
        <v>19</v>
      </c>
      <c r="L1807" s="4" t="s">
        <v>6350</v>
      </c>
    </row>
    <row r="1808">
      <c r="A1808" s="1" t="s">
        <v>12</v>
      </c>
      <c r="B1808" s="1" t="s">
        <v>6351</v>
      </c>
      <c r="C1808" s="1" t="s">
        <v>6104</v>
      </c>
      <c r="D1808" s="1" t="s">
        <v>6352</v>
      </c>
      <c r="E1808" s="2">
        <v>38062.0</v>
      </c>
      <c r="F1808" s="1" t="s">
        <v>62</v>
      </c>
      <c r="G1808" s="1" t="s">
        <v>25</v>
      </c>
      <c r="H1808" s="1" t="s">
        <v>18</v>
      </c>
      <c r="I1808" s="3">
        <f>+2250757308282</f>
        <v>2250757308282</v>
      </c>
      <c r="J1808" s="3">
        <f>+2250707569732</f>
        <v>2250707569732</v>
      </c>
      <c r="K1808" s="1" t="s">
        <v>19</v>
      </c>
      <c r="L1808" s="4" t="s">
        <v>6353</v>
      </c>
    </row>
    <row r="1809">
      <c r="A1809" s="1" t="s">
        <v>12</v>
      </c>
      <c r="B1809" s="1" t="s">
        <v>6354</v>
      </c>
      <c r="C1809" s="1" t="s">
        <v>6104</v>
      </c>
      <c r="D1809" s="1" t="s">
        <v>6355</v>
      </c>
      <c r="E1809" s="2">
        <v>38249.0</v>
      </c>
      <c r="F1809" s="1" t="s">
        <v>53</v>
      </c>
      <c r="G1809" s="1" t="s">
        <v>25</v>
      </c>
      <c r="H1809" s="1" t="s">
        <v>18</v>
      </c>
      <c r="I1809" s="3">
        <f>+2250140136172</f>
        <v>2250140136172</v>
      </c>
      <c r="J1809" s="3">
        <f>+2250749756109</f>
        <v>2250749756109</v>
      </c>
      <c r="K1809" s="1" t="s">
        <v>19</v>
      </c>
      <c r="L1809" s="4" t="s">
        <v>6356</v>
      </c>
    </row>
    <row r="1810">
      <c r="A1810" s="1" t="s">
        <v>12</v>
      </c>
      <c r="B1810" s="1" t="s">
        <v>6357</v>
      </c>
      <c r="C1810" s="1" t="s">
        <v>6104</v>
      </c>
      <c r="D1810" s="1" t="s">
        <v>6358</v>
      </c>
      <c r="E1810" s="2">
        <v>37710.0</v>
      </c>
      <c r="F1810" s="1" t="s">
        <v>16</v>
      </c>
      <c r="G1810" s="1" t="s">
        <v>82</v>
      </c>
      <c r="H1810" s="1" t="s">
        <v>18</v>
      </c>
      <c r="I1810" s="3">
        <f>+2250769022148</f>
        <v>2250769022148</v>
      </c>
      <c r="J1810" s="3">
        <f>+2250779304032</f>
        <v>2250779304032</v>
      </c>
      <c r="K1810" s="1" t="s">
        <v>19</v>
      </c>
      <c r="L1810" s="4" t="s">
        <v>6359</v>
      </c>
    </row>
    <row r="1811">
      <c r="A1811" s="1" t="s">
        <v>12</v>
      </c>
      <c r="B1811" s="1" t="s">
        <v>6360</v>
      </c>
      <c r="C1811" s="1" t="s">
        <v>6104</v>
      </c>
      <c r="D1811" s="1" t="s">
        <v>6361</v>
      </c>
      <c r="E1811" s="2">
        <v>38453.0</v>
      </c>
      <c r="F1811" s="1" t="s">
        <v>16</v>
      </c>
      <c r="G1811" s="1" t="s">
        <v>17</v>
      </c>
      <c r="H1811" s="1" t="s">
        <v>18</v>
      </c>
      <c r="I1811" s="3">
        <f>+2250141227104</f>
        <v>2250141227104</v>
      </c>
      <c r="J1811" s="3">
        <f>+2250777226124</f>
        <v>2250777226124</v>
      </c>
      <c r="K1811" s="1" t="s">
        <v>19</v>
      </c>
      <c r="L1811" s="4" t="s">
        <v>6362</v>
      </c>
    </row>
    <row r="1812">
      <c r="A1812" s="1" t="s">
        <v>12</v>
      </c>
      <c r="B1812" s="1" t="s">
        <v>6363</v>
      </c>
      <c r="C1812" s="1" t="s">
        <v>6104</v>
      </c>
      <c r="D1812" s="1" t="s">
        <v>6364</v>
      </c>
      <c r="E1812" s="5">
        <v>37548.0</v>
      </c>
      <c r="F1812" s="1" t="s">
        <v>16</v>
      </c>
      <c r="G1812" s="1" t="s">
        <v>17</v>
      </c>
      <c r="H1812" s="1" t="s">
        <v>18</v>
      </c>
      <c r="I1812" s="3">
        <f>+2250700227736</f>
        <v>2250700227736</v>
      </c>
      <c r="J1812" s="3">
        <f>+2250759498208</f>
        <v>2250759498208</v>
      </c>
      <c r="K1812" s="1" t="s">
        <v>19</v>
      </c>
      <c r="L1812" s="4" t="s">
        <v>6365</v>
      </c>
    </row>
    <row r="1813">
      <c r="A1813" s="1" t="s">
        <v>12</v>
      </c>
      <c r="B1813" s="1" t="s">
        <v>6366</v>
      </c>
      <c r="C1813" s="1" t="s">
        <v>6104</v>
      </c>
      <c r="D1813" s="1" t="s">
        <v>6367</v>
      </c>
      <c r="E1813" s="5">
        <v>38317.0</v>
      </c>
      <c r="F1813" s="1" t="s">
        <v>53</v>
      </c>
      <c r="G1813" s="1" t="s">
        <v>25</v>
      </c>
      <c r="H1813" s="1" t="s">
        <v>18</v>
      </c>
      <c r="I1813" s="3">
        <f>+2250151224475</f>
        <v>2250151224475</v>
      </c>
      <c r="J1813" s="3">
        <f>+2250707800628</f>
        <v>2250707800628</v>
      </c>
      <c r="K1813" s="1" t="s">
        <v>19</v>
      </c>
      <c r="L1813" s="4" t="s">
        <v>6368</v>
      </c>
    </row>
    <row r="1814">
      <c r="A1814" s="1" t="s">
        <v>12</v>
      </c>
      <c r="B1814" s="1" t="s">
        <v>6369</v>
      </c>
      <c r="C1814" s="1" t="s">
        <v>6104</v>
      </c>
      <c r="D1814" s="1" t="s">
        <v>6370</v>
      </c>
      <c r="E1814" s="2">
        <v>37628.0</v>
      </c>
      <c r="F1814" s="1" t="s">
        <v>1219</v>
      </c>
      <c r="G1814" s="1" t="s">
        <v>82</v>
      </c>
      <c r="H1814" s="1" t="s">
        <v>18</v>
      </c>
      <c r="I1814" s="3">
        <f>+2250789467594</f>
        <v>2250789467594</v>
      </c>
      <c r="J1814" s="3">
        <f>+2250759870071</f>
        <v>2250759870071</v>
      </c>
      <c r="K1814" s="1" t="s">
        <v>19</v>
      </c>
      <c r="L1814" s="4" t="s">
        <v>6371</v>
      </c>
    </row>
    <row r="1815">
      <c r="A1815" s="1" t="s">
        <v>12</v>
      </c>
      <c r="B1815" s="1" t="s">
        <v>6372</v>
      </c>
      <c r="C1815" s="1" t="s">
        <v>6104</v>
      </c>
      <c r="D1815" s="1" t="s">
        <v>6373</v>
      </c>
      <c r="E1815" s="2">
        <v>38293.0</v>
      </c>
      <c r="F1815" s="1" t="s">
        <v>92</v>
      </c>
      <c r="G1815" s="1" t="s">
        <v>76</v>
      </c>
      <c r="H1815" s="1" t="s">
        <v>32</v>
      </c>
      <c r="I1815" s="3">
        <f>+2250152806407</f>
        <v>2250152806407</v>
      </c>
      <c r="J1815" s="3">
        <f>+2250140755975</f>
        <v>2250140755975</v>
      </c>
      <c r="K1815" s="1" t="s">
        <v>19</v>
      </c>
      <c r="L1815" s="4" t="s">
        <v>6374</v>
      </c>
    </row>
    <row r="1816">
      <c r="A1816" s="1" t="s">
        <v>12</v>
      </c>
      <c r="B1816" s="1" t="s">
        <v>6375</v>
      </c>
      <c r="C1816" s="1" t="s">
        <v>6104</v>
      </c>
      <c r="D1816" s="1" t="s">
        <v>6376</v>
      </c>
      <c r="E1816" s="5">
        <v>35728.0</v>
      </c>
      <c r="F1816" s="1" t="s">
        <v>155</v>
      </c>
      <c r="G1816" s="1" t="s">
        <v>31</v>
      </c>
      <c r="H1816" s="1" t="s">
        <v>32</v>
      </c>
      <c r="I1816" s="3">
        <f>+2250757800707</f>
        <v>2250757800707</v>
      </c>
      <c r="J1816" s="3">
        <f>+2250707367386</f>
        <v>2250707367386</v>
      </c>
      <c r="K1816" s="1" t="s">
        <v>19</v>
      </c>
      <c r="L1816" s="4" t="s">
        <v>6377</v>
      </c>
    </row>
    <row r="1817">
      <c r="A1817" s="1" t="s">
        <v>12</v>
      </c>
      <c r="B1817" s="1" t="s">
        <v>6378</v>
      </c>
      <c r="C1817" s="1" t="s">
        <v>6104</v>
      </c>
      <c r="D1817" s="1" t="s">
        <v>6379</v>
      </c>
      <c r="E1817" s="2">
        <v>36909.0</v>
      </c>
      <c r="F1817" s="1" t="s">
        <v>62</v>
      </c>
      <c r="G1817" s="1" t="s">
        <v>17</v>
      </c>
      <c r="H1817" s="1" t="s">
        <v>18</v>
      </c>
      <c r="I1817" s="3">
        <f>+2250505154364</f>
        <v>2250505154364</v>
      </c>
      <c r="J1817" s="3">
        <f>+2250747191196</f>
        <v>2250747191196</v>
      </c>
      <c r="K1817" s="1" t="s">
        <v>19</v>
      </c>
      <c r="L1817" s="4" t="s">
        <v>6380</v>
      </c>
    </row>
    <row r="1818">
      <c r="A1818" s="1" t="s">
        <v>12</v>
      </c>
      <c r="B1818" s="1" t="s">
        <v>6381</v>
      </c>
      <c r="C1818" s="1" t="s">
        <v>6104</v>
      </c>
      <c r="D1818" s="1" t="s">
        <v>6382</v>
      </c>
      <c r="E1818" s="2">
        <v>38075.0</v>
      </c>
      <c r="F1818" s="1" t="s">
        <v>16</v>
      </c>
      <c r="G1818" s="1" t="s">
        <v>17</v>
      </c>
      <c r="H1818" s="1" t="s">
        <v>18</v>
      </c>
      <c r="I1818" s="3">
        <f>+2250704251944</f>
        <v>2250704251944</v>
      </c>
      <c r="J1818" s="3">
        <f>+2250556335411</f>
        <v>2250556335411</v>
      </c>
      <c r="K1818" s="1" t="s">
        <v>19</v>
      </c>
      <c r="L1818" s="4" t="s">
        <v>6383</v>
      </c>
    </row>
    <row r="1819">
      <c r="A1819" s="1" t="s">
        <v>12</v>
      </c>
      <c r="B1819" s="1" t="s">
        <v>6384</v>
      </c>
      <c r="C1819" s="1" t="s">
        <v>6104</v>
      </c>
      <c r="D1819" s="1" t="s">
        <v>6385</v>
      </c>
      <c r="E1819" s="2">
        <v>38528.0</v>
      </c>
      <c r="F1819" s="1" t="s">
        <v>53</v>
      </c>
      <c r="G1819" s="1" t="s">
        <v>17</v>
      </c>
      <c r="H1819" s="1" t="s">
        <v>18</v>
      </c>
      <c r="I1819" s="3">
        <f>+2250585549011</f>
        <v>2250585549011</v>
      </c>
      <c r="J1819" s="3">
        <f>+2250747678167</f>
        <v>2250747678167</v>
      </c>
      <c r="K1819" s="1" t="s">
        <v>19</v>
      </c>
      <c r="L1819" s="4" t="s">
        <v>6386</v>
      </c>
    </row>
    <row r="1820">
      <c r="A1820" s="1" t="s">
        <v>12</v>
      </c>
      <c r="B1820" s="1" t="s">
        <v>6387</v>
      </c>
      <c r="C1820" s="1" t="s">
        <v>6388</v>
      </c>
      <c r="D1820" s="1" t="s">
        <v>6389</v>
      </c>
      <c r="E1820" s="2">
        <v>38529.0</v>
      </c>
      <c r="F1820" s="1" t="s">
        <v>288</v>
      </c>
      <c r="G1820" s="1" t="s">
        <v>76</v>
      </c>
      <c r="H1820" s="1" t="s">
        <v>32</v>
      </c>
      <c r="I1820" s="3">
        <f>+2250777051841</f>
        <v>2250777051841</v>
      </c>
      <c r="J1820" s="3">
        <f>+2250505038888</f>
        <v>2250505038888</v>
      </c>
      <c r="K1820" s="1" t="s">
        <v>19</v>
      </c>
      <c r="L1820" s="4" t="s">
        <v>6390</v>
      </c>
    </row>
    <row r="1821">
      <c r="A1821" s="1" t="s">
        <v>12</v>
      </c>
      <c r="B1821" s="1" t="s">
        <v>6391</v>
      </c>
      <c r="C1821" s="1" t="s">
        <v>6392</v>
      </c>
      <c r="D1821" s="1" t="s">
        <v>6393</v>
      </c>
      <c r="E1821" s="2">
        <v>38111.0</v>
      </c>
      <c r="F1821" s="1" t="s">
        <v>101</v>
      </c>
      <c r="G1821" s="1" t="s">
        <v>31</v>
      </c>
      <c r="H1821" s="1" t="s">
        <v>32</v>
      </c>
      <c r="I1821" s="3">
        <f>+2250767051201</f>
        <v>2250767051201</v>
      </c>
      <c r="J1821" s="3">
        <f>+2250708359103</f>
        <v>2250708359103</v>
      </c>
      <c r="K1821" s="1" t="s">
        <v>19</v>
      </c>
      <c r="L1821" s="4" t="s">
        <v>6394</v>
      </c>
    </row>
    <row r="1822">
      <c r="A1822" s="1" t="s">
        <v>12</v>
      </c>
      <c r="B1822" s="1" t="s">
        <v>6395</v>
      </c>
      <c r="C1822" s="1" t="s">
        <v>6396</v>
      </c>
      <c r="D1822" s="1" t="s">
        <v>6397</v>
      </c>
      <c r="E1822" s="2">
        <v>37734.0</v>
      </c>
      <c r="F1822" s="1" t="s">
        <v>92</v>
      </c>
      <c r="G1822" s="1" t="s">
        <v>31</v>
      </c>
      <c r="H1822" s="1" t="s">
        <v>32</v>
      </c>
      <c r="I1822" s="3">
        <f>+2250576262863</f>
        <v>2250576262863</v>
      </c>
      <c r="J1822" s="3">
        <f>+2250505938471</f>
        <v>2250505938471</v>
      </c>
      <c r="K1822" s="1" t="s">
        <v>19</v>
      </c>
      <c r="L1822" s="4" t="s">
        <v>6398</v>
      </c>
    </row>
    <row r="1823">
      <c r="A1823" s="1" t="s">
        <v>12</v>
      </c>
      <c r="B1823" s="1" t="s">
        <v>6399</v>
      </c>
      <c r="C1823" s="1" t="s">
        <v>6400</v>
      </c>
      <c r="D1823" s="1" t="s">
        <v>6401</v>
      </c>
      <c r="E1823" s="5">
        <v>37608.0</v>
      </c>
      <c r="F1823" s="1" t="s">
        <v>30</v>
      </c>
      <c r="G1823" s="1" t="s">
        <v>31</v>
      </c>
      <c r="H1823" s="1" t="s">
        <v>32</v>
      </c>
      <c r="I1823" s="3">
        <f>+2250150913562</f>
        <v>2250150913562</v>
      </c>
      <c r="J1823" s="3">
        <f>+2250708421530</f>
        <v>2250708421530</v>
      </c>
      <c r="K1823" s="1" t="s">
        <v>19</v>
      </c>
      <c r="L1823" s="4" t="s">
        <v>6402</v>
      </c>
    </row>
    <row r="1824">
      <c r="A1824" s="1" t="s">
        <v>12</v>
      </c>
      <c r="B1824" s="1" t="s">
        <v>6403</v>
      </c>
      <c r="C1824" s="1" t="s">
        <v>6404</v>
      </c>
      <c r="D1824" s="1" t="s">
        <v>6111</v>
      </c>
      <c r="E1824" s="2">
        <v>37362.0</v>
      </c>
      <c r="F1824" s="1" t="s">
        <v>101</v>
      </c>
      <c r="G1824" s="1" t="s">
        <v>31</v>
      </c>
      <c r="H1824" s="1" t="s">
        <v>32</v>
      </c>
      <c r="I1824" s="3">
        <f>+2250103403202</f>
        <v>2250103403202</v>
      </c>
      <c r="J1824" s="3">
        <f>+2250103236223</f>
        <v>2250103236223</v>
      </c>
      <c r="K1824" s="1" t="s">
        <v>19</v>
      </c>
      <c r="L1824" s="4" t="s">
        <v>6405</v>
      </c>
    </row>
    <row r="1825">
      <c r="A1825" s="1" t="s">
        <v>12</v>
      </c>
      <c r="B1825" s="1" t="s">
        <v>6406</v>
      </c>
      <c r="C1825" s="1" t="s">
        <v>6407</v>
      </c>
      <c r="D1825" s="1" t="s">
        <v>6408</v>
      </c>
      <c r="E1825" s="2">
        <v>37200.0</v>
      </c>
      <c r="F1825" s="1" t="s">
        <v>342</v>
      </c>
      <c r="G1825" s="1" t="s">
        <v>82</v>
      </c>
      <c r="H1825" s="1" t="s">
        <v>18</v>
      </c>
      <c r="I1825" s="3">
        <f>+2250759558727</f>
        <v>2250759558727</v>
      </c>
      <c r="J1825" s="3">
        <f>+2250101893678</f>
        <v>2250101893678</v>
      </c>
      <c r="K1825" s="1" t="s">
        <v>19</v>
      </c>
      <c r="L1825" s="4" t="s">
        <v>6409</v>
      </c>
    </row>
    <row r="1826">
      <c r="A1826" s="1" t="s">
        <v>12</v>
      </c>
      <c r="B1826" s="1" t="s">
        <v>6410</v>
      </c>
      <c r="C1826" s="1" t="s">
        <v>6411</v>
      </c>
      <c r="D1826" s="1" t="s">
        <v>6412</v>
      </c>
      <c r="E1826" s="2">
        <v>38094.0</v>
      </c>
      <c r="F1826" s="1" t="s">
        <v>16</v>
      </c>
      <c r="G1826" s="1" t="s">
        <v>25</v>
      </c>
      <c r="H1826" s="1" t="s">
        <v>18</v>
      </c>
      <c r="I1826" s="3">
        <f>+2250799598166</f>
        <v>2250799598166</v>
      </c>
      <c r="J1826" s="3">
        <f>+2250708040582</f>
        <v>2250708040582</v>
      </c>
      <c r="K1826" s="1" t="s">
        <v>19</v>
      </c>
      <c r="L1826" s="4" t="s">
        <v>6413</v>
      </c>
    </row>
    <row r="1827">
      <c r="A1827" s="1" t="s">
        <v>12</v>
      </c>
      <c r="B1827" s="1" t="s">
        <v>6414</v>
      </c>
      <c r="C1827" s="1" t="s">
        <v>6415</v>
      </c>
      <c r="D1827" s="1" t="s">
        <v>6416</v>
      </c>
      <c r="E1827" s="2">
        <v>37759.0</v>
      </c>
      <c r="F1827" s="1" t="s">
        <v>48</v>
      </c>
      <c r="G1827" s="1" t="s">
        <v>82</v>
      </c>
      <c r="H1827" s="1" t="s">
        <v>18</v>
      </c>
      <c r="I1827" s="3">
        <f>+2250768060010</f>
        <v>2250768060010</v>
      </c>
      <c r="J1827" s="3">
        <f>+2250757316490</f>
        <v>2250757316490</v>
      </c>
      <c r="K1827" s="1" t="s">
        <v>19</v>
      </c>
      <c r="L1827" s="4" t="s">
        <v>6417</v>
      </c>
    </row>
    <row r="1828">
      <c r="A1828" s="1" t="s">
        <v>12</v>
      </c>
      <c r="B1828" s="1" t="s">
        <v>6418</v>
      </c>
      <c r="C1828" s="1" t="s">
        <v>6415</v>
      </c>
      <c r="D1828" s="1" t="s">
        <v>6419</v>
      </c>
      <c r="E1828" s="2">
        <v>38218.0</v>
      </c>
      <c r="F1828" s="1" t="s">
        <v>48</v>
      </c>
      <c r="G1828" s="1" t="s">
        <v>76</v>
      </c>
      <c r="H1828" s="1" t="s">
        <v>32</v>
      </c>
      <c r="I1828" s="3">
        <f>+2250143328079</f>
        <v>2250143328079</v>
      </c>
      <c r="J1828" s="3">
        <f>+2250142438459</f>
        <v>2250142438459</v>
      </c>
      <c r="K1828" s="1" t="s">
        <v>19</v>
      </c>
      <c r="L1828" s="4" t="s">
        <v>6420</v>
      </c>
    </row>
    <row r="1829">
      <c r="A1829" s="1" t="s">
        <v>12</v>
      </c>
      <c r="B1829" s="1" t="s">
        <v>6421</v>
      </c>
      <c r="C1829" s="1" t="s">
        <v>6422</v>
      </c>
      <c r="D1829" s="1" t="s">
        <v>6423</v>
      </c>
      <c r="E1829" s="2">
        <v>38112.0</v>
      </c>
      <c r="F1829" s="1" t="s">
        <v>62</v>
      </c>
      <c r="G1829" s="1" t="s">
        <v>17</v>
      </c>
      <c r="H1829" s="1" t="s">
        <v>18</v>
      </c>
      <c r="I1829" s="3">
        <f>+2250767805941</f>
        <v>2250767805941</v>
      </c>
      <c r="J1829" s="3">
        <f>+2250747585256</f>
        <v>2250747585256</v>
      </c>
      <c r="K1829" s="1" t="s">
        <v>19</v>
      </c>
      <c r="L1829" s="4" t="s">
        <v>6424</v>
      </c>
    </row>
    <row r="1830">
      <c r="A1830" s="1" t="s">
        <v>12</v>
      </c>
      <c r="B1830" s="1" t="s">
        <v>6425</v>
      </c>
      <c r="C1830" s="1" t="s">
        <v>6426</v>
      </c>
      <c r="D1830" s="1" t="s">
        <v>6427</v>
      </c>
      <c r="E1830" s="2">
        <v>38260.0</v>
      </c>
      <c r="F1830" s="1" t="s">
        <v>16</v>
      </c>
      <c r="G1830" s="1" t="s">
        <v>17</v>
      </c>
      <c r="H1830" s="1" t="s">
        <v>18</v>
      </c>
      <c r="I1830" s="3">
        <f t="shared" ref="I1830:J1830" si="51">+2250758491974</f>
        <v>2250758491974</v>
      </c>
      <c r="J1830" s="3">
        <f t="shared" si="51"/>
        <v>2250758491974</v>
      </c>
      <c r="K1830" s="1" t="s">
        <v>19</v>
      </c>
      <c r="L1830" s="4" t="s">
        <v>6428</v>
      </c>
    </row>
    <row r="1831">
      <c r="A1831" s="1" t="s">
        <v>12</v>
      </c>
      <c r="B1831" s="1" t="s">
        <v>6429</v>
      </c>
      <c r="C1831" s="1" t="s">
        <v>6430</v>
      </c>
      <c r="D1831" s="1" t="s">
        <v>6431</v>
      </c>
      <c r="E1831" s="2">
        <v>37229.0</v>
      </c>
      <c r="F1831" s="1" t="s">
        <v>16</v>
      </c>
      <c r="G1831" s="1" t="s">
        <v>17</v>
      </c>
      <c r="H1831" s="1" t="s">
        <v>18</v>
      </c>
      <c r="I1831" s="3">
        <f>+2250769505909</f>
        <v>2250769505909</v>
      </c>
      <c r="J1831" s="3">
        <f>+2250748737294</f>
        <v>2250748737294</v>
      </c>
      <c r="K1831" s="1" t="s">
        <v>19</v>
      </c>
      <c r="L1831" s="4" t="s">
        <v>6432</v>
      </c>
    </row>
    <row r="1832">
      <c r="A1832" s="1" t="s">
        <v>12</v>
      </c>
      <c r="B1832" s="1" t="s">
        <v>6433</v>
      </c>
      <c r="C1832" s="1" t="s">
        <v>6430</v>
      </c>
      <c r="D1832" s="1" t="s">
        <v>6434</v>
      </c>
      <c r="E1832" s="2">
        <v>38227.0</v>
      </c>
      <c r="F1832" s="1" t="s">
        <v>75</v>
      </c>
      <c r="G1832" s="1" t="s">
        <v>76</v>
      </c>
      <c r="H1832" s="1" t="s">
        <v>32</v>
      </c>
      <c r="I1832" s="3">
        <f>+2250758438795</f>
        <v>2250758438795</v>
      </c>
      <c r="J1832" s="3">
        <f>+2250747747493</f>
        <v>2250747747493</v>
      </c>
      <c r="K1832" s="1" t="s">
        <v>19</v>
      </c>
      <c r="L1832" s="4" t="s">
        <v>6435</v>
      </c>
    </row>
    <row r="1833">
      <c r="A1833" s="1" t="s">
        <v>12</v>
      </c>
      <c r="B1833" s="1" t="s">
        <v>6436</v>
      </c>
      <c r="C1833" s="1" t="s">
        <v>6437</v>
      </c>
      <c r="D1833" s="1" t="s">
        <v>6438</v>
      </c>
      <c r="E1833" s="2">
        <v>37717.0</v>
      </c>
      <c r="F1833" s="1" t="s">
        <v>30</v>
      </c>
      <c r="G1833" s="1" t="s">
        <v>31</v>
      </c>
      <c r="H1833" s="1" t="s">
        <v>32</v>
      </c>
      <c r="I1833" s="3">
        <f>+2250594541001</f>
        <v>2250594541001</v>
      </c>
      <c r="J1833" s="3">
        <f>+2250545344013</f>
        <v>2250545344013</v>
      </c>
      <c r="K1833" s="1" t="s">
        <v>19</v>
      </c>
      <c r="L1833" s="4" t="s">
        <v>6439</v>
      </c>
    </row>
    <row r="1834">
      <c r="A1834" s="1" t="s">
        <v>12</v>
      </c>
      <c r="B1834" s="1" t="s">
        <v>6440</v>
      </c>
      <c r="C1834" s="1" t="s">
        <v>6441</v>
      </c>
      <c r="D1834" s="1" t="s">
        <v>6442</v>
      </c>
      <c r="E1834" s="2">
        <v>38545.0</v>
      </c>
      <c r="F1834" s="1" t="s">
        <v>48</v>
      </c>
      <c r="G1834" s="1" t="s">
        <v>31</v>
      </c>
      <c r="H1834" s="1" t="s">
        <v>32</v>
      </c>
      <c r="I1834" s="3">
        <f>+2250759627967</f>
        <v>2250759627967</v>
      </c>
      <c r="J1834" s="3">
        <f>+2250505931357</f>
        <v>2250505931357</v>
      </c>
      <c r="K1834" s="1" t="s">
        <v>19</v>
      </c>
      <c r="L1834" s="4" t="s">
        <v>6443</v>
      </c>
    </row>
    <row r="1835">
      <c r="A1835" s="1" t="s">
        <v>12</v>
      </c>
      <c r="B1835" s="1" t="s">
        <v>6444</v>
      </c>
      <c r="C1835" s="1" t="s">
        <v>6441</v>
      </c>
      <c r="D1835" s="1" t="s">
        <v>6445</v>
      </c>
      <c r="E1835" s="2">
        <v>37779.0</v>
      </c>
      <c r="F1835" s="1" t="s">
        <v>16</v>
      </c>
      <c r="G1835" s="1" t="s">
        <v>17</v>
      </c>
      <c r="H1835" s="1" t="s">
        <v>18</v>
      </c>
      <c r="I1835" s="3">
        <f>+2250502530184</f>
        <v>2250502530184</v>
      </c>
      <c r="J1835" s="3">
        <f>+2250708286737</f>
        <v>2250708286737</v>
      </c>
      <c r="K1835" s="1" t="s">
        <v>19</v>
      </c>
      <c r="L1835" s="4" t="s">
        <v>6446</v>
      </c>
    </row>
    <row r="1836">
      <c r="A1836" s="1" t="s">
        <v>12</v>
      </c>
      <c r="B1836" s="1" t="s">
        <v>6447</v>
      </c>
      <c r="C1836" s="1" t="s">
        <v>6441</v>
      </c>
      <c r="D1836" s="1" t="s">
        <v>6448</v>
      </c>
      <c r="E1836" s="5">
        <v>38282.0</v>
      </c>
      <c r="F1836" s="1" t="s">
        <v>48</v>
      </c>
      <c r="G1836" s="1" t="s">
        <v>76</v>
      </c>
      <c r="H1836" s="1" t="s">
        <v>32</v>
      </c>
      <c r="I1836" s="3">
        <f>+2250141039005</f>
        <v>2250141039005</v>
      </c>
      <c r="J1836" s="3">
        <f>+2250708408888</f>
        <v>2250708408888</v>
      </c>
      <c r="K1836" s="1" t="s">
        <v>19</v>
      </c>
      <c r="L1836" s="4" t="s">
        <v>6449</v>
      </c>
    </row>
    <row r="1837">
      <c r="A1837" s="1" t="s">
        <v>12</v>
      </c>
      <c r="B1837" s="1" t="s">
        <v>6450</v>
      </c>
      <c r="C1837" s="1" t="s">
        <v>6451</v>
      </c>
      <c r="D1837" s="1" t="s">
        <v>6452</v>
      </c>
      <c r="E1837" s="2">
        <v>34160.0</v>
      </c>
      <c r="F1837" s="1" t="s">
        <v>101</v>
      </c>
      <c r="G1837" s="1" t="s">
        <v>76</v>
      </c>
      <c r="H1837" s="1" t="s">
        <v>32</v>
      </c>
      <c r="I1837" s="3">
        <f>+2250709145235</f>
        <v>2250709145235</v>
      </c>
      <c r="J1837" s="3">
        <f>+2250709683431</f>
        <v>2250709683431</v>
      </c>
      <c r="K1837" s="1" t="s">
        <v>19</v>
      </c>
      <c r="L1837" s="4" t="s">
        <v>6453</v>
      </c>
    </row>
    <row r="1838">
      <c r="A1838" s="1" t="s">
        <v>12</v>
      </c>
      <c r="B1838" s="1" t="s">
        <v>6454</v>
      </c>
      <c r="C1838" s="1" t="s">
        <v>6455</v>
      </c>
      <c r="D1838" s="1" t="s">
        <v>6456</v>
      </c>
      <c r="E1838" s="2">
        <v>37732.0</v>
      </c>
      <c r="F1838" s="1" t="s">
        <v>62</v>
      </c>
      <c r="G1838" s="1" t="s">
        <v>25</v>
      </c>
      <c r="H1838" s="1" t="s">
        <v>18</v>
      </c>
      <c r="I1838" s="3">
        <f>+2250788690838</f>
        <v>2250788690838</v>
      </c>
      <c r="J1838" s="3">
        <f>+2250708010513</f>
        <v>2250708010513</v>
      </c>
      <c r="K1838" s="1" t="s">
        <v>19</v>
      </c>
      <c r="L1838" s="4" t="s">
        <v>6457</v>
      </c>
    </row>
    <row r="1839">
      <c r="A1839" s="1" t="s">
        <v>12</v>
      </c>
      <c r="B1839" s="1" t="s">
        <v>6458</v>
      </c>
      <c r="C1839" s="1" t="s">
        <v>6459</v>
      </c>
      <c r="D1839" s="1" t="s">
        <v>6460</v>
      </c>
      <c r="E1839" s="2">
        <v>38059.0</v>
      </c>
      <c r="F1839" s="1" t="s">
        <v>48</v>
      </c>
      <c r="G1839" s="1" t="s">
        <v>31</v>
      </c>
      <c r="H1839" s="1" t="s">
        <v>32</v>
      </c>
      <c r="I1839" s="3">
        <f t="shared" ref="I1839:J1839" si="52">+2250709079245</f>
        <v>2250709079245</v>
      </c>
      <c r="J1839" s="3">
        <f t="shared" si="52"/>
        <v>2250709079245</v>
      </c>
      <c r="K1839" s="1" t="s">
        <v>19</v>
      </c>
      <c r="L1839" s="4" t="s">
        <v>6461</v>
      </c>
    </row>
    <row r="1840">
      <c r="A1840" s="1" t="s">
        <v>12</v>
      </c>
      <c r="B1840" s="1" t="s">
        <v>6462</v>
      </c>
      <c r="C1840" s="1" t="s">
        <v>6463</v>
      </c>
      <c r="D1840" s="1" t="s">
        <v>6464</v>
      </c>
      <c r="E1840" s="2">
        <v>38941.0</v>
      </c>
      <c r="F1840" s="1" t="s">
        <v>53</v>
      </c>
      <c r="G1840" s="1" t="s">
        <v>25</v>
      </c>
      <c r="H1840" s="1" t="s">
        <v>18</v>
      </c>
      <c r="I1840" s="3">
        <f>+2250778439542</f>
        <v>2250778439542</v>
      </c>
      <c r="J1840" s="3">
        <f t="shared" ref="J1840:J1841" si="53">+2250708113679</f>
        <v>2250708113679</v>
      </c>
      <c r="K1840" s="1" t="s">
        <v>19</v>
      </c>
      <c r="L1840" s="4" t="s">
        <v>6465</v>
      </c>
    </row>
    <row r="1841">
      <c r="A1841" s="1" t="s">
        <v>12</v>
      </c>
      <c r="B1841" s="1" t="s">
        <v>6466</v>
      </c>
      <c r="C1841" s="1" t="s">
        <v>6463</v>
      </c>
      <c r="D1841" s="1" t="s">
        <v>6467</v>
      </c>
      <c r="E1841" s="2">
        <v>37793.0</v>
      </c>
      <c r="F1841" s="1" t="s">
        <v>62</v>
      </c>
      <c r="G1841" s="1" t="s">
        <v>17</v>
      </c>
      <c r="H1841" s="1" t="s">
        <v>18</v>
      </c>
      <c r="I1841" s="3">
        <f>+2250799734110</f>
        <v>2250799734110</v>
      </c>
      <c r="J1841" s="3">
        <f t="shared" si="53"/>
        <v>2250708113679</v>
      </c>
      <c r="K1841" s="1" t="s">
        <v>19</v>
      </c>
      <c r="L1841" s="4" t="s">
        <v>6468</v>
      </c>
    </row>
    <row r="1842">
      <c r="A1842" s="1" t="s">
        <v>12</v>
      </c>
      <c r="B1842" s="1" t="s">
        <v>6469</v>
      </c>
      <c r="C1842" s="1" t="s">
        <v>6470</v>
      </c>
      <c r="D1842" s="1" t="s">
        <v>1643</v>
      </c>
      <c r="E1842" s="2">
        <v>35942.0</v>
      </c>
      <c r="F1842" s="1" t="s">
        <v>182</v>
      </c>
      <c r="G1842" s="1" t="s">
        <v>82</v>
      </c>
      <c r="H1842" s="1" t="s">
        <v>18</v>
      </c>
      <c r="I1842" s="3">
        <f>+2250759277914</f>
        <v>2250759277914</v>
      </c>
      <c r="J1842" s="3">
        <f>+2250709541084</f>
        <v>2250709541084</v>
      </c>
      <c r="K1842" s="1" t="s">
        <v>19</v>
      </c>
      <c r="L1842" s="4" t="s">
        <v>6471</v>
      </c>
    </row>
    <row r="1843">
      <c r="A1843" s="1" t="s">
        <v>12</v>
      </c>
      <c r="B1843" s="1" t="s">
        <v>6472</v>
      </c>
      <c r="C1843" s="1" t="s">
        <v>6470</v>
      </c>
      <c r="D1843" s="1" t="s">
        <v>3572</v>
      </c>
      <c r="E1843" s="2">
        <v>37367.0</v>
      </c>
      <c r="F1843" s="1" t="s">
        <v>167</v>
      </c>
      <c r="G1843" s="1" t="s">
        <v>17</v>
      </c>
      <c r="H1843" s="1" t="s">
        <v>18</v>
      </c>
      <c r="I1843" s="3">
        <f>+2250574446536</f>
        <v>2250574446536</v>
      </c>
      <c r="J1843" s="3">
        <f>+2250707465054</f>
        <v>2250707465054</v>
      </c>
      <c r="K1843" s="1" t="s">
        <v>19</v>
      </c>
      <c r="L1843" s="4" t="s">
        <v>6473</v>
      </c>
    </row>
    <row r="1844">
      <c r="A1844" s="1" t="s">
        <v>12</v>
      </c>
      <c r="B1844" s="1" t="s">
        <v>6474</v>
      </c>
      <c r="C1844" s="1" t="s">
        <v>6475</v>
      </c>
      <c r="D1844" s="1" t="s">
        <v>6476</v>
      </c>
      <c r="E1844" s="2">
        <v>37680.0</v>
      </c>
      <c r="F1844" s="1" t="s">
        <v>155</v>
      </c>
      <c r="G1844" s="1" t="s">
        <v>76</v>
      </c>
      <c r="H1844" s="1" t="s">
        <v>32</v>
      </c>
      <c r="I1844" s="3">
        <f>+2250595593963</f>
        <v>2250595593963</v>
      </c>
      <c r="J1844" s="3">
        <f>+2250709349436</f>
        <v>2250709349436</v>
      </c>
      <c r="K1844" s="1" t="s">
        <v>19</v>
      </c>
      <c r="L1844" s="4" t="s">
        <v>6477</v>
      </c>
    </row>
    <row r="1845">
      <c r="A1845" s="1" t="s">
        <v>12</v>
      </c>
      <c r="B1845" s="1" t="s">
        <v>6478</v>
      </c>
      <c r="C1845" s="1" t="s">
        <v>6475</v>
      </c>
      <c r="D1845" s="1" t="s">
        <v>6479</v>
      </c>
      <c r="E1845" s="2">
        <v>38266.0</v>
      </c>
      <c r="F1845" s="1" t="s">
        <v>97</v>
      </c>
      <c r="G1845" s="1" t="s">
        <v>82</v>
      </c>
      <c r="H1845" s="1" t="s">
        <v>18</v>
      </c>
      <c r="I1845" s="3">
        <f>+2250555762277</f>
        <v>2250555762277</v>
      </c>
      <c r="J1845" s="3">
        <f>+2250707507574</f>
        <v>2250707507574</v>
      </c>
      <c r="K1845" s="1" t="s">
        <v>19</v>
      </c>
      <c r="L1845" s="4" t="s">
        <v>6480</v>
      </c>
    </row>
    <row r="1846">
      <c r="A1846" s="1" t="s">
        <v>12</v>
      </c>
      <c r="B1846" s="1" t="s">
        <v>6481</v>
      </c>
      <c r="C1846" s="1" t="s">
        <v>6475</v>
      </c>
      <c r="D1846" s="1" t="s">
        <v>6482</v>
      </c>
      <c r="E1846" s="2">
        <v>36628.0</v>
      </c>
      <c r="F1846" s="1" t="s">
        <v>75</v>
      </c>
      <c r="G1846" s="1" t="s">
        <v>76</v>
      </c>
      <c r="H1846" s="1" t="s">
        <v>32</v>
      </c>
      <c r="I1846" s="3">
        <f>+2250708536109</f>
        <v>2250708536109</v>
      </c>
      <c r="J1846" s="3">
        <f>+2250747173031</f>
        <v>2250747173031</v>
      </c>
      <c r="K1846" s="1" t="s">
        <v>19</v>
      </c>
      <c r="L1846" s="4" t="s">
        <v>6483</v>
      </c>
    </row>
    <row r="1847">
      <c r="A1847" s="1" t="s">
        <v>12</v>
      </c>
      <c r="B1847" s="1" t="s">
        <v>6484</v>
      </c>
      <c r="C1847" s="1" t="s">
        <v>6475</v>
      </c>
      <c r="D1847" s="1" t="s">
        <v>6485</v>
      </c>
      <c r="E1847" s="5">
        <v>37979.0</v>
      </c>
      <c r="F1847" s="1" t="s">
        <v>16</v>
      </c>
      <c r="G1847" s="1" t="s">
        <v>17</v>
      </c>
      <c r="H1847" s="1" t="s">
        <v>18</v>
      </c>
      <c r="I1847" s="3">
        <f>+2250564395806</f>
        <v>2250564395806</v>
      </c>
      <c r="J1847" s="3">
        <f>+2250749050687</f>
        <v>2250749050687</v>
      </c>
      <c r="K1847" s="1" t="s">
        <v>19</v>
      </c>
      <c r="L1847" s="4" t="s">
        <v>6486</v>
      </c>
    </row>
    <row r="1848">
      <c r="A1848" s="1" t="s">
        <v>12</v>
      </c>
      <c r="B1848" s="1" t="s">
        <v>6487</v>
      </c>
      <c r="C1848" s="1" t="s">
        <v>6475</v>
      </c>
      <c r="D1848" s="1" t="s">
        <v>6488</v>
      </c>
      <c r="E1848" s="5">
        <v>36882.0</v>
      </c>
      <c r="F1848" s="1" t="s">
        <v>16</v>
      </c>
      <c r="G1848" s="1" t="s">
        <v>17</v>
      </c>
      <c r="H1848" s="1" t="s">
        <v>18</v>
      </c>
      <c r="I1848" s="3">
        <f>+2250703628033</f>
        <v>2250703628033</v>
      </c>
      <c r="J1848" s="3">
        <f>+2250544872066</f>
        <v>2250544872066</v>
      </c>
      <c r="K1848" s="1" t="s">
        <v>19</v>
      </c>
      <c r="L1848" s="4" t="s">
        <v>6489</v>
      </c>
    </row>
    <row r="1849">
      <c r="A1849" s="1" t="s">
        <v>12</v>
      </c>
      <c r="B1849" s="1" t="s">
        <v>6490</v>
      </c>
      <c r="C1849" s="1" t="s">
        <v>6475</v>
      </c>
      <c r="D1849" s="1" t="s">
        <v>6491</v>
      </c>
      <c r="E1849" s="2">
        <v>37561.0</v>
      </c>
      <c r="F1849" s="1" t="s">
        <v>53</v>
      </c>
      <c r="G1849" s="1" t="s">
        <v>17</v>
      </c>
      <c r="H1849" s="1" t="s">
        <v>18</v>
      </c>
      <c r="I1849" s="3">
        <f>+2250777105269</f>
        <v>2250777105269</v>
      </c>
      <c r="J1849" s="3">
        <f>+2250140707086</f>
        <v>2250140707086</v>
      </c>
      <c r="K1849" s="1" t="s">
        <v>19</v>
      </c>
      <c r="L1849" s="4" t="s">
        <v>6492</v>
      </c>
    </row>
    <row r="1850">
      <c r="A1850" s="1" t="s">
        <v>12</v>
      </c>
      <c r="B1850" s="1" t="s">
        <v>6493</v>
      </c>
      <c r="C1850" s="1" t="s">
        <v>6494</v>
      </c>
      <c r="D1850" s="1" t="s">
        <v>6495</v>
      </c>
      <c r="E1850" s="5">
        <v>37618.0</v>
      </c>
      <c r="F1850" s="1" t="s">
        <v>138</v>
      </c>
      <c r="G1850" s="1" t="s">
        <v>31</v>
      </c>
      <c r="H1850" s="1" t="s">
        <v>32</v>
      </c>
      <c r="I1850" s="3">
        <f>+2250758625500</f>
        <v>2250758625500</v>
      </c>
      <c r="J1850" s="3">
        <f>+2250709888137</f>
        <v>2250709888137</v>
      </c>
      <c r="K1850" s="1" t="s">
        <v>19</v>
      </c>
      <c r="L1850" s="4" t="s">
        <v>6496</v>
      </c>
    </row>
    <row r="1851">
      <c r="A1851" s="1" t="s">
        <v>12</v>
      </c>
      <c r="B1851" s="1" t="s">
        <v>6497</v>
      </c>
      <c r="C1851" s="1" t="s">
        <v>6498</v>
      </c>
      <c r="D1851" s="1" t="s">
        <v>6499</v>
      </c>
      <c r="E1851" s="2">
        <v>37156.0</v>
      </c>
      <c r="F1851" s="1" t="s">
        <v>53</v>
      </c>
      <c r="G1851" s="1" t="s">
        <v>17</v>
      </c>
      <c r="H1851" s="1" t="s">
        <v>18</v>
      </c>
      <c r="I1851" s="3">
        <f>+2250787374464</f>
        <v>2250787374464</v>
      </c>
      <c r="J1851" s="3">
        <f>+2250749907686</f>
        <v>2250749907686</v>
      </c>
      <c r="K1851" s="1" t="s">
        <v>19</v>
      </c>
      <c r="L1851" s="4" t="s">
        <v>6500</v>
      </c>
    </row>
    <row r="1852">
      <c r="A1852" s="1" t="s">
        <v>12</v>
      </c>
      <c r="B1852" s="1" t="s">
        <v>6501</v>
      </c>
      <c r="C1852" s="1" t="s">
        <v>6502</v>
      </c>
      <c r="D1852" s="1" t="s">
        <v>6503</v>
      </c>
      <c r="E1852" s="5">
        <v>34987.0</v>
      </c>
      <c r="F1852" s="1" t="s">
        <v>92</v>
      </c>
      <c r="G1852" s="1" t="s">
        <v>31</v>
      </c>
      <c r="H1852" s="1" t="s">
        <v>32</v>
      </c>
      <c r="I1852" s="3">
        <f>+2250789553384</f>
        <v>2250789553384</v>
      </c>
      <c r="J1852" s="3">
        <f>+2250757191362</f>
        <v>2250757191362</v>
      </c>
      <c r="K1852" s="1" t="s">
        <v>19</v>
      </c>
      <c r="L1852" s="4" t="s">
        <v>6504</v>
      </c>
    </row>
    <row r="1853">
      <c r="A1853" s="1" t="s">
        <v>12</v>
      </c>
      <c r="B1853" s="1" t="s">
        <v>6505</v>
      </c>
      <c r="C1853" s="1" t="s">
        <v>6502</v>
      </c>
      <c r="D1853" s="1" t="s">
        <v>6506</v>
      </c>
      <c r="E1853" s="5">
        <v>38677.0</v>
      </c>
      <c r="F1853" s="1" t="s">
        <v>288</v>
      </c>
      <c r="G1853" s="1" t="s">
        <v>76</v>
      </c>
      <c r="H1853" s="1" t="s">
        <v>32</v>
      </c>
      <c r="I1853" s="3">
        <f>+2250709328090</f>
        <v>2250709328090</v>
      </c>
      <c r="J1853" s="3">
        <f>+2250708351534</f>
        <v>2250708351534</v>
      </c>
      <c r="K1853" s="1" t="s">
        <v>19</v>
      </c>
      <c r="L1853" s="4" t="s">
        <v>6507</v>
      </c>
    </row>
    <row r="1854">
      <c r="A1854" s="1" t="s">
        <v>12</v>
      </c>
      <c r="B1854" s="1" t="s">
        <v>6508</v>
      </c>
      <c r="C1854" s="1" t="s">
        <v>6509</v>
      </c>
      <c r="D1854" s="1" t="s">
        <v>6510</v>
      </c>
      <c r="E1854" s="2">
        <v>38069.0</v>
      </c>
      <c r="F1854" s="1" t="s">
        <v>75</v>
      </c>
      <c r="G1854" s="1" t="s">
        <v>76</v>
      </c>
      <c r="H1854" s="1" t="s">
        <v>32</v>
      </c>
      <c r="I1854" s="3">
        <f>+2250586763839</f>
        <v>2250586763839</v>
      </c>
      <c r="J1854" s="3">
        <f>+2250505752985</f>
        <v>2250505752985</v>
      </c>
      <c r="K1854" s="1" t="s">
        <v>19</v>
      </c>
      <c r="L1854" s="4" t="s">
        <v>6511</v>
      </c>
    </row>
    <row r="1855">
      <c r="A1855" s="1" t="s">
        <v>12</v>
      </c>
      <c r="B1855" s="1" t="s">
        <v>6512</v>
      </c>
      <c r="C1855" s="1" t="s">
        <v>6509</v>
      </c>
      <c r="D1855" s="1" t="s">
        <v>6513</v>
      </c>
      <c r="E1855" s="2">
        <v>38447.0</v>
      </c>
      <c r="F1855" s="1" t="s">
        <v>62</v>
      </c>
      <c r="G1855" s="1" t="s">
        <v>17</v>
      </c>
      <c r="H1855" s="1" t="s">
        <v>18</v>
      </c>
      <c r="I1855" s="3">
        <f>+2250703959031</f>
        <v>2250703959031</v>
      </c>
      <c r="J1855" s="3">
        <f>+2250758904203</f>
        <v>2250758904203</v>
      </c>
      <c r="K1855" s="1" t="s">
        <v>19</v>
      </c>
      <c r="L1855" s="4" t="s">
        <v>6514</v>
      </c>
    </row>
    <row r="1856">
      <c r="A1856" s="1" t="s">
        <v>12</v>
      </c>
      <c r="B1856" s="1" t="s">
        <v>6515</v>
      </c>
      <c r="C1856" s="1" t="s">
        <v>6509</v>
      </c>
      <c r="D1856" s="1" t="s">
        <v>6516</v>
      </c>
      <c r="E1856" s="2">
        <v>36722.0</v>
      </c>
      <c r="F1856" s="1" t="s">
        <v>16</v>
      </c>
      <c r="G1856" s="1" t="s">
        <v>17</v>
      </c>
      <c r="H1856" s="1" t="s">
        <v>18</v>
      </c>
      <c r="I1856" s="3">
        <f>+2250172212239</f>
        <v>2250172212239</v>
      </c>
      <c r="J1856" s="3">
        <f>+2250505994661</f>
        <v>2250505994661</v>
      </c>
      <c r="K1856" s="1" t="s">
        <v>19</v>
      </c>
      <c r="L1856" s="4" t="s">
        <v>6517</v>
      </c>
    </row>
    <row r="1857">
      <c r="A1857" s="1" t="s">
        <v>12</v>
      </c>
      <c r="B1857" s="1" t="s">
        <v>6518</v>
      </c>
      <c r="C1857" s="1" t="s">
        <v>6509</v>
      </c>
      <c r="D1857" s="1" t="s">
        <v>6519</v>
      </c>
      <c r="E1857" s="2">
        <v>37095.0</v>
      </c>
      <c r="F1857" s="1" t="s">
        <v>16</v>
      </c>
      <c r="G1857" s="1" t="s">
        <v>17</v>
      </c>
      <c r="H1857" s="1" t="s">
        <v>18</v>
      </c>
      <c r="I1857" s="3">
        <f>+2250767310677</f>
        <v>2250767310677</v>
      </c>
      <c r="J1857" s="3">
        <f>+2250103892555</f>
        <v>2250103892555</v>
      </c>
      <c r="K1857" s="1" t="s">
        <v>19</v>
      </c>
      <c r="L1857" s="4" t="s">
        <v>6520</v>
      </c>
    </row>
    <row r="1858">
      <c r="A1858" s="1" t="s">
        <v>12</v>
      </c>
      <c r="B1858" s="1" t="s">
        <v>6521</v>
      </c>
      <c r="C1858" s="1" t="s">
        <v>6509</v>
      </c>
      <c r="D1858" s="1" t="s">
        <v>6522</v>
      </c>
      <c r="E1858" s="5">
        <v>37240.0</v>
      </c>
      <c r="F1858" s="1" t="s">
        <v>138</v>
      </c>
      <c r="G1858" s="1" t="s">
        <v>31</v>
      </c>
      <c r="H1858" s="1" t="s">
        <v>32</v>
      </c>
      <c r="I1858" s="3">
        <f>+2250788048648</f>
        <v>2250788048648</v>
      </c>
      <c r="J1858" s="3">
        <f>+2250140779743</f>
        <v>2250140779743</v>
      </c>
      <c r="K1858" s="1" t="s">
        <v>19</v>
      </c>
      <c r="L1858" s="4" t="s">
        <v>6523</v>
      </c>
    </row>
    <row r="1859">
      <c r="A1859" s="1" t="s">
        <v>12</v>
      </c>
      <c r="B1859" s="1" t="s">
        <v>6524</v>
      </c>
      <c r="C1859" s="1" t="s">
        <v>6509</v>
      </c>
      <c r="D1859" s="1" t="s">
        <v>6525</v>
      </c>
      <c r="E1859" s="2">
        <v>37622.0</v>
      </c>
      <c r="F1859" s="1" t="s">
        <v>16</v>
      </c>
      <c r="G1859" s="1" t="s">
        <v>25</v>
      </c>
      <c r="H1859" s="1" t="s">
        <v>18</v>
      </c>
      <c r="I1859" s="3">
        <f>+2250708064419</f>
        <v>2250708064419</v>
      </c>
      <c r="J1859" s="3">
        <f>+2250707901077</f>
        <v>2250707901077</v>
      </c>
      <c r="K1859" s="1" t="s">
        <v>19</v>
      </c>
      <c r="L1859" s="4" t="s">
        <v>6526</v>
      </c>
    </row>
    <row r="1860">
      <c r="A1860" s="1" t="s">
        <v>12</v>
      </c>
      <c r="B1860" s="1" t="s">
        <v>6527</v>
      </c>
      <c r="C1860" s="1" t="s">
        <v>6509</v>
      </c>
      <c r="D1860" s="1" t="s">
        <v>6528</v>
      </c>
      <c r="E1860" s="5">
        <v>37983.0</v>
      </c>
      <c r="F1860" s="1" t="s">
        <v>53</v>
      </c>
      <c r="G1860" s="1" t="s">
        <v>25</v>
      </c>
      <c r="H1860" s="1" t="s">
        <v>18</v>
      </c>
      <c r="I1860" s="3">
        <f>+2250778430621</f>
        <v>2250778430621</v>
      </c>
      <c r="J1860" s="3">
        <f>+2250767140719</f>
        <v>2250767140719</v>
      </c>
      <c r="K1860" s="1" t="s">
        <v>19</v>
      </c>
      <c r="L1860" s="4" t="s">
        <v>6529</v>
      </c>
    </row>
    <row r="1861">
      <c r="A1861" s="1" t="s">
        <v>12</v>
      </c>
      <c r="B1861" s="1" t="s">
        <v>6530</v>
      </c>
      <c r="C1861" s="1" t="s">
        <v>6509</v>
      </c>
      <c r="D1861" s="1" t="s">
        <v>6531</v>
      </c>
      <c r="E1861" s="2">
        <v>35652.0</v>
      </c>
      <c r="F1861" s="1" t="s">
        <v>110</v>
      </c>
      <c r="G1861" s="1" t="s">
        <v>82</v>
      </c>
      <c r="H1861" s="1" t="s">
        <v>18</v>
      </c>
      <c r="I1861" s="3">
        <f t="shared" ref="I1861:J1861" si="54">+2250789513339</f>
        <v>2250789513339</v>
      </c>
      <c r="J1861" s="3">
        <f t="shared" si="54"/>
        <v>2250789513339</v>
      </c>
      <c r="K1861" s="1" t="s">
        <v>19</v>
      </c>
      <c r="L1861" s="4" t="s">
        <v>6532</v>
      </c>
    </row>
    <row r="1862">
      <c r="A1862" s="1" t="s">
        <v>12</v>
      </c>
      <c r="B1862" s="1" t="s">
        <v>6533</v>
      </c>
      <c r="C1862" s="1" t="s">
        <v>6509</v>
      </c>
      <c r="D1862" s="1" t="s">
        <v>6534</v>
      </c>
      <c r="E1862" s="2">
        <v>38030.0</v>
      </c>
      <c r="F1862" s="1" t="s">
        <v>70</v>
      </c>
      <c r="G1862" s="1" t="s">
        <v>31</v>
      </c>
      <c r="H1862" s="1" t="s">
        <v>32</v>
      </c>
      <c r="I1862" s="3">
        <f>+2250151921290</f>
        <v>2250151921290</v>
      </c>
      <c r="J1862" s="3">
        <f>+2250506737151</f>
        <v>2250506737151</v>
      </c>
      <c r="K1862" s="1" t="s">
        <v>19</v>
      </c>
      <c r="L1862" s="4" t="s">
        <v>6535</v>
      </c>
    </row>
    <row r="1863">
      <c r="A1863" s="1" t="s">
        <v>12</v>
      </c>
      <c r="B1863" s="1" t="s">
        <v>6536</v>
      </c>
      <c r="C1863" s="1" t="s">
        <v>6509</v>
      </c>
      <c r="D1863" s="1" t="s">
        <v>6537</v>
      </c>
      <c r="E1863" s="5">
        <v>38283.0</v>
      </c>
      <c r="F1863" s="1" t="s">
        <v>16</v>
      </c>
      <c r="G1863" s="1" t="s">
        <v>25</v>
      </c>
      <c r="H1863" s="1" t="s">
        <v>18</v>
      </c>
      <c r="I1863" s="3">
        <f>+2250799495883</f>
        <v>2250799495883</v>
      </c>
      <c r="J1863" s="3">
        <f>+2250779269562</f>
        <v>2250779269562</v>
      </c>
      <c r="K1863" s="1" t="s">
        <v>19</v>
      </c>
      <c r="L1863" s="4" t="s">
        <v>6538</v>
      </c>
    </row>
    <row r="1864">
      <c r="A1864" s="1" t="s">
        <v>12</v>
      </c>
      <c r="B1864" s="1" t="s">
        <v>6539</v>
      </c>
      <c r="C1864" s="1" t="s">
        <v>6509</v>
      </c>
      <c r="D1864" s="1" t="s">
        <v>6540</v>
      </c>
      <c r="E1864" s="2">
        <v>35538.0</v>
      </c>
      <c r="F1864" s="1" t="s">
        <v>570</v>
      </c>
      <c r="G1864" s="1" t="s">
        <v>82</v>
      </c>
      <c r="H1864" s="1" t="s">
        <v>18</v>
      </c>
      <c r="I1864" s="3">
        <f>+2250758329654</f>
        <v>2250758329654</v>
      </c>
      <c r="J1864" s="3">
        <f>+2250711667469</f>
        <v>2250711667469</v>
      </c>
      <c r="K1864" s="1" t="s">
        <v>19</v>
      </c>
      <c r="L1864" s="4" t="s">
        <v>6541</v>
      </c>
    </row>
    <row r="1865">
      <c r="A1865" s="1" t="s">
        <v>12</v>
      </c>
      <c r="B1865" s="1" t="s">
        <v>6542</v>
      </c>
      <c r="C1865" s="1" t="s">
        <v>6509</v>
      </c>
      <c r="D1865" s="1" t="s">
        <v>6543</v>
      </c>
      <c r="E1865" s="2">
        <v>38422.0</v>
      </c>
      <c r="F1865" s="1" t="s">
        <v>53</v>
      </c>
      <c r="G1865" s="1" t="s">
        <v>25</v>
      </c>
      <c r="H1865" s="1" t="s">
        <v>18</v>
      </c>
      <c r="I1865" s="3">
        <f>+2250584130833</f>
        <v>2250584130833</v>
      </c>
      <c r="J1865" s="3">
        <f>+2250787089548</f>
        <v>2250787089548</v>
      </c>
      <c r="K1865" s="1" t="s">
        <v>19</v>
      </c>
      <c r="L1865" s="4" t="s">
        <v>6544</v>
      </c>
    </row>
    <row r="1866">
      <c r="A1866" s="1" t="s">
        <v>12</v>
      </c>
      <c r="B1866" s="1" t="s">
        <v>6545</v>
      </c>
      <c r="C1866" s="1" t="s">
        <v>6509</v>
      </c>
      <c r="D1866" s="1" t="s">
        <v>6546</v>
      </c>
      <c r="E1866" s="2">
        <v>37064.0</v>
      </c>
      <c r="F1866" s="1" t="s">
        <v>92</v>
      </c>
      <c r="G1866" s="1" t="s">
        <v>76</v>
      </c>
      <c r="H1866" s="1" t="s">
        <v>32</v>
      </c>
      <c r="I1866" s="3">
        <f>+225070286297</f>
        <v>225070286297</v>
      </c>
      <c r="J1866" s="3">
        <f>+2250708771350</f>
        <v>2250708771350</v>
      </c>
      <c r="K1866" s="1" t="s">
        <v>19</v>
      </c>
      <c r="L1866" s="4" t="s">
        <v>6547</v>
      </c>
    </row>
    <row r="1867">
      <c r="A1867" s="1" t="s">
        <v>12</v>
      </c>
      <c r="B1867" s="1" t="s">
        <v>6548</v>
      </c>
      <c r="C1867" s="1" t="s">
        <v>6509</v>
      </c>
      <c r="D1867" s="1" t="s">
        <v>6549</v>
      </c>
      <c r="E1867" s="2">
        <v>37809.0</v>
      </c>
      <c r="F1867" s="1" t="s">
        <v>87</v>
      </c>
      <c r="G1867" s="1" t="s">
        <v>76</v>
      </c>
      <c r="H1867" s="1" t="s">
        <v>32</v>
      </c>
      <c r="I1867" s="3">
        <f>+2250758839133</f>
        <v>2250758839133</v>
      </c>
      <c r="J1867" s="3">
        <f>+2250778592533</f>
        <v>2250778592533</v>
      </c>
      <c r="K1867" s="1" t="s">
        <v>19</v>
      </c>
      <c r="L1867" s="4" t="s">
        <v>6550</v>
      </c>
    </row>
    <row r="1868">
      <c r="A1868" s="1" t="s">
        <v>12</v>
      </c>
      <c r="B1868" s="1" t="s">
        <v>6551</v>
      </c>
      <c r="C1868" s="1" t="s">
        <v>6509</v>
      </c>
      <c r="D1868" s="1" t="s">
        <v>6552</v>
      </c>
      <c r="E1868" s="2">
        <v>38149.0</v>
      </c>
      <c r="F1868" s="1" t="s">
        <v>147</v>
      </c>
      <c r="G1868" s="1" t="s">
        <v>17</v>
      </c>
      <c r="H1868" s="1" t="s">
        <v>18</v>
      </c>
      <c r="I1868" s="3">
        <f>+2250768493446</f>
        <v>2250768493446</v>
      </c>
      <c r="J1868" s="3">
        <f>+2250708102836</f>
        <v>2250708102836</v>
      </c>
      <c r="K1868" s="1" t="s">
        <v>19</v>
      </c>
      <c r="L1868" s="4" t="s">
        <v>6553</v>
      </c>
    </row>
    <row r="1869">
      <c r="A1869" s="1" t="s">
        <v>12</v>
      </c>
      <c r="B1869" s="1" t="s">
        <v>6554</v>
      </c>
      <c r="C1869" s="1" t="s">
        <v>6509</v>
      </c>
      <c r="D1869" s="1" t="s">
        <v>6555</v>
      </c>
      <c r="E1869" s="2">
        <v>37378.0</v>
      </c>
      <c r="F1869" s="1" t="s">
        <v>16</v>
      </c>
      <c r="G1869" s="1" t="s">
        <v>17</v>
      </c>
      <c r="H1869" s="1" t="s">
        <v>18</v>
      </c>
      <c r="I1869" s="3">
        <f>+2250556725409</f>
        <v>2250556725409</v>
      </c>
      <c r="J1869" s="3">
        <f>+2250140792504</f>
        <v>2250140792504</v>
      </c>
      <c r="K1869" s="1" t="s">
        <v>19</v>
      </c>
      <c r="L1869" s="4" t="s">
        <v>6556</v>
      </c>
    </row>
    <row r="1870">
      <c r="A1870" s="1" t="s">
        <v>12</v>
      </c>
      <c r="B1870" s="1" t="s">
        <v>6557</v>
      </c>
      <c r="C1870" s="1" t="s">
        <v>6509</v>
      </c>
      <c r="D1870" s="1" t="s">
        <v>6558</v>
      </c>
      <c r="E1870" s="2">
        <v>38201.0</v>
      </c>
      <c r="F1870" s="1" t="s">
        <v>24</v>
      </c>
      <c r="G1870" s="1" t="s">
        <v>17</v>
      </c>
      <c r="H1870" s="1" t="s">
        <v>18</v>
      </c>
      <c r="I1870" s="3">
        <f>+2250779656491</f>
        <v>2250779656491</v>
      </c>
      <c r="J1870" s="3">
        <f>+2250707598154</f>
        <v>2250707598154</v>
      </c>
      <c r="K1870" s="1" t="s">
        <v>19</v>
      </c>
      <c r="L1870" s="4" t="s">
        <v>6559</v>
      </c>
    </row>
    <row r="1871">
      <c r="A1871" s="1" t="s">
        <v>12</v>
      </c>
      <c r="B1871" s="1" t="s">
        <v>6560</v>
      </c>
      <c r="C1871" s="1" t="s">
        <v>6509</v>
      </c>
      <c r="D1871" s="1" t="s">
        <v>6561</v>
      </c>
      <c r="E1871" s="2">
        <v>37659.0</v>
      </c>
      <c r="F1871" s="1" t="s">
        <v>16</v>
      </c>
      <c r="G1871" s="1" t="s">
        <v>17</v>
      </c>
      <c r="H1871" s="1" t="s">
        <v>18</v>
      </c>
      <c r="I1871" s="3">
        <f>+2250779194064</f>
        <v>2250779194064</v>
      </c>
      <c r="J1871" s="3">
        <f>+2250768366591</f>
        <v>2250768366591</v>
      </c>
      <c r="K1871" s="1" t="s">
        <v>19</v>
      </c>
      <c r="L1871" s="4" t="s">
        <v>6562</v>
      </c>
    </row>
    <row r="1872">
      <c r="A1872" s="1" t="s">
        <v>12</v>
      </c>
      <c r="B1872" s="1" t="s">
        <v>6563</v>
      </c>
      <c r="C1872" s="1" t="s">
        <v>6509</v>
      </c>
      <c r="D1872" s="1" t="s">
        <v>6564</v>
      </c>
      <c r="E1872" s="2">
        <v>38852.0</v>
      </c>
      <c r="F1872" s="1" t="s">
        <v>16</v>
      </c>
      <c r="G1872" s="1" t="s">
        <v>25</v>
      </c>
      <c r="H1872" s="1" t="s">
        <v>18</v>
      </c>
      <c r="I1872" s="3">
        <f>+2250703555260</f>
        <v>2250703555260</v>
      </c>
      <c r="J1872" s="3">
        <f>+2250799080417</f>
        <v>2250799080417</v>
      </c>
      <c r="K1872" s="1" t="s">
        <v>19</v>
      </c>
      <c r="L1872" s="4" t="s">
        <v>6565</v>
      </c>
    </row>
    <row r="1873">
      <c r="A1873" s="1" t="s">
        <v>12</v>
      </c>
      <c r="B1873" s="1" t="s">
        <v>6566</v>
      </c>
      <c r="C1873" s="1" t="s">
        <v>6509</v>
      </c>
      <c r="D1873" s="1" t="s">
        <v>6567</v>
      </c>
      <c r="E1873" s="2">
        <v>37795.0</v>
      </c>
      <c r="F1873" s="1" t="s">
        <v>586</v>
      </c>
      <c r="G1873" s="1" t="s">
        <v>82</v>
      </c>
      <c r="H1873" s="1" t="s">
        <v>18</v>
      </c>
      <c r="I1873" s="3">
        <f>+2250703826578</f>
        <v>2250703826578</v>
      </c>
      <c r="J1873" s="3">
        <f>+2250708997782</f>
        <v>2250708997782</v>
      </c>
      <c r="K1873" s="1" t="s">
        <v>19</v>
      </c>
      <c r="L1873" s="4" t="s">
        <v>6568</v>
      </c>
    </row>
    <row r="1874">
      <c r="A1874" s="1" t="s">
        <v>12</v>
      </c>
      <c r="B1874" s="1" t="s">
        <v>6569</v>
      </c>
      <c r="C1874" s="1" t="s">
        <v>6509</v>
      </c>
      <c r="D1874" s="1" t="s">
        <v>6570</v>
      </c>
      <c r="E1874" s="2">
        <v>37754.0</v>
      </c>
      <c r="F1874" s="1" t="s">
        <v>53</v>
      </c>
      <c r="G1874" s="1" t="s">
        <v>25</v>
      </c>
      <c r="H1874" s="1" t="s">
        <v>18</v>
      </c>
      <c r="I1874" s="3">
        <f>+2250748798771</f>
        <v>2250748798771</v>
      </c>
      <c r="J1874" s="3">
        <f>+2250707736880</f>
        <v>2250707736880</v>
      </c>
      <c r="K1874" s="1" t="s">
        <v>19</v>
      </c>
      <c r="L1874" s="4" t="s">
        <v>6571</v>
      </c>
    </row>
    <row r="1875">
      <c r="A1875" s="1" t="s">
        <v>12</v>
      </c>
      <c r="B1875" s="1" t="s">
        <v>6572</v>
      </c>
      <c r="C1875" s="1" t="s">
        <v>6509</v>
      </c>
      <c r="D1875" s="1" t="s">
        <v>6573</v>
      </c>
      <c r="E1875" s="2">
        <v>37931.0</v>
      </c>
      <c r="F1875" s="1" t="s">
        <v>62</v>
      </c>
      <c r="G1875" s="1" t="s">
        <v>25</v>
      </c>
      <c r="H1875" s="1" t="s">
        <v>18</v>
      </c>
      <c r="I1875" s="3">
        <f>+2250574403227</f>
        <v>2250574403227</v>
      </c>
      <c r="J1875" s="3">
        <f>+2250757152785</f>
        <v>2250757152785</v>
      </c>
      <c r="K1875" s="1" t="s">
        <v>19</v>
      </c>
      <c r="L1875" s="4" t="s">
        <v>6574</v>
      </c>
    </row>
    <row r="1876">
      <c r="A1876" s="1" t="s">
        <v>12</v>
      </c>
      <c r="B1876" s="1" t="s">
        <v>6575</v>
      </c>
      <c r="C1876" s="1" t="s">
        <v>6509</v>
      </c>
      <c r="D1876" s="1" t="s">
        <v>6576</v>
      </c>
      <c r="E1876" s="2">
        <v>38119.0</v>
      </c>
      <c r="F1876" s="1" t="s">
        <v>586</v>
      </c>
      <c r="G1876" s="1" t="s">
        <v>82</v>
      </c>
      <c r="H1876" s="1" t="s">
        <v>18</v>
      </c>
      <c r="I1876" s="3">
        <f>+2250709887191</f>
        <v>2250709887191</v>
      </c>
      <c r="J1876" s="3">
        <f>+2250505754682</f>
        <v>2250505754682</v>
      </c>
      <c r="K1876" s="1" t="s">
        <v>19</v>
      </c>
      <c r="L1876" s="4" t="s">
        <v>6577</v>
      </c>
    </row>
    <row r="1877">
      <c r="A1877" s="1" t="s">
        <v>12</v>
      </c>
      <c r="B1877" s="1" t="s">
        <v>6578</v>
      </c>
      <c r="C1877" s="1" t="s">
        <v>6509</v>
      </c>
      <c r="D1877" s="1" t="s">
        <v>6579</v>
      </c>
      <c r="E1877" s="2">
        <v>37426.0</v>
      </c>
      <c r="F1877" s="1" t="s">
        <v>24</v>
      </c>
      <c r="G1877" s="1" t="s">
        <v>17</v>
      </c>
      <c r="H1877" s="1" t="s">
        <v>18</v>
      </c>
      <c r="I1877" s="3">
        <f>+2250748231097</f>
        <v>2250748231097</v>
      </c>
      <c r="J1877" s="3">
        <f>+2250707979812</f>
        <v>2250707979812</v>
      </c>
      <c r="K1877" s="1" t="s">
        <v>19</v>
      </c>
      <c r="L1877" s="4" t="s">
        <v>6580</v>
      </c>
    </row>
    <row r="1878">
      <c r="A1878" s="1" t="s">
        <v>12</v>
      </c>
      <c r="B1878" s="1" t="s">
        <v>6581</v>
      </c>
      <c r="C1878" s="1" t="s">
        <v>6509</v>
      </c>
      <c r="D1878" s="1" t="s">
        <v>6582</v>
      </c>
      <c r="E1878" s="5">
        <v>37244.0</v>
      </c>
      <c r="F1878" s="1" t="s">
        <v>167</v>
      </c>
      <c r="G1878" s="1" t="s">
        <v>17</v>
      </c>
      <c r="H1878" s="1" t="s">
        <v>18</v>
      </c>
      <c r="I1878" s="3">
        <f t="shared" ref="I1878:J1878" si="55">+2250709577712</f>
        <v>2250709577712</v>
      </c>
      <c r="J1878" s="3">
        <f t="shared" si="55"/>
        <v>2250709577712</v>
      </c>
      <c r="K1878" s="1" t="s">
        <v>19</v>
      </c>
      <c r="L1878" s="4" t="s">
        <v>6583</v>
      </c>
    </row>
    <row r="1879">
      <c r="A1879" s="1" t="s">
        <v>12</v>
      </c>
      <c r="B1879" s="1" t="s">
        <v>6584</v>
      </c>
      <c r="C1879" s="1" t="s">
        <v>6509</v>
      </c>
      <c r="D1879" s="1" t="s">
        <v>6585</v>
      </c>
      <c r="E1879" s="2">
        <v>37962.0</v>
      </c>
      <c r="F1879" s="1" t="s">
        <v>155</v>
      </c>
      <c r="G1879" s="1" t="s">
        <v>82</v>
      </c>
      <c r="H1879" s="1" t="s">
        <v>18</v>
      </c>
      <c r="I1879" s="3">
        <f>+2250574638062</f>
        <v>2250574638062</v>
      </c>
      <c r="J1879" s="3">
        <f>+2250758681866</f>
        <v>2250758681866</v>
      </c>
      <c r="K1879" s="1" t="s">
        <v>19</v>
      </c>
      <c r="L1879" s="4" t="s">
        <v>6586</v>
      </c>
    </row>
    <row r="1880">
      <c r="A1880" s="1" t="s">
        <v>12</v>
      </c>
      <c r="B1880" s="1" t="s">
        <v>6587</v>
      </c>
      <c r="C1880" s="1" t="s">
        <v>6509</v>
      </c>
      <c r="D1880" s="1" t="s">
        <v>6588</v>
      </c>
      <c r="E1880" s="5">
        <v>36887.0</v>
      </c>
      <c r="F1880" s="1" t="s">
        <v>155</v>
      </c>
      <c r="G1880" s="1" t="s">
        <v>76</v>
      </c>
      <c r="H1880" s="1" t="s">
        <v>32</v>
      </c>
      <c r="I1880" s="3">
        <f>+2250140406409</f>
        <v>2250140406409</v>
      </c>
      <c r="J1880" s="3">
        <f>+2250787116083</f>
        <v>2250787116083</v>
      </c>
      <c r="K1880" s="1" t="s">
        <v>19</v>
      </c>
      <c r="L1880" s="4" t="s">
        <v>6589</v>
      </c>
    </row>
    <row r="1881">
      <c r="A1881" s="1" t="s">
        <v>12</v>
      </c>
      <c r="B1881" s="1" t="s">
        <v>6590</v>
      </c>
      <c r="C1881" s="1" t="s">
        <v>6509</v>
      </c>
      <c r="D1881" s="1" t="s">
        <v>6591</v>
      </c>
      <c r="E1881" s="2">
        <v>37446.0</v>
      </c>
      <c r="F1881" s="1" t="s">
        <v>16</v>
      </c>
      <c r="G1881" s="1" t="s">
        <v>17</v>
      </c>
      <c r="H1881" s="1" t="s">
        <v>18</v>
      </c>
      <c r="I1881" s="3">
        <f>+2250714528377</f>
        <v>2250714528377</v>
      </c>
      <c r="J1881" s="3">
        <f>+2250708372734</f>
        <v>2250708372734</v>
      </c>
      <c r="K1881" s="1" t="s">
        <v>19</v>
      </c>
      <c r="L1881" s="4" t="s">
        <v>6592</v>
      </c>
    </row>
    <row r="1882">
      <c r="A1882" s="1" t="s">
        <v>12</v>
      </c>
      <c r="B1882" s="1" t="s">
        <v>6593</v>
      </c>
      <c r="C1882" s="1" t="s">
        <v>6509</v>
      </c>
      <c r="D1882" s="1" t="s">
        <v>6594</v>
      </c>
      <c r="E1882" s="2">
        <v>36753.0</v>
      </c>
      <c r="F1882" s="1" t="s">
        <v>16</v>
      </c>
      <c r="G1882" s="1" t="s">
        <v>82</v>
      </c>
      <c r="H1882" s="1" t="s">
        <v>18</v>
      </c>
      <c r="I1882" s="3">
        <f>+2250171244819</f>
        <v>2250171244819</v>
      </c>
      <c r="J1882" s="3">
        <f>+2250102155141</f>
        <v>2250102155141</v>
      </c>
      <c r="K1882" s="1" t="s">
        <v>19</v>
      </c>
      <c r="L1882" s="4" t="s">
        <v>6595</v>
      </c>
    </row>
    <row r="1883">
      <c r="A1883" s="1" t="s">
        <v>12</v>
      </c>
      <c r="B1883" s="1" t="s">
        <v>6596</v>
      </c>
      <c r="C1883" s="1" t="s">
        <v>6509</v>
      </c>
      <c r="D1883" s="1" t="s">
        <v>6597</v>
      </c>
      <c r="E1883" s="5">
        <v>36828.0</v>
      </c>
      <c r="F1883" s="1" t="s">
        <v>101</v>
      </c>
      <c r="G1883" s="1" t="s">
        <v>31</v>
      </c>
      <c r="H1883" s="1" t="s">
        <v>32</v>
      </c>
      <c r="I1883" s="3">
        <f>+2250700900654</f>
        <v>2250700900654</v>
      </c>
      <c r="J1883" s="3">
        <f>+2250546555205</f>
        <v>2250546555205</v>
      </c>
      <c r="K1883" s="1" t="s">
        <v>19</v>
      </c>
      <c r="L1883" s="4" t="s">
        <v>6598</v>
      </c>
    </row>
    <row r="1884">
      <c r="A1884" s="1" t="s">
        <v>12</v>
      </c>
      <c r="B1884" s="1" t="s">
        <v>6599</v>
      </c>
      <c r="C1884" s="1" t="s">
        <v>6509</v>
      </c>
      <c r="D1884" s="1" t="s">
        <v>6600</v>
      </c>
      <c r="E1884" s="5">
        <v>38271.0</v>
      </c>
      <c r="F1884" s="1" t="s">
        <v>53</v>
      </c>
      <c r="G1884" s="1" t="s">
        <v>17</v>
      </c>
      <c r="H1884" s="1" t="s">
        <v>18</v>
      </c>
      <c r="I1884" s="3">
        <f>+2250701754137</f>
        <v>2250701754137</v>
      </c>
      <c r="J1884" s="3">
        <f>+2250141766131</f>
        <v>2250141766131</v>
      </c>
      <c r="K1884" s="1" t="s">
        <v>19</v>
      </c>
      <c r="L1884" s="4" t="s">
        <v>6601</v>
      </c>
    </row>
    <row r="1885">
      <c r="A1885" s="1" t="s">
        <v>12</v>
      </c>
      <c r="B1885" s="1" t="s">
        <v>6602</v>
      </c>
      <c r="C1885" s="1" t="s">
        <v>6509</v>
      </c>
      <c r="D1885" s="1" t="s">
        <v>6603</v>
      </c>
      <c r="E1885" s="2">
        <v>37151.0</v>
      </c>
      <c r="F1885" s="1" t="s">
        <v>155</v>
      </c>
      <c r="G1885" s="1" t="s">
        <v>76</v>
      </c>
      <c r="H1885" s="1" t="s">
        <v>32</v>
      </c>
      <c r="I1885" s="3">
        <f>+2250564877807</f>
        <v>2250564877807</v>
      </c>
      <c r="J1885" s="3">
        <f>+2250708792577</f>
        <v>2250708792577</v>
      </c>
      <c r="K1885" s="1" t="s">
        <v>19</v>
      </c>
      <c r="L1885" s="4" t="s">
        <v>6604</v>
      </c>
    </row>
    <row r="1886">
      <c r="A1886" s="1" t="s">
        <v>12</v>
      </c>
      <c r="B1886" s="1" t="s">
        <v>6605</v>
      </c>
      <c r="C1886" s="1" t="s">
        <v>6509</v>
      </c>
      <c r="D1886" s="1" t="s">
        <v>6606</v>
      </c>
      <c r="E1886" s="2">
        <v>36933.0</v>
      </c>
      <c r="F1886" s="1" t="s">
        <v>62</v>
      </c>
      <c r="G1886" s="1" t="s">
        <v>17</v>
      </c>
      <c r="H1886" s="1" t="s">
        <v>18</v>
      </c>
      <c r="I1886" s="3">
        <f>+2250702648986</f>
        <v>2250702648986</v>
      </c>
      <c r="J1886" s="3">
        <f>+2250777097455</f>
        <v>2250777097455</v>
      </c>
      <c r="K1886" s="1" t="s">
        <v>19</v>
      </c>
      <c r="L1886" s="4" t="s">
        <v>6607</v>
      </c>
    </row>
    <row r="1887">
      <c r="A1887" s="1" t="s">
        <v>12</v>
      </c>
      <c r="B1887" s="1" t="s">
        <v>6608</v>
      </c>
      <c r="C1887" s="1" t="s">
        <v>6509</v>
      </c>
      <c r="D1887" s="1" t="s">
        <v>6609</v>
      </c>
      <c r="E1887" s="2">
        <v>36698.0</v>
      </c>
      <c r="F1887" s="1" t="s">
        <v>167</v>
      </c>
      <c r="G1887" s="1" t="s">
        <v>17</v>
      </c>
      <c r="H1887" s="1" t="s">
        <v>18</v>
      </c>
      <c r="I1887" s="3">
        <f>+2250575590159</f>
        <v>2250575590159</v>
      </c>
      <c r="J1887" s="3">
        <f>+2250505014635</f>
        <v>2250505014635</v>
      </c>
      <c r="K1887" s="1" t="s">
        <v>19</v>
      </c>
      <c r="L1887" s="4" t="s">
        <v>6610</v>
      </c>
    </row>
    <row r="1888">
      <c r="A1888" s="1" t="s">
        <v>12</v>
      </c>
      <c r="B1888" s="1" t="s">
        <v>6611</v>
      </c>
      <c r="C1888" s="1" t="s">
        <v>6509</v>
      </c>
      <c r="D1888" s="1" t="s">
        <v>6612</v>
      </c>
      <c r="E1888" s="2">
        <v>36376.0</v>
      </c>
      <c r="F1888" s="1" t="s">
        <v>62</v>
      </c>
      <c r="G1888" s="1" t="s">
        <v>17</v>
      </c>
      <c r="H1888" s="1" t="s">
        <v>18</v>
      </c>
      <c r="I1888" s="3">
        <f>+2250705304369</f>
        <v>2250705304369</v>
      </c>
      <c r="J1888" s="3">
        <f>+2250708606642</f>
        <v>2250708606642</v>
      </c>
      <c r="K1888" s="1" t="s">
        <v>19</v>
      </c>
      <c r="L1888" s="4" t="s">
        <v>6613</v>
      </c>
    </row>
    <row r="1889">
      <c r="A1889" s="1" t="s">
        <v>12</v>
      </c>
      <c r="B1889" s="1" t="s">
        <v>6614</v>
      </c>
      <c r="C1889" s="1" t="s">
        <v>6509</v>
      </c>
      <c r="D1889" s="1" t="s">
        <v>6615</v>
      </c>
      <c r="E1889" s="2">
        <v>37056.0</v>
      </c>
      <c r="F1889" s="1" t="s">
        <v>53</v>
      </c>
      <c r="G1889" s="1" t="s">
        <v>17</v>
      </c>
      <c r="H1889" s="1" t="s">
        <v>18</v>
      </c>
      <c r="I1889" s="3">
        <f>+2250778359189</f>
        <v>2250778359189</v>
      </c>
      <c r="J1889" s="3">
        <f>+2250749235495</f>
        <v>2250749235495</v>
      </c>
      <c r="K1889" s="1" t="s">
        <v>19</v>
      </c>
      <c r="L1889" s="4" t="s">
        <v>6616</v>
      </c>
    </row>
    <row r="1890">
      <c r="A1890" s="1" t="s">
        <v>12</v>
      </c>
      <c r="B1890" s="1" t="s">
        <v>6617</v>
      </c>
      <c r="C1890" s="1" t="s">
        <v>6509</v>
      </c>
      <c r="D1890" s="1" t="s">
        <v>6618</v>
      </c>
      <c r="E1890" s="2">
        <v>37513.0</v>
      </c>
      <c r="F1890" s="1" t="s">
        <v>110</v>
      </c>
      <c r="G1890" s="1" t="s">
        <v>82</v>
      </c>
      <c r="H1890" s="1" t="s">
        <v>18</v>
      </c>
      <c r="I1890" s="3">
        <f>+2250779127104</f>
        <v>2250779127104</v>
      </c>
      <c r="J1890" s="3">
        <f>+2250574271235</f>
        <v>2250574271235</v>
      </c>
      <c r="K1890" s="1" t="s">
        <v>19</v>
      </c>
      <c r="L1890" s="4" t="s">
        <v>6619</v>
      </c>
    </row>
    <row r="1891">
      <c r="A1891" s="1" t="s">
        <v>12</v>
      </c>
      <c r="B1891" s="1" t="s">
        <v>6620</v>
      </c>
      <c r="C1891" s="1" t="s">
        <v>6509</v>
      </c>
      <c r="D1891" s="1" t="s">
        <v>6621</v>
      </c>
      <c r="E1891" s="2">
        <v>37401.0</v>
      </c>
      <c r="F1891" s="1" t="s">
        <v>70</v>
      </c>
      <c r="G1891" s="1" t="s">
        <v>31</v>
      </c>
      <c r="H1891" s="1" t="s">
        <v>32</v>
      </c>
      <c r="I1891" s="3">
        <f>+2250171669979</f>
        <v>2250171669979</v>
      </c>
      <c r="J1891" s="3">
        <f>+2250747798131</f>
        <v>2250747798131</v>
      </c>
      <c r="K1891" s="1" t="s">
        <v>19</v>
      </c>
      <c r="L1891" s="4" t="s">
        <v>6622</v>
      </c>
    </row>
    <row r="1892">
      <c r="A1892" s="1" t="s">
        <v>12</v>
      </c>
      <c r="B1892" s="1" t="s">
        <v>6623</v>
      </c>
      <c r="C1892" s="1" t="s">
        <v>6509</v>
      </c>
      <c r="D1892" s="1" t="s">
        <v>6624</v>
      </c>
      <c r="E1892" s="2">
        <v>36892.0</v>
      </c>
      <c r="F1892" s="1" t="s">
        <v>62</v>
      </c>
      <c r="G1892" s="1" t="s">
        <v>25</v>
      </c>
      <c r="H1892" s="1" t="s">
        <v>18</v>
      </c>
      <c r="I1892" s="3">
        <f>+2250758268850</f>
        <v>2250758268850</v>
      </c>
      <c r="J1892" s="3">
        <f>+2250749020521</f>
        <v>2250749020521</v>
      </c>
      <c r="K1892" s="1" t="s">
        <v>19</v>
      </c>
      <c r="L1892" s="4" t="s">
        <v>6625</v>
      </c>
    </row>
    <row r="1893">
      <c r="A1893" s="1" t="s">
        <v>12</v>
      </c>
      <c r="B1893" s="1" t="s">
        <v>6626</v>
      </c>
      <c r="C1893" s="1" t="s">
        <v>6509</v>
      </c>
      <c r="D1893" s="1" t="s">
        <v>6627</v>
      </c>
      <c r="E1893" s="2">
        <v>38526.0</v>
      </c>
      <c r="F1893" s="1" t="s">
        <v>53</v>
      </c>
      <c r="G1893" s="1" t="s">
        <v>25</v>
      </c>
      <c r="H1893" s="1" t="s">
        <v>18</v>
      </c>
      <c r="I1893" s="3">
        <f>+2250584172042</f>
        <v>2250584172042</v>
      </c>
      <c r="J1893" s="3">
        <f>+2250708936507</f>
        <v>2250708936507</v>
      </c>
      <c r="K1893" s="1" t="s">
        <v>19</v>
      </c>
      <c r="L1893" s="4" t="s">
        <v>6628</v>
      </c>
    </row>
    <row r="1894">
      <c r="A1894" s="1" t="s">
        <v>12</v>
      </c>
      <c r="B1894" s="1" t="s">
        <v>6629</v>
      </c>
      <c r="C1894" s="1" t="s">
        <v>6509</v>
      </c>
      <c r="D1894" s="1" t="s">
        <v>6630</v>
      </c>
      <c r="E1894" s="2">
        <v>38205.0</v>
      </c>
      <c r="F1894" s="1" t="s">
        <v>53</v>
      </c>
      <c r="G1894" s="1" t="s">
        <v>17</v>
      </c>
      <c r="H1894" s="1" t="s">
        <v>18</v>
      </c>
      <c r="I1894" s="3">
        <f>+2250748851975</f>
        <v>2250748851975</v>
      </c>
      <c r="J1894" s="3">
        <f>+2250707614611</f>
        <v>2250707614611</v>
      </c>
      <c r="K1894" s="1" t="s">
        <v>19</v>
      </c>
      <c r="L1894" s="4" t="s">
        <v>6631</v>
      </c>
    </row>
    <row r="1895">
      <c r="A1895" s="1" t="s">
        <v>12</v>
      </c>
      <c r="B1895" s="1" t="s">
        <v>6632</v>
      </c>
      <c r="C1895" s="1" t="s">
        <v>6509</v>
      </c>
      <c r="D1895" s="1" t="s">
        <v>6633</v>
      </c>
      <c r="E1895" s="2">
        <v>36632.0</v>
      </c>
      <c r="F1895" s="1" t="s">
        <v>62</v>
      </c>
      <c r="G1895" s="1" t="s">
        <v>17</v>
      </c>
      <c r="H1895" s="1" t="s">
        <v>18</v>
      </c>
      <c r="I1895" s="3">
        <f>+2250797508066</f>
        <v>2250797508066</v>
      </c>
      <c r="J1895" s="3">
        <f>+2250748063680</f>
        <v>2250748063680</v>
      </c>
      <c r="K1895" s="1" t="s">
        <v>19</v>
      </c>
      <c r="L1895" s="4" t="s">
        <v>6634</v>
      </c>
    </row>
    <row r="1896">
      <c r="A1896" s="1" t="s">
        <v>12</v>
      </c>
      <c r="B1896" s="1" t="s">
        <v>6635</v>
      </c>
      <c r="C1896" s="1" t="s">
        <v>6509</v>
      </c>
      <c r="D1896" s="1" t="s">
        <v>6636</v>
      </c>
      <c r="E1896" s="2">
        <v>36910.0</v>
      </c>
      <c r="F1896" s="1" t="s">
        <v>62</v>
      </c>
      <c r="G1896" s="1" t="s">
        <v>25</v>
      </c>
      <c r="H1896" s="1" t="s">
        <v>18</v>
      </c>
      <c r="I1896" s="3">
        <f>+2250708773845</f>
        <v>2250708773845</v>
      </c>
      <c r="J1896" s="3">
        <f>+2250787788189</f>
        <v>2250787788189</v>
      </c>
      <c r="K1896" s="1" t="s">
        <v>19</v>
      </c>
      <c r="L1896" s="4" t="s">
        <v>6637</v>
      </c>
    </row>
    <row r="1897">
      <c r="A1897" s="1" t="s">
        <v>12</v>
      </c>
      <c r="B1897" s="1" t="s">
        <v>6638</v>
      </c>
      <c r="C1897" s="1" t="s">
        <v>6509</v>
      </c>
      <c r="D1897" s="1" t="s">
        <v>6639</v>
      </c>
      <c r="E1897" s="2">
        <v>37661.0</v>
      </c>
      <c r="F1897" s="1" t="s">
        <v>138</v>
      </c>
      <c r="G1897" s="1" t="s">
        <v>31</v>
      </c>
      <c r="H1897" s="1" t="s">
        <v>32</v>
      </c>
      <c r="I1897" s="3">
        <f>+2250150868724</f>
        <v>2250150868724</v>
      </c>
      <c r="J1897" s="3">
        <f>+2250747022532</f>
        <v>2250747022532</v>
      </c>
      <c r="K1897" s="1" t="s">
        <v>19</v>
      </c>
      <c r="L1897" s="4" t="s">
        <v>6640</v>
      </c>
    </row>
    <row r="1898">
      <c r="A1898" s="1" t="s">
        <v>12</v>
      </c>
      <c r="B1898" s="1" t="s">
        <v>6641</v>
      </c>
      <c r="C1898" s="1" t="s">
        <v>6642</v>
      </c>
      <c r="D1898" s="1" t="s">
        <v>6643</v>
      </c>
      <c r="E1898" s="5">
        <v>38340.0</v>
      </c>
      <c r="F1898" s="1" t="s">
        <v>16</v>
      </c>
      <c r="G1898" s="1" t="s">
        <v>17</v>
      </c>
      <c r="H1898" s="1" t="s">
        <v>18</v>
      </c>
      <c r="I1898" s="3">
        <f>+2250152504311</f>
        <v>2250152504311</v>
      </c>
      <c r="J1898" s="3">
        <f>+2250142134936</f>
        <v>2250142134936</v>
      </c>
      <c r="K1898" s="1" t="s">
        <v>19</v>
      </c>
      <c r="L1898" s="4" t="s">
        <v>6644</v>
      </c>
    </row>
    <row r="1899">
      <c r="A1899" s="1" t="s">
        <v>12</v>
      </c>
      <c r="B1899" s="1" t="s">
        <v>6645</v>
      </c>
      <c r="C1899" s="1" t="s">
        <v>6646</v>
      </c>
      <c r="D1899" s="1" t="s">
        <v>1714</v>
      </c>
      <c r="E1899" s="5">
        <v>36857.0</v>
      </c>
      <c r="F1899" s="1" t="s">
        <v>24</v>
      </c>
      <c r="G1899" s="1" t="s">
        <v>17</v>
      </c>
      <c r="H1899" s="1" t="s">
        <v>18</v>
      </c>
      <c r="I1899" s="3">
        <f>+2250702207378</f>
        <v>2250702207378</v>
      </c>
      <c r="J1899" s="3">
        <f>+2250709397472</f>
        <v>2250709397472</v>
      </c>
      <c r="K1899" s="1" t="s">
        <v>19</v>
      </c>
      <c r="L1899" s="4" t="s">
        <v>6647</v>
      </c>
    </row>
    <row r="1900">
      <c r="A1900" s="1" t="s">
        <v>12</v>
      </c>
      <c r="B1900" s="1" t="s">
        <v>6648</v>
      </c>
      <c r="C1900" s="1" t="s">
        <v>6649</v>
      </c>
      <c r="D1900" s="1" t="s">
        <v>3346</v>
      </c>
      <c r="E1900" s="2">
        <v>36756.0</v>
      </c>
      <c r="F1900" s="1" t="s">
        <v>62</v>
      </c>
      <c r="G1900" s="1" t="s">
        <v>17</v>
      </c>
      <c r="H1900" s="1" t="s">
        <v>18</v>
      </c>
      <c r="I1900" s="3">
        <f>+2250554298438</f>
        <v>2250554298438</v>
      </c>
      <c r="J1900" s="3">
        <f>+2250778475442</f>
        <v>2250778475442</v>
      </c>
      <c r="K1900" s="1" t="s">
        <v>19</v>
      </c>
      <c r="L1900" s="4" t="s">
        <v>6650</v>
      </c>
    </row>
    <row r="1901">
      <c r="A1901" s="1" t="s">
        <v>12</v>
      </c>
      <c r="B1901" s="1" t="s">
        <v>6651</v>
      </c>
      <c r="C1901" s="1" t="s">
        <v>6649</v>
      </c>
      <c r="D1901" s="1" t="s">
        <v>879</v>
      </c>
      <c r="E1901" s="2">
        <v>37392.0</v>
      </c>
      <c r="F1901" s="1" t="s">
        <v>48</v>
      </c>
      <c r="G1901" s="1" t="s">
        <v>76</v>
      </c>
      <c r="H1901" s="1" t="s">
        <v>32</v>
      </c>
      <c r="I1901" s="3">
        <f>+2250757614822</f>
        <v>2250757614822</v>
      </c>
      <c r="J1901" s="3">
        <f>+2250151107158</f>
        <v>2250151107158</v>
      </c>
      <c r="K1901" s="1" t="s">
        <v>19</v>
      </c>
      <c r="L1901" s="4" t="s">
        <v>6652</v>
      </c>
    </row>
    <row r="1902">
      <c r="A1902" s="1" t="s">
        <v>12</v>
      </c>
      <c r="B1902" s="1" t="s">
        <v>6653</v>
      </c>
      <c r="C1902" s="1" t="s">
        <v>6649</v>
      </c>
      <c r="D1902" s="1" t="s">
        <v>2627</v>
      </c>
      <c r="E1902" s="2">
        <v>37998.0</v>
      </c>
      <c r="F1902" s="1" t="s">
        <v>138</v>
      </c>
      <c r="G1902" s="1" t="s">
        <v>31</v>
      </c>
      <c r="H1902" s="1" t="s">
        <v>32</v>
      </c>
      <c r="I1902" s="3">
        <f>+2250758980206</f>
        <v>2250758980206</v>
      </c>
      <c r="J1902" s="3">
        <f>+2250707821284</f>
        <v>2250707821284</v>
      </c>
      <c r="K1902" s="1" t="s">
        <v>19</v>
      </c>
      <c r="L1902" s="4" t="s">
        <v>6654</v>
      </c>
    </row>
    <row r="1903">
      <c r="A1903" s="1" t="s">
        <v>12</v>
      </c>
      <c r="B1903" s="1" t="s">
        <v>6655</v>
      </c>
      <c r="C1903" s="1" t="s">
        <v>6649</v>
      </c>
      <c r="D1903" s="1" t="s">
        <v>6656</v>
      </c>
      <c r="E1903" s="2">
        <v>39167.0</v>
      </c>
      <c r="F1903" s="1" t="s">
        <v>53</v>
      </c>
      <c r="G1903" s="1" t="s">
        <v>25</v>
      </c>
      <c r="H1903" s="1" t="s">
        <v>18</v>
      </c>
      <c r="I1903" s="3">
        <f t="shared" ref="I1903:J1903" si="56">+2250757937614</f>
        <v>2250757937614</v>
      </c>
      <c r="J1903" s="3">
        <f t="shared" si="56"/>
        <v>2250757937614</v>
      </c>
      <c r="K1903" s="1" t="s">
        <v>19</v>
      </c>
      <c r="L1903" s="4" t="s">
        <v>6657</v>
      </c>
    </row>
    <row r="1904">
      <c r="A1904" s="1" t="s">
        <v>12</v>
      </c>
      <c r="B1904" s="1" t="s">
        <v>6658</v>
      </c>
      <c r="C1904" s="1" t="s">
        <v>6649</v>
      </c>
      <c r="D1904" s="1" t="s">
        <v>3276</v>
      </c>
      <c r="E1904" s="2">
        <v>37057.0</v>
      </c>
      <c r="F1904" s="1" t="s">
        <v>155</v>
      </c>
      <c r="G1904" s="1" t="s">
        <v>82</v>
      </c>
      <c r="H1904" s="1" t="s">
        <v>18</v>
      </c>
      <c r="I1904" s="3">
        <f>+2250768515681</f>
        <v>2250768515681</v>
      </c>
      <c r="J1904" s="3">
        <f>+2250505648983</f>
        <v>2250505648983</v>
      </c>
      <c r="K1904" s="1" t="s">
        <v>19</v>
      </c>
      <c r="L1904" s="4" t="s">
        <v>6659</v>
      </c>
    </row>
    <row r="1905">
      <c r="A1905" s="1" t="s">
        <v>12</v>
      </c>
      <c r="B1905" s="1" t="s">
        <v>6660</v>
      </c>
      <c r="C1905" s="1" t="s">
        <v>6649</v>
      </c>
      <c r="D1905" s="1" t="s">
        <v>6661</v>
      </c>
      <c r="E1905" s="2">
        <v>37064.0</v>
      </c>
      <c r="F1905" s="1" t="s">
        <v>16</v>
      </c>
      <c r="G1905" s="1" t="s">
        <v>25</v>
      </c>
      <c r="H1905" s="1" t="s">
        <v>18</v>
      </c>
      <c r="I1905" s="3">
        <f>+2250702214146</f>
        <v>2250702214146</v>
      </c>
      <c r="J1905" s="3">
        <f>+2250757927519</f>
        <v>2250757927519</v>
      </c>
      <c r="K1905" s="1" t="s">
        <v>19</v>
      </c>
      <c r="L1905" s="4" t="s">
        <v>6662</v>
      </c>
    </row>
    <row r="1906">
      <c r="A1906" s="1" t="s">
        <v>12</v>
      </c>
      <c r="B1906" s="1" t="s">
        <v>6663</v>
      </c>
      <c r="C1906" s="1" t="s">
        <v>6649</v>
      </c>
      <c r="D1906" s="1" t="s">
        <v>6664</v>
      </c>
      <c r="E1906" s="5">
        <v>38274.0</v>
      </c>
      <c r="F1906" s="1" t="s">
        <v>167</v>
      </c>
      <c r="G1906" s="1" t="s">
        <v>17</v>
      </c>
      <c r="H1906" s="1" t="s">
        <v>18</v>
      </c>
      <c r="I1906" s="3">
        <f>+2250555799407</f>
        <v>2250555799407</v>
      </c>
      <c r="J1906" s="3">
        <f>+2250103446961</f>
        <v>2250103446961</v>
      </c>
      <c r="K1906" s="1" t="s">
        <v>19</v>
      </c>
      <c r="L1906" s="4" t="s">
        <v>6665</v>
      </c>
    </row>
    <row r="1907">
      <c r="A1907" s="1" t="s">
        <v>12</v>
      </c>
      <c r="B1907" s="1" t="s">
        <v>6666</v>
      </c>
      <c r="C1907" s="1" t="s">
        <v>6649</v>
      </c>
      <c r="D1907" s="1" t="s">
        <v>2734</v>
      </c>
      <c r="E1907" s="5">
        <v>37549.0</v>
      </c>
      <c r="F1907" s="1" t="s">
        <v>62</v>
      </c>
      <c r="G1907" s="1" t="s">
        <v>17</v>
      </c>
      <c r="H1907" s="1" t="s">
        <v>18</v>
      </c>
      <c r="I1907" s="3">
        <f>+2250140087001</f>
        <v>2250140087001</v>
      </c>
      <c r="J1907" s="3">
        <f>+2250575485187</f>
        <v>2250575485187</v>
      </c>
      <c r="K1907" s="1" t="s">
        <v>19</v>
      </c>
      <c r="L1907" s="4" t="s">
        <v>6667</v>
      </c>
    </row>
    <row r="1908">
      <c r="A1908" s="1" t="s">
        <v>12</v>
      </c>
      <c r="B1908" s="1" t="s">
        <v>6668</v>
      </c>
      <c r="C1908" s="1" t="s">
        <v>6649</v>
      </c>
      <c r="D1908" s="1" t="s">
        <v>2734</v>
      </c>
      <c r="E1908" s="2">
        <v>37756.0</v>
      </c>
      <c r="F1908" s="1" t="s">
        <v>53</v>
      </c>
      <c r="G1908" s="1" t="s">
        <v>25</v>
      </c>
      <c r="H1908" s="1" t="s">
        <v>18</v>
      </c>
      <c r="I1908" s="3">
        <f>+2250546282398</f>
        <v>2250546282398</v>
      </c>
      <c r="J1908" s="3">
        <f>+2250555323330</f>
        <v>2250555323330</v>
      </c>
      <c r="K1908" s="1" t="s">
        <v>19</v>
      </c>
      <c r="L1908" s="4" t="s">
        <v>6669</v>
      </c>
    </row>
    <row r="1909">
      <c r="A1909" s="1" t="s">
        <v>12</v>
      </c>
      <c r="B1909" s="1" t="s">
        <v>6670</v>
      </c>
      <c r="C1909" s="1" t="s">
        <v>6649</v>
      </c>
      <c r="D1909" s="1" t="s">
        <v>6671</v>
      </c>
      <c r="E1909" s="2">
        <v>37167.0</v>
      </c>
      <c r="F1909" s="1" t="s">
        <v>53</v>
      </c>
      <c r="G1909" s="1" t="s">
        <v>17</v>
      </c>
      <c r="H1909" s="1" t="s">
        <v>18</v>
      </c>
      <c r="I1909" s="3">
        <f>+2250798165924</f>
        <v>2250798165924</v>
      </c>
      <c r="J1909" s="3">
        <f>+2250709173778</f>
        <v>2250709173778</v>
      </c>
      <c r="K1909" s="1" t="s">
        <v>19</v>
      </c>
      <c r="L1909" s="4" t="s">
        <v>6672</v>
      </c>
    </row>
    <row r="1910">
      <c r="A1910" s="1" t="s">
        <v>12</v>
      </c>
      <c r="B1910" s="1" t="s">
        <v>6673</v>
      </c>
      <c r="C1910" s="1" t="s">
        <v>6649</v>
      </c>
      <c r="D1910" s="1" t="s">
        <v>6674</v>
      </c>
      <c r="E1910" s="2">
        <v>37808.0</v>
      </c>
      <c r="F1910" s="1" t="s">
        <v>16</v>
      </c>
      <c r="G1910" s="1" t="s">
        <v>82</v>
      </c>
      <c r="H1910" s="1" t="s">
        <v>18</v>
      </c>
      <c r="I1910" s="3">
        <f>+2250798843618</f>
        <v>2250798843618</v>
      </c>
      <c r="J1910" s="3">
        <f>+2250101087177</f>
        <v>2250101087177</v>
      </c>
      <c r="K1910" s="1" t="s">
        <v>19</v>
      </c>
      <c r="L1910" s="4" t="s">
        <v>6675</v>
      </c>
    </row>
    <row r="1911">
      <c r="A1911" s="1" t="s">
        <v>12</v>
      </c>
      <c r="B1911" s="1" t="s">
        <v>6676</v>
      </c>
      <c r="C1911" s="1" t="s">
        <v>6649</v>
      </c>
      <c r="D1911" s="1" t="s">
        <v>6677</v>
      </c>
      <c r="E1911" s="5">
        <v>36484.0</v>
      </c>
      <c r="F1911" s="1" t="s">
        <v>16</v>
      </c>
      <c r="G1911" s="1" t="s">
        <v>17</v>
      </c>
      <c r="H1911" s="1" t="s">
        <v>18</v>
      </c>
      <c r="I1911" s="3">
        <f>+2250787901836</f>
        <v>2250787901836</v>
      </c>
      <c r="J1911" s="3">
        <f>+2250545251066</f>
        <v>2250545251066</v>
      </c>
      <c r="K1911" s="1" t="s">
        <v>19</v>
      </c>
      <c r="L1911" s="4" t="s">
        <v>6678</v>
      </c>
    </row>
    <row r="1912">
      <c r="A1912" s="1" t="s">
        <v>12</v>
      </c>
      <c r="B1912" s="1" t="s">
        <v>6679</v>
      </c>
      <c r="C1912" s="1" t="s">
        <v>6649</v>
      </c>
      <c r="D1912" s="1" t="s">
        <v>6680</v>
      </c>
      <c r="E1912" s="2">
        <v>37424.0</v>
      </c>
      <c r="F1912" s="1" t="s">
        <v>138</v>
      </c>
      <c r="G1912" s="1" t="s">
        <v>31</v>
      </c>
      <c r="H1912" s="1" t="s">
        <v>32</v>
      </c>
      <c r="I1912" s="3">
        <f>+2250505607925</f>
        <v>2250505607925</v>
      </c>
      <c r="J1912" s="3">
        <f>+2250707716554</f>
        <v>2250707716554</v>
      </c>
      <c r="K1912" s="1" t="s">
        <v>19</v>
      </c>
      <c r="L1912" s="4" t="s">
        <v>6681</v>
      </c>
    </row>
    <row r="1913">
      <c r="A1913" s="1" t="s">
        <v>12</v>
      </c>
      <c r="B1913" s="1" t="s">
        <v>6682</v>
      </c>
      <c r="C1913" s="1" t="s">
        <v>6649</v>
      </c>
      <c r="D1913" s="1" t="s">
        <v>1671</v>
      </c>
      <c r="E1913" s="2">
        <v>37657.0</v>
      </c>
      <c r="F1913" s="1" t="s">
        <v>24</v>
      </c>
      <c r="G1913" s="1" t="s">
        <v>17</v>
      </c>
      <c r="H1913" s="1" t="s">
        <v>18</v>
      </c>
      <c r="I1913" s="3">
        <f>+2250586494083</f>
        <v>2250586494083</v>
      </c>
      <c r="J1913" s="3">
        <f>+2250709998454</f>
        <v>2250709998454</v>
      </c>
      <c r="K1913" s="1" t="s">
        <v>19</v>
      </c>
      <c r="L1913" s="4" t="s">
        <v>6683</v>
      </c>
    </row>
    <row r="1914">
      <c r="A1914" s="1" t="s">
        <v>12</v>
      </c>
      <c r="B1914" s="1" t="s">
        <v>6684</v>
      </c>
      <c r="C1914" s="1" t="s">
        <v>6649</v>
      </c>
      <c r="D1914" s="1" t="s">
        <v>6685</v>
      </c>
      <c r="E1914" s="2">
        <v>37565.0</v>
      </c>
      <c r="F1914" s="1" t="s">
        <v>24</v>
      </c>
      <c r="G1914" s="1" t="s">
        <v>17</v>
      </c>
      <c r="H1914" s="1" t="s">
        <v>18</v>
      </c>
      <c r="I1914" s="3">
        <f>+2250576723363</f>
        <v>2250576723363</v>
      </c>
      <c r="J1914" s="3">
        <f>+2250778876900</f>
        <v>2250778876900</v>
      </c>
      <c r="K1914" s="1" t="s">
        <v>19</v>
      </c>
      <c r="L1914" s="4" t="s">
        <v>6686</v>
      </c>
    </row>
    <row r="1915">
      <c r="A1915" s="1" t="s">
        <v>12</v>
      </c>
      <c r="B1915" s="1" t="s">
        <v>6687</v>
      </c>
      <c r="C1915" s="1" t="s">
        <v>6649</v>
      </c>
      <c r="D1915" s="1" t="s">
        <v>6688</v>
      </c>
      <c r="E1915" s="2">
        <v>38476.0</v>
      </c>
      <c r="F1915" s="1" t="s">
        <v>16</v>
      </c>
      <c r="G1915" s="1" t="s">
        <v>17</v>
      </c>
      <c r="H1915" s="1" t="s">
        <v>18</v>
      </c>
      <c r="I1915" s="3">
        <f>+2250574931269</f>
        <v>2250574931269</v>
      </c>
      <c r="J1915" s="3">
        <f>+2250707732096</f>
        <v>2250707732096</v>
      </c>
      <c r="K1915" s="1" t="s">
        <v>19</v>
      </c>
      <c r="L1915" s="4" t="s">
        <v>6689</v>
      </c>
    </row>
    <row r="1916">
      <c r="A1916" s="1" t="s">
        <v>12</v>
      </c>
      <c r="B1916" s="1" t="s">
        <v>6690</v>
      </c>
      <c r="C1916" s="1" t="s">
        <v>6649</v>
      </c>
      <c r="D1916" s="1" t="s">
        <v>2642</v>
      </c>
      <c r="E1916" s="5">
        <v>36873.0</v>
      </c>
      <c r="F1916" s="1" t="s">
        <v>48</v>
      </c>
      <c r="G1916" s="1" t="s">
        <v>31</v>
      </c>
      <c r="H1916" s="1" t="s">
        <v>32</v>
      </c>
      <c r="I1916" s="3">
        <f>+2250702022605</f>
        <v>2250702022605</v>
      </c>
      <c r="J1916" s="3">
        <f>+2250707195434</f>
        <v>2250707195434</v>
      </c>
      <c r="K1916" s="1" t="s">
        <v>19</v>
      </c>
      <c r="L1916" s="4" t="s">
        <v>6691</v>
      </c>
    </row>
    <row r="1917">
      <c r="A1917" s="1" t="s">
        <v>12</v>
      </c>
      <c r="B1917" s="1" t="s">
        <v>6692</v>
      </c>
      <c r="C1917" s="1" t="s">
        <v>6649</v>
      </c>
      <c r="D1917" s="1" t="s">
        <v>6693</v>
      </c>
      <c r="E1917" s="2">
        <v>37475.0</v>
      </c>
      <c r="F1917" s="1" t="s">
        <v>53</v>
      </c>
      <c r="G1917" s="1" t="s">
        <v>25</v>
      </c>
      <c r="H1917" s="1" t="s">
        <v>18</v>
      </c>
      <c r="I1917" s="3">
        <f t="shared" ref="I1917:J1917" si="57">+2250506642343</f>
        <v>2250506642343</v>
      </c>
      <c r="J1917" s="3">
        <f t="shared" si="57"/>
        <v>2250506642343</v>
      </c>
      <c r="K1917" s="1" t="s">
        <v>19</v>
      </c>
      <c r="L1917" s="4" t="s">
        <v>6694</v>
      </c>
    </row>
    <row r="1918">
      <c r="A1918" s="1" t="s">
        <v>12</v>
      </c>
      <c r="B1918" s="1" t="s">
        <v>6695</v>
      </c>
      <c r="C1918" s="1" t="s">
        <v>6649</v>
      </c>
      <c r="D1918" s="1" t="s">
        <v>6696</v>
      </c>
      <c r="E1918" s="5">
        <v>37936.0</v>
      </c>
      <c r="F1918" s="1" t="s">
        <v>53</v>
      </c>
      <c r="G1918" s="1" t="s">
        <v>25</v>
      </c>
      <c r="H1918" s="1" t="s">
        <v>18</v>
      </c>
      <c r="I1918" s="3">
        <f>+2250778796389</f>
        <v>2250778796389</v>
      </c>
      <c r="J1918" s="3">
        <f>+2250748618720</f>
        <v>2250748618720</v>
      </c>
      <c r="K1918" s="1" t="s">
        <v>19</v>
      </c>
      <c r="L1918" s="4" t="s">
        <v>6697</v>
      </c>
    </row>
    <row r="1919">
      <c r="A1919" s="1" t="s">
        <v>12</v>
      </c>
      <c r="B1919" s="1" t="s">
        <v>6698</v>
      </c>
      <c r="C1919" s="1" t="s">
        <v>6649</v>
      </c>
      <c r="D1919" s="1" t="s">
        <v>6699</v>
      </c>
      <c r="E1919" s="5">
        <v>37551.0</v>
      </c>
      <c r="F1919" s="1" t="s">
        <v>48</v>
      </c>
      <c r="G1919" s="1" t="s">
        <v>76</v>
      </c>
      <c r="H1919" s="1" t="s">
        <v>32</v>
      </c>
      <c r="I1919" s="3">
        <f>+2250566972992</f>
        <v>2250566972992</v>
      </c>
      <c r="J1919" s="3">
        <f>+2250505637401</f>
        <v>2250505637401</v>
      </c>
      <c r="K1919" s="1" t="s">
        <v>19</v>
      </c>
      <c r="L1919" s="4" t="s">
        <v>6700</v>
      </c>
    </row>
    <row r="1920">
      <c r="A1920" s="1" t="s">
        <v>12</v>
      </c>
      <c r="B1920" s="1" t="s">
        <v>6701</v>
      </c>
      <c r="C1920" s="1" t="s">
        <v>6649</v>
      </c>
      <c r="D1920" s="1" t="s">
        <v>2774</v>
      </c>
      <c r="E1920" s="2">
        <v>37480.0</v>
      </c>
      <c r="F1920" s="1" t="s">
        <v>155</v>
      </c>
      <c r="G1920" s="1" t="s">
        <v>76</v>
      </c>
      <c r="H1920" s="1" t="s">
        <v>32</v>
      </c>
      <c r="I1920" s="3">
        <f>+2250545590297</f>
        <v>2250545590297</v>
      </c>
      <c r="J1920" s="3">
        <f>+2250505735297</f>
        <v>2250505735297</v>
      </c>
      <c r="K1920" s="1" t="s">
        <v>19</v>
      </c>
      <c r="L1920" s="4" t="s">
        <v>6702</v>
      </c>
    </row>
    <row r="1921">
      <c r="A1921" s="1" t="s">
        <v>12</v>
      </c>
      <c r="B1921" s="1" t="s">
        <v>6703</v>
      </c>
      <c r="C1921" s="1" t="s">
        <v>6649</v>
      </c>
      <c r="D1921" s="1" t="s">
        <v>6704</v>
      </c>
      <c r="E1921" s="2">
        <v>38205.0</v>
      </c>
      <c r="F1921" s="1" t="s">
        <v>288</v>
      </c>
      <c r="G1921" s="1" t="s">
        <v>31</v>
      </c>
      <c r="H1921" s="1" t="s">
        <v>32</v>
      </c>
      <c r="I1921" s="3">
        <f>+2250140592854</f>
        <v>2250140592854</v>
      </c>
      <c r="J1921" s="3">
        <f>+2250141777053</f>
        <v>2250141777053</v>
      </c>
      <c r="K1921" s="1" t="s">
        <v>19</v>
      </c>
      <c r="L1921" s="4" t="s">
        <v>6705</v>
      </c>
    </row>
    <row r="1922">
      <c r="A1922" s="1" t="s">
        <v>12</v>
      </c>
      <c r="B1922" s="1" t="s">
        <v>6706</v>
      </c>
      <c r="C1922" s="1" t="s">
        <v>6649</v>
      </c>
      <c r="D1922" s="1" t="s">
        <v>2291</v>
      </c>
      <c r="E1922" s="2">
        <v>38090.0</v>
      </c>
      <c r="F1922" s="1" t="s">
        <v>16</v>
      </c>
      <c r="G1922" s="1" t="s">
        <v>25</v>
      </c>
      <c r="H1922" s="1" t="s">
        <v>18</v>
      </c>
      <c r="I1922" s="3">
        <f>+2250711067111</f>
        <v>2250711067111</v>
      </c>
      <c r="J1922" s="3">
        <f>+2250506400416</f>
        <v>2250506400416</v>
      </c>
      <c r="K1922" s="1" t="s">
        <v>19</v>
      </c>
      <c r="L1922" s="4" t="s">
        <v>6707</v>
      </c>
    </row>
    <row r="1923">
      <c r="A1923" s="1" t="s">
        <v>12</v>
      </c>
      <c r="B1923" s="1" t="s">
        <v>6708</v>
      </c>
      <c r="C1923" s="1" t="s">
        <v>6649</v>
      </c>
      <c r="D1923" s="1" t="s">
        <v>6709</v>
      </c>
      <c r="E1923" s="2">
        <v>37381.0</v>
      </c>
      <c r="F1923" s="1" t="s">
        <v>138</v>
      </c>
      <c r="G1923" s="1" t="s">
        <v>31</v>
      </c>
      <c r="H1923" s="1" t="s">
        <v>32</v>
      </c>
      <c r="I1923" s="3">
        <f>+2250789491004</f>
        <v>2250789491004</v>
      </c>
      <c r="J1923" s="3">
        <f>+2250707459030</f>
        <v>2250707459030</v>
      </c>
      <c r="K1923" s="1" t="s">
        <v>19</v>
      </c>
      <c r="L1923" s="4" t="s">
        <v>6710</v>
      </c>
    </row>
    <row r="1924">
      <c r="A1924" s="1" t="s">
        <v>12</v>
      </c>
      <c r="B1924" s="1" t="s">
        <v>6711</v>
      </c>
      <c r="C1924" s="1" t="s">
        <v>6649</v>
      </c>
      <c r="D1924" s="1" t="s">
        <v>6712</v>
      </c>
      <c r="E1924" s="2">
        <v>36892.0</v>
      </c>
      <c r="F1924" s="1" t="s">
        <v>53</v>
      </c>
      <c r="G1924" s="1" t="s">
        <v>25</v>
      </c>
      <c r="H1924" s="1" t="s">
        <v>18</v>
      </c>
      <c r="I1924" s="3">
        <f>+2250786608594</f>
        <v>2250786608594</v>
      </c>
      <c r="J1924" s="3">
        <f>+2250708480495</f>
        <v>2250708480495</v>
      </c>
      <c r="K1924" s="1" t="s">
        <v>19</v>
      </c>
      <c r="L1924" s="4" t="s">
        <v>6713</v>
      </c>
    </row>
    <row r="1925">
      <c r="A1925" s="1" t="s">
        <v>12</v>
      </c>
      <c r="B1925" s="1" t="s">
        <v>6714</v>
      </c>
      <c r="C1925" s="1" t="s">
        <v>6649</v>
      </c>
      <c r="D1925" s="1" t="s">
        <v>1976</v>
      </c>
      <c r="E1925" s="2">
        <v>38244.0</v>
      </c>
      <c r="F1925" s="1" t="s">
        <v>53</v>
      </c>
      <c r="G1925" s="1" t="s">
        <v>25</v>
      </c>
      <c r="H1925" s="1" t="s">
        <v>18</v>
      </c>
      <c r="I1925" s="3">
        <f>+2250101630596</f>
        <v>2250101630596</v>
      </c>
      <c r="J1925" s="3">
        <f>+2250707065446</f>
        <v>2250707065446</v>
      </c>
      <c r="K1925" s="1" t="s">
        <v>19</v>
      </c>
      <c r="L1925" s="4" t="s">
        <v>6715</v>
      </c>
    </row>
    <row r="1926">
      <c r="A1926" s="1" t="s">
        <v>12</v>
      </c>
      <c r="B1926" s="1" t="s">
        <v>6716</v>
      </c>
      <c r="C1926" s="1" t="s">
        <v>6649</v>
      </c>
      <c r="D1926" s="1" t="s">
        <v>2806</v>
      </c>
      <c r="E1926" s="2">
        <v>37677.0</v>
      </c>
      <c r="F1926" s="1" t="s">
        <v>110</v>
      </c>
      <c r="G1926" s="1" t="s">
        <v>82</v>
      </c>
      <c r="H1926" s="1" t="s">
        <v>18</v>
      </c>
      <c r="I1926" s="3">
        <f>+2250545692421</f>
        <v>2250545692421</v>
      </c>
      <c r="J1926" s="3">
        <f>+2250142865609</f>
        <v>2250142865609</v>
      </c>
      <c r="K1926" s="1" t="s">
        <v>19</v>
      </c>
      <c r="L1926" s="4" t="s">
        <v>6717</v>
      </c>
    </row>
    <row r="1927">
      <c r="A1927" s="1" t="s">
        <v>12</v>
      </c>
      <c r="B1927" s="1" t="s">
        <v>6718</v>
      </c>
      <c r="C1927" s="1" t="s">
        <v>6649</v>
      </c>
      <c r="D1927" s="1" t="s">
        <v>2806</v>
      </c>
      <c r="E1927" s="2">
        <v>36553.0</v>
      </c>
      <c r="F1927" s="1" t="s">
        <v>16</v>
      </c>
      <c r="G1927" s="1" t="s">
        <v>17</v>
      </c>
      <c r="H1927" s="1" t="s">
        <v>18</v>
      </c>
      <c r="I1927" s="3">
        <f>+2250506215087</f>
        <v>2250506215087</v>
      </c>
      <c r="J1927" s="3">
        <f>+2250556285759</f>
        <v>2250556285759</v>
      </c>
      <c r="K1927" s="1" t="s">
        <v>19</v>
      </c>
      <c r="L1927" s="4" t="s">
        <v>6719</v>
      </c>
    </row>
    <row r="1928">
      <c r="A1928" s="1" t="s">
        <v>12</v>
      </c>
      <c r="B1928" s="1" t="s">
        <v>6720</v>
      </c>
      <c r="C1928" s="1" t="s">
        <v>6649</v>
      </c>
      <c r="D1928" s="1" t="s">
        <v>2814</v>
      </c>
      <c r="E1928" s="2">
        <v>37789.0</v>
      </c>
      <c r="F1928" s="1" t="s">
        <v>1219</v>
      </c>
      <c r="G1928" s="1" t="s">
        <v>82</v>
      </c>
      <c r="H1928" s="1" t="s">
        <v>18</v>
      </c>
      <c r="I1928" s="3">
        <f>+2250565689446</f>
        <v>2250565689446</v>
      </c>
      <c r="J1928" s="3">
        <f>+2250749286173</f>
        <v>2250749286173</v>
      </c>
      <c r="K1928" s="1" t="s">
        <v>19</v>
      </c>
      <c r="L1928" s="4" t="s">
        <v>6721</v>
      </c>
    </row>
    <row r="1929">
      <c r="A1929" s="1" t="s">
        <v>12</v>
      </c>
      <c r="B1929" s="1" t="s">
        <v>6722</v>
      </c>
      <c r="C1929" s="1" t="s">
        <v>6649</v>
      </c>
      <c r="D1929" s="1" t="s">
        <v>3210</v>
      </c>
      <c r="E1929" s="2">
        <v>37814.0</v>
      </c>
      <c r="F1929" s="1" t="s">
        <v>155</v>
      </c>
      <c r="G1929" s="1" t="s">
        <v>76</v>
      </c>
      <c r="H1929" s="1" t="s">
        <v>32</v>
      </c>
      <c r="I1929" s="3">
        <f>+2250143123119</f>
        <v>2250143123119</v>
      </c>
      <c r="J1929" s="3">
        <f>+2250501741849</f>
        <v>2250501741849</v>
      </c>
      <c r="K1929" s="1" t="s">
        <v>19</v>
      </c>
      <c r="L1929" s="4" t="s">
        <v>6723</v>
      </c>
    </row>
    <row r="1930">
      <c r="A1930" s="1" t="s">
        <v>12</v>
      </c>
      <c r="B1930" s="1" t="s">
        <v>6724</v>
      </c>
      <c r="C1930" s="1" t="s">
        <v>6649</v>
      </c>
      <c r="D1930" s="1" t="s">
        <v>6725</v>
      </c>
      <c r="E1930" s="2">
        <v>38195.0</v>
      </c>
      <c r="F1930" s="1" t="s">
        <v>101</v>
      </c>
      <c r="G1930" s="1" t="s">
        <v>31</v>
      </c>
      <c r="H1930" s="1" t="s">
        <v>32</v>
      </c>
      <c r="I1930" s="3">
        <f>+2250778337194</f>
        <v>2250778337194</v>
      </c>
      <c r="J1930" s="3">
        <f>+2250709475268</f>
        <v>2250709475268</v>
      </c>
      <c r="K1930" s="1" t="s">
        <v>19</v>
      </c>
      <c r="L1930" s="4" t="s">
        <v>6726</v>
      </c>
    </row>
    <row r="1931">
      <c r="A1931" s="1" t="s">
        <v>12</v>
      </c>
      <c r="B1931" s="1" t="s">
        <v>6727</v>
      </c>
      <c r="C1931" s="1" t="s">
        <v>6649</v>
      </c>
      <c r="D1931" s="1" t="s">
        <v>1740</v>
      </c>
      <c r="E1931" s="5">
        <v>37220.0</v>
      </c>
      <c r="F1931" s="1" t="s">
        <v>167</v>
      </c>
      <c r="G1931" s="1" t="s">
        <v>17</v>
      </c>
      <c r="H1931" s="1" t="s">
        <v>18</v>
      </c>
      <c r="I1931" s="3">
        <f>+2250172578523</f>
        <v>2250172578523</v>
      </c>
      <c r="J1931" s="3">
        <f>+2250709189429</f>
        <v>2250709189429</v>
      </c>
      <c r="K1931" s="1" t="s">
        <v>19</v>
      </c>
      <c r="L1931" s="4" t="s">
        <v>6728</v>
      </c>
    </row>
    <row r="1932">
      <c r="A1932" s="1" t="s">
        <v>12</v>
      </c>
      <c r="B1932" s="1" t="s">
        <v>6729</v>
      </c>
      <c r="C1932" s="1" t="s">
        <v>6649</v>
      </c>
      <c r="D1932" s="1" t="s">
        <v>3398</v>
      </c>
      <c r="E1932" s="5">
        <v>36883.0</v>
      </c>
      <c r="F1932" s="1" t="s">
        <v>48</v>
      </c>
      <c r="G1932" s="1" t="s">
        <v>31</v>
      </c>
      <c r="H1932" s="1" t="s">
        <v>32</v>
      </c>
      <c r="I1932" s="3">
        <f>+2250705443944</f>
        <v>2250705443944</v>
      </c>
      <c r="J1932" s="3">
        <f>+2250586608594</f>
        <v>2250586608594</v>
      </c>
      <c r="K1932" s="1" t="s">
        <v>19</v>
      </c>
      <c r="L1932" s="4" t="s">
        <v>6730</v>
      </c>
    </row>
    <row r="1933">
      <c r="A1933" s="1" t="s">
        <v>12</v>
      </c>
      <c r="B1933" s="1" t="s">
        <v>6731</v>
      </c>
      <c r="C1933" s="1" t="s">
        <v>6649</v>
      </c>
      <c r="D1933" s="1" t="s">
        <v>6732</v>
      </c>
      <c r="E1933" s="2">
        <v>37119.0</v>
      </c>
      <c r="F1933" s="1" t="s">
        <v>24</v>
      </c>
      <c r="G1933" s="1" t="s">
        <v>17</v>
      </c>
      <c r="H1933" s="1" t="s">
        <v>18</v>
      </c>
      <c r="I1933" s="3" t="str">
        <f>+225O777378455</f>
        <v>#ERROR!</v>
      </c>
      <c r="J1933" s="3">
        <f>+2250708190367</f>
        <v>2250708190367</v>
      </c>
      <c r="K1933" s="1" t="s">
        <v>19</v>
      </c>
      <c r="L1933" s="4" t="s">
        <v>6733</v>
      </c>
    </row>
    <row r="1934">
      <c r="A1934" s="1" t="s">
        <v>12</v>
      </c>
      <c r="B1934" s="1" t="s">
        <v>6734</v>
      </c>
      <c r="C1934" s="1" t="s">
        <v>6735</v>
      </c>
      <c r="D1934" s="1" t="s">
        <v>6736</v>
      </c>
      <c r="E1934" s="2">
        <v>36220.0</v>
      </c>
      <c r="F1934" s="1" t="s">
        <v>155</v>
      </c>
      <c r="G1934" s="1" t="s">
        <v>82</v>
      </c>
      <c r="H1934" s="1" t="s">
        <v>18</v>
      </c>
      <c r="I1934" s="3">
        <f>+2250779175160</f>
        <v>2250779175160</v>
      </c>
      <c r="J1934" s="3">
        <f>+2250788359245</f>
        <v>2250788359245</v>
      </c>
      <c r="K1934" s="1" t="s">
        <v>19</v>
      </c>
      <c r="L1934" s="4" t="s">
        <v>6737</v>
      </c>
    </row>
    <row r="1935">
      <c r="A1935" s="1" t="s">
        <v>12</v>
      </c>
      <c r="B1935" s="1" t="s">
        <v>6738</v>
      </c>
      <c r="C1935" s="1" t="s">
        <v>3107</v>
      </c>
      <c r="D1935" s="1" t="s">
        <v>6739</v>
      </c>
      <c r="E1935" s="2">
        <v>36315.0</v>
      </c>
      <c r="F1935" s="1" t="s">
        <v>155</v>
      </c>
      <c r="G1935" s="1" t="s">
        <v>82</v>
      </c>
      <c r="H1935" s="1" t="s">
        <v>18</v>
      </c>
      <c r="I1935" s="3">
        <f>+2250768447199</f>
        <v>2250768447199</v>
      </c>
      <c r="J1935" s="3">
        <f>+2250709471720</f>
        <v>2250709471720</v>
      </c>
      <c r="K1935" s="1" t="s">
        <v>19</v>
      </c>
      <c r="L1935" s="4" t="s">
        <v>6740</v>
      </c>
    </row>
    <row r="1936">
      <c r="A1936" s="1" t="s">
        <v>12</v>
      </c>
      <c r="B1936" s="1" t="s">
        <v>6741</v>
      </c>
      <c r="C1936" s="1" t="s">
        <v>3107</v>
      </c>
      <c r="D1936" s="1" t="s">
        <v>6742</v>
      </c>
      <c r="E1936" s="5">
        <v>37584.0</v>
      </c>
      <c r="F1936" s="1" t="s">
        <v>138</v>
      </c>
      <c r="G1936" s="1" t="s">
        <v>31</v>
      </c>
      <c r="H1936" s="1" t="s">
        <v>32</v>
      </c>
      <c r="I1936" s="3">
        <f>+2250777531906</f>
        <v>2250777531906</v>
      </c>
      <c r="J1936" s="3">
        <f>+2250709461503</f>
        <v>2250709461503</v>
      </c>
      <c r="K1936" s="1" t="s">
        <v>19</v>
      </c>
      <c r="L1936" s="4" t="s">
        <v>6743</v>
      </c>
    </row>
    <row r="1937">
      <c r="A1937" s="1" t="s">
        <v>12</v>
      </c>
      <c r="B1937" s="1" t="s">
        <v>6744</v>
      </c>
      <c r="C1937" s="1" t="s">
        <v>3107</v>
      </c>
      <c r="D1937" s="1" t="s">
        <v>1622</v>
      </c>
      <c r="E1937" s="2">
        <v>36934.0</v>
      </c>
      <c r="F1937" s="1" t="s">
        <v>155</v>
      </c>
      <c r="G1937" s="1" t="s">
        <v>76</v>
      </c>
      <c r="H1937" s="1" t="s">
        <v>32</v>
      </c>
      <c r="I1937" s="3">
        <f>+2250505341361</f>
        <v>2250505341361</v>
      </c>
      <c r="J1937" s="3">
        <f>+2250506821672</f>
        <v>2250506821672</v>
      </c>
      <c r="K1937" s="1" t="s">
        <v>19</v>
      </c>
      <c r="L1937" s="4" t="s">
        <v>6745</v>
      </c>
    </row>
    <row r="1938">
      <c r="A1938" s="1" t="s">
        <v>12</v>
      </c>
      <c r="B1938" s="1" t="s">
        <v>6746</v>
      </c>
      <c r="C1938" s="1" t="s">
        <v>3107</v>
      </c>
      <c r="D1938" s="1" t="s">
        <v>2686</v>
      </c>
      <c r="E1938" s="2">
        <v>36312.0</v>
      </c>
      <c r="F1938" s="1" t="s">
        <v>101</v>
      </c>
      <c r="G1938" s="1" t="s">
        <v>31</v>
      </c>
      <c r="H1938" s="1" t="s">
        <v>32</v>
      </c>
      <c r="I1938" s="3">
        <f>+2250789814471</f>
        <v>2250789814471</v>
      </c>
      <c r="J1938" s="3">
        <f>+2250711123302</f>
        <v>2250711123302</v>
      </c>
      <c r="K1938" s="1" t="s">
        <v>19</v>
      </c>
      <c r="L1938" s="4" t="s">
        <v>6747</v>
      </c>
    </row>
    <row r="1939">
      <c r="A1939" s="1" t="s">
        <v>12</v>
      </c>
      <c r="B1939" s="1" t="s">
        <v>6748</v>
      </c>
      <c r="C1939" s="1" t="s">
        <v>3107</v>
      </c>
      <c r="D1939" s="1" t="s">
        <v>546</v>
      </c>
      <c r="E1939" s="2">
        <v>37314.0</v>
      </c>
      <c r="F1939" s="1" t="s">
        <v>62</v>
      </c>
      <c r="G1939" s="1" t="s">
        <v>17</v>
      </c>
      <c r="H1939" s="1" t="s">
        <v>18</v>
      </c>
      <c r="I1939" s="3">
        <f>+2250564037686</f>
        <v>2250564037686</v>
      </c>
      <c r="J1939" s="3">
        <f>+2250747007775</f>
        <v>2250747007775</v>
      </c>
      <c r="K1939" s="1" t="s">
        <v>19</v>
      </c>
      <c r="L1939" s="4" t="s">
        <v>6749</v>
      </c>
    </row>
    <row r="1940">
      <c r="A1940" s="1" t="s">
        <v>12</v>
      </c>
      <c r="B1940" s="1" t="s">
        <v>6750</v>
      </c>
      <c r="C1940" s="1" t="s">
        <v>3107</v>
      </c>
      <c r="D1940" s="1" t="s">
        <v>2719</v>
      </c>
      <c r="E1940" s="2">
        <v>37331.0</v>
      </c>
      <c r="F1940" s="1" t="s">
        <v>62</v>
      </c>
      <c r="G1940" s="1" t="s">
        <v>25</v>
      </c>
      <c r="H1940" s="1" t="s">
        <v>18</v>
      </c>
      <c r="I1940" s="3">
        <f>+2250787211602</f>
        <v>2250787211602</v>
      </c>
      <c r="J1940" s="3">
        <f>+2250749644844</f>
        <v>2250749644844</v>
      </c>
      <c r="K1940" s="1" t="s">
        <v>19</v>
      </c>
      <c r="L1940" s="4" t="s">
        <v>6751</v>
      </c>
    </row>
    <row r="1941">
      <c r="A1941" s="1" t="s">
        <v>12</v>
      </c>
      <c r="B1941" s="1" t="s">
        <v>6752</v>
      </c>
      <c r="C1941" s="1" t="s">
        <v>3107</v>
      </c>
      <c r="D1941" s="1" t="s">
        <v>6753</v>
      </c>
      <c r="E1941" s="2">
        <v>38475.0</v>
      </c>
      <c r="F1941" s="1" t="s">
        <v>62</v>
      </c>
      <c r="G1941" s="1" t="s">
        <v>25</v>
      </c>
      <c r="H1941" s="1" t="s">
        <v>18</v>
      </c>
      <c r="I1941" s="3">
        <f>+2250101388716</f>
        <v>2250101388716</v>
      </c>
      <c r="J1941" s="3">
        <f>+2250707497279</f>
        <v>2250707497279</v>
      </c>
      <c r="K1941" s="1" t="s">
        <v>19</v>
      </c>
      <c r="L1941" s="4" t="s">
        <v>6754</v>
      </c>
    </row>
    <row r="1942">
      <c r="A1942" s="1" t="s">
        <v>12</v>
      </c>
      <c r="B1942" s="1" t="s">
        <v>6755</v>
      </c>
      <c r="C1942" s="1" t="s">
        <v>3107</v>
      </c>
      <c r="D1942" s="1" t="s">
        <v>6756</v>
      </c>
      <c r="E1942" s="2">
        <v>38072.0</v>
      </c>
      <c r="F1942" s="1" t="s">
        <v>48</v>
      </c>
      <c r="G1942" s="1" t="s">
        <v>82</v>
      </c>
      <c r="H1942" s="1" t="s">
        <v>18</v>
      </c>
      <c r="I1942" s="3">
        <f>+2250584163525</f>
        <v>2250584163525</v>
      </c>
      <c r="J1942" s="3">
        <f>+2250777010099</f>
        <v>2250777010099</v>
      </c>
      <c r="K1942" s="1" t="s">
        <v>19</v>
      </c>
      <c r="L1942" s="4" t="s">
        <v>6757</v>
      </c>
    </row>
    <row r="1943">
      <c r="A1943" s="1" t="s">
        <v>12</v>
      </c>
      <c r="B1943" s="1" t="s">
        <v>6758</v>
      </c>
      <c r="C1943" s="1" t="s">
        <v>3107</v>
      </c>
      <c r="D1943" s="1" t="s">
        <v>6759</v>
      </c>
      <c r="E1943" s="2">
        <v>38010.0</v>
      </c>
      <c r="F1943" s="1" t="s">
        <v>155</v>
      </c>
      <c r="G1943" s="1" t="s">
        <v>76</v>
      </c>
      <c r="H1943" s="1" t="s">
        <v>32</v>
      </c>
      <c r="I1943" s="3">
        <f>+2250768649363</f>
        <v>2250768649363</v>
      </c>
      <c r="J1943" s="3">
        <f>+2250707471218</f>
        <v>2250707471218</v>
      </c>
      <c r="K1943" s="1" t="s">
        <v>19</v>
      </c>
      <c r="L1943" s="4" t="s">
        <v>6760</v>
      </c>
    </row>
    <row r="1944">
      <c r="A1944" s="1" t="s">
        <v>12</v>
      </c>
      <c r="B1944" s="1" t="s">
        <v>6761</v>
      </c>
      <c r="C1944" s="1" t="s">
        <v>3107</v>
      </c>
      <c r="D1944" s="1" t="s">
        <v>6762</v>
      </c>
      <c r="E1944" s="2">
        <v>37690.0</v>
      </c>
      <c r="F1944" s="1" t="s">
        <v>155</v>
      </c>
      <c r="G1944" s="1" t="s">
        <v>31</v>
      </c>
      <c r="H1944" s="1" t="s">
        <v>32</v>
      </c>
      <c r="I1944" s="3">
        <f>+2250152128882</f>
        <v>2250152128882</v>
      </c>
      <c r="J1944" s="3">
        <f>+2250708488990</f>
        <v>2250708488990</v>
      </c>
      <c r="K1944" s="1" t="s">
        <v>19</v>
      </c>
      <c r="L1944" s="4" t="s">
        <v>6763</v>
      </c>
    </row>
    <row r="1945">
      <c r="A1945" s="1" t="s">
        <v>12</v>
      </c>
      <c r="B1945" s="1" t="s">
        <v>6764</v>
      </c>
      <c r="C1945" s="1" t="s">
        <v>3107</v>
      </c>
      <c r="D1945" s="1" t="s">
        <v>6765</v>
      </c>
      <c r="E1945" s="2">
        <v>37473.0</v>
      </c>
      <c r="F1945" s="1" t="s">
        <v>16</v>
      </c>
      <c r="G1945" s="1" t="s">
        <v>17</v>
      </c>
      <c r="H1945" s="1" t="s">
        <v>18</v>
      </c>
      <c r="I1945" s="3">
        <f>+2250777082152</f>
        <v>2250777082152</v>
      </c>
      <c r="J1945" s="3">
        <f>+2250779970949</f>
        <v>2250779970949</v>
      </c>
      <c r="K1945" s="1" t="s">
        <v>19</v>
      </c>
      <c r="L1945" s="4" t="s">
        <v>6766</v>
      </c>
    </row>
    <row r="1946">
      <c r="A1946" s="1" t="s">
        <v>12</v>
      </c>
      <c r="B1946" s="1" t="s">
        <v>6767</v>
      </c>
      <c r="C1946" s="1" t="s">
        <v>3107</v>
      </c>
      <c r="D1946" s="1" t="s">
        <v>6768</v>
      </c>
      <c r="E1946" s="2">
        <v>37528.0</v>
      </c>
      <c r="F1946" s="1" t="s">
        <v>16</v>
      </c>
      <c r="G1946" s="1" t="s">
        <v>17</v>
      </c>
      <c r="H1946" s="1" t="s">
        <v>18</v>
      </c>
      <c r="I1946" s="3">
        <f>+2250153440751</f>
        <v>2250153440751</v>
      </c>
      <c r="J1946" s="3">
        <f>+2250700266703</f>
        <v>2250700266703</v>
      </c>
      <c r="K1946" s="1" t="s">
        <v>19</v>
      </c>
      <c r="L1946" s="4" t="s">
        <v>6769</v>
      </c>
    </row>
    <row r="1947">
      <c r="A1947" s="1" t="s">
        <v>12</v>
      </c>
      <c r="B1947" s="1" t="s">
        <v>6770</v>
      </c>
      <c r="C1947" s="1" t="s">
        <v>3107</v>
      </c>
      <c r="D1947" s="1" t="s">
        <v>6771</v>
      </c>
      <c r="E1947" s="2">
        <v>36278.0</v>
      </c>
      <c r="F1947" s="1" t="s">
        <v>97</v>
      </c>
      <c r="G1947" s="1" t="s">
        <v>82</v>
      </c>
      <c r="H1947" s="1" t="s">
        <v>18</v>
      </c>
      <c r="I1947" s="3">
        <f>+2250767184686</f>
        <v>2250767184686</v>
      </c>
      <c r="J1947" s="3">
        <f>+2250757114520</f>
        <v>2250757114520</v>
      </c>
      <c r="K1947" s="1" t="s">
        <v>19</v>
      </c>
      <c r="L1947" s="4" t="s">
        <v>6772</v>
      </c>
    </row>
    <row r="1948">
      <c r="A1948" s="1" t="s">
        <v>12</v>
      </c>
      <c r="B1948" s="1" t="s">
        <v>6773</v>
      </c>
      <c r="C1948" s="1" t="s">
        <v>3107</v>
      </c>
      <c r="D1948" s="1" t="s">
        <v>1656</v>
      </c>
      <c r="E1948" s="2">
        <v>36725.0</v>
      </c>
      <c r="F1948" s="1" t="s">
        <v>81</v>
      </c>
      <c r="G1948" s="1" t="s">
        <v>82</v>
      </c>
      <c r="H1948" s="1" t="s">
        <v>18</v>
      </c>
      <c r="I1948" s="3">
        <f>+2250749234866</f>
        <v>2250749234866</v>
      </c>
      <c r="J1948" s="3">
        <f>+2250546186167</f>
        <v>2250546186167</v>
      </c>
      <c r="K1948" s="1" t="s">
        <v>19</v>
      </c>
      <c r="L1948" s="4" t="s">
        <v>6774</v>
      </c>
    </row>
    <row r="1949">
      <c r="A1949" s="1" t="s">
        <v>12</v>
      </c>
      <c r="B1949" s="1" t="s">
        <v>6775</v>
      </c>
      <c r="C1949" s="1" t="s">
        <v>3107</v>
      </c>
      <c r="D1949" s="1" t="s">
        <v>6776</v>
      </c>
      <c r="E1949" s="2">
        <v>37027.0</v>
      </c>
      <c r="F1949" s="1" t="s">
        <v>167</v>
      </c>
      <c r="G1949" s="1" t="s">
        <v>25</v>
      </c>
      <c r="H1949" s="1" t="s">
        <v>18</v>
      </c>
      <c r="I1949" s="3">
        <f>+2250788447150</f>
        <v>2250788447150</v>
      </c>
      <c r="J1949" s="3">
        <f>+2250759479284</f>
        <v>2250759479284</v>
      </c>
      <c r="K1949" s="1" t="s">
        <v>19</v>
      </c>
      <c r="L1949" s="4" t="s">
        <v>6777</v>
      </c>
    </row>
    <row r="1950">
      <c r="A1950" s="1" t="s">
        <v>12</v>
      </c>
      <c r="B1950" s="1" t="s">
        <v>6778</v>
      </c>
      <c r="C1950" s="1" t="s">
        <v>3107</v>
      </c>
      <c r="D1950" s="1" t="s">
        <v>6779</v>
      </c>
      <c r="E1950" s="2">
        <v>37482.0</v>
      </c>
      <c r="F1950" s="1" t="s">
        <v>416</v>
      </c>
      <c r="G1950" s="1" t="s">
        <v>76</v>
      </c>
      <c r="H1950" s="1" t="s">
        <v>32</v>
      </c>
      <c r="I1950" s="3">
        <f>+2250595099753</f>
        <v>2250595099753</v>
      </c>
      <c r="J1950" s="3">
        <f>+2250707672809</f>
        <v>2250707672809</v>
      </c>
      <c r="K1950" s="1" t="s">
        <v>19</v>
      </c>
      <c r="L1950" s="4" t="s">
        <v>6780</v>
      </c>
    </row>
    <row r="1951">
      <c r="A1951" s="1" t="s">
        <v>12</v>
      </c>
      <c r="B1951" s="1" t="s">
        <v>6781</v>
      </c>
      <c r="C1951" s="1" t="s">
        <v>3107</v>
      </c>
      <c r="D1951" s="1" t="s">
        <v>6782</v>
      </c>
      <c r="E1951" s="2">
        <v>37009.0</v>
      </c>
      <c r="F1951" s="1" t="s">
        <v>62</v>
      </c>
      <c r="G1951" s="1" t="s">
        <v>17</v>
      </c>
      <c r="H1951" s="1" t="s">
        <v>18</v>
      </c>
      <c r="I1951" s="3">
        <f>+2250151078717</f>
        <v>2250151078717</v>
      </c>
      <c r="J1951" s="3">
        <f>+2250707012128</f>
        <v>2250707012128</v>
      </c>
      <c r="K1951" s="1" t="s">
        <v>19</v>
      </c>
      <c r="L1951" s="4" t="s">
        <v>6783</v>
      </c>
    </row>
    <row r="1952">
      <c r="A1952" s="1" t="s">
        <v>12</v>
      </c>
      <c r="B1952" s="1" t="s">
        <v>6784</v>
      </c>
      <c r="C1952" s="1" t="s">
        <v>3107</v>
      </c>
      <c r="D1952" s="1" t="s">
        <v>6785</v>
      </c>
      <c r="E1952" s="2">
        <v>38224.0</v>
      </c>
      <c r="F1952" s="1" t="s">
        <v>81</v>
      </c>
      <c r="G1952" s="1" t="s">
        <v>82</v>
      </c>
      <c r="H1952" s="1" t="s">
        <v>18</v>
      </c>
      <c r="I1952" s="3">
        <f>+2250758474778</f>
        <v>2250758474778</v>
      </c>
      <c r="J1952" s="3">
        <f>+2250707371435</f>
        <v>2250707371435</v>
      </c>
      <c r="K1952" s="1" t="s">
        <v>19</v>
      </c>
      <c r="L1952" s="4" t="s">
        <v>6786</v>
      </c>
    </row>
    <row r="1953">
      <c r="A1953" s="1" t="s">
        <v>12</v>
      </c>
      <c r="B1953" s="1" t="s">
        <v>6787</v>
      </c>
      <c r="C1953" s="1" t="s">
        <v>3107</v>
      </c>
      <c r="D1953" s="1" t="s">
        <v>1671</v>
      </c>
      <c r="E1953" s="5">
        <v>37240.0</v>
      </c>
      <c r="F1953" s="1" t="s">
        <v>62</v>
      </c>
      <c r="G1953" s="1" t="s">
        <v>17</v>
      </c>
      <c r="H1953" s="1" t="s">
        <v>18</v>
      </c>
      <c r="I1953" s="3">
        <f>+2250566646953</f>
        <v>2250566646953</v>
      </c>
      <c r="J1953" s="3">
        <f>+2250173916901</f>
        <v>2250173916901</v>
      </c>
      <c r="K1953" s="1" t="s">
        <v>19</v>
      </c>
      <c r="L1953" s="4" t="s">
        <v>6788</v>
      </c>
    </row>
    <row r="1954">
      <c r="A1954" s="1" t="s">
        <v>12</v>
      </c>
      <c r="B1954" s="1" t="s">
        <v>6789</v>
      </c>
      <c r="C1954" s="1" t="s">
        <v>3107</v>
      </c>
      <c r="D1954" s="1" t="s">
        <v>6790</v>
      </c>
      <c r="E1954" s="2">
        <v>38945.0</v>
      </c>
      <c r="F1954" s="1" t="s">
        <v>351</v>
      </c>
      <c r="G1954" s="1" t="s">
        <v>31</v>
      </c>
      <c r="H1954" s="1" t="s">
        <v>32</v>
      </c>
      <c r="I1954" s="3">
        <f>+2250585102922</f>
        <v>2250585102922</v>
      </c>
      <c r="J1954" s="3">
        <f>+2250141174434</f>
        <v>2250141174434</v>
      </c>
      <c r="K1954" s="1" t="s">
        <v>19</v>
      </c>
      <c r="L1954" s="4" t="s">
        <v>6791</v>
      </c>
    </row>
    <row r="1955">
      <c r="A1955" s="1" t="s">
        <v>12</v>
      </c>
      <c r="B1955" s="1" t="s">
        <v>6792</v>
      </c>
      <c r="C1955" s="1" t="s">
        <v>3107</v>
      </c>
      <c r="D1955" s="1" t="s">
        <v>6049</v>
      </c>
      <c r="E1955" s="5">
        <v>37245.0</v>
      </c>
      <c r="F1955" s="1" t="s">
        <v>167</v>
      </c>
      <c r="G1955" s="1" t="s">
        <v>17</v>
      </c>
      <c r="H1955" s="1" t="s">
        <v>18</v>
      </c>
      <c r="I1955" s="3">
        <f>+2250565991002</f>
        <v>2250565991002</v>
      </c>
      <c r="J1955" s="3">
        <f>+2250505903118</f>
        <v>2250505903118</v>
      </c>
      <c r="K1955" s="1" t="s">
        <v>19</v>
      </c>
      <c r="L1955" s="4" t="s">
        <v>6793</v>
      </c>
    </row>
    <row r="1956">
      <c r="A1956" s="1" t="s">
        <v>12</v>
      </c>
      <c r="B1956" s="1" t="s">
        <v>6794</v>
      </c>
      <c r="C1956" s="1" t="s">
        <v>3107</v>
      </c>
      <c r="D1956" s="1" t="s">
        <v>6795</v>
      </c>
      <c r="E1956" s="2">
        <v>35904.0</v>
      </c>
      <c r="F1956" s="1" t="s">
        <v>101</v>
      </c>
      <c r="G1956" s="1" t="s">
        <v>31</v>
      </c>
      <c r="H1956" s="1" t="s">
        <v>32</v>
      </c>
      <c r="I1956" s="3">
        <f>+2250500641437</f>
        <v>2250500641437</v>
      </c>
      <c r="J1956" s="3">
        <f>+2250554823525</f>
        <v>2250554823525</v>
      </c>
      <c r="K1956" s="1" t="s">
        <v>19</v>
      </c>
      <c r="L1956" s="4" t="s">
        <v>6796</v>
      </c>
    </row>
    <row r="1957">
      <c r="A1957" s="1" t="s">
        <v>12</v>
      </c>
      <c r="B1957" s="1" t="s">
        <v>6797</v>
      </c>
      <c r="C1957" s="1" t="s">
        <v>3107</v>
      </c>
      <c r="D1957" s="1" t="s">
        <v>6798</v>
      </c>
      <c r="E1957" s="5">
        <v>37242.0</v>
      </c>
      <c r="F1957" s="1" t="s">
        <v>16</v>
      </c>
      <c r="G1957" s="1" t="s">
        <v>25</v>
      </c>
      <c r="H1957" s="1" t="s">
        <v>18</v>
      </c>
      <c r="I1957" s="3">
        <f>+2250749832751</f>
        <v>2250749832751</v>
      </c>
      <c r="J1957" s="3">
        <f>+2250708546942</f>
        <v>2250708546942</v>
      </c>
      <c r="K1957" s="1" t="s">
        <v>19</v>
      </c>
      <c r="L1957" s="4" t="s">
        <v>6799</v>
      </c>
    </row>
    <row r="1958">
      <c r="A1958" s="1" t="s">
        <v>12</v>
      </c>
      <c r="B1958" s="1" t="s">
        <v>6800</v>
      </c>
      <c r="C1958" s="1" t="s">
        <v>3107</v>
      </c>
      <c r="D1958" s="1" t="s">
        <v>6801</v>
      </c>
      <c r="E1958" s="2">
        <v>38154.0</v>
      </c>
      <c r="F1958" s="1" t="s">
        <v>48</v>
      </c>
      <c r="G1958" s="1" t="s">
        <v>76</v>
      </c>
      <c r="H1958" s="1" t="s">
        <v>32</v>
      </c>
      <c r="I1958" s="3">
        <f>+2250555332104</f>
        <v>2250555332104</v>
      </c>
      <c r="J1958" s="3">
        <f>+2250102026626</f>
        <v>2250102026626</v>
      </c>
      <c r="K1958" s="1" t="s">
        <v>19</v>
      </c>
      <c r="L1958" s="4" t="s">
        <v>6802</v>
      </c>
    </row>
    <row r="1959">
      <c r="A1959" s="1" t="s">
        <v>12</v>
      </c>
      <c r="B1959" s="1" t="s">
        <v>6803</v>
      </c>
      <c r="C1959" s="1" t="s">
        <v>3107</v>
      </c>
      <c r="D1959" s="1" t="s">
        <v>6804</v>
      </c>
      <c r="E1959" s="2">
        <v>38097.0</v>
      </c>
      <c r="F1959" s="1" t="s">
        <v>48</v>
      </c>
      <c r="G1959" s="1" t="s">
        <v>76</v>
      </c>
      <c r="H1959" s="1" t="s">
        <v>32</v>
      </c>
      <c r="I1959" s="3">
        <f>+2250701449271</f>
        <v>2250701449271</v>
      </c>
      <c r="J1959" s="3">
        <f>+2250709876329</f>
        <v>2250709876329</v>
      </c>
      <c r="K1959" s="1" t="s">
        <v>19</v>
      </c>
      <c r="L1959" s="4" t="s">
        <v>6805</v>
      </c>
    </row>
    <row r="1960">
      <c r="A1960" s="1" t="s">
        <v>12</v>
      </c>
      <c r="B1960" s="1" t="s">
        <v>6806</v>
      </c>
      <c r="C1960" s="1" t="s">
        <v>3107</v>
      </c>
      <c r="D1960" s="1" t="s">
        <v>6807</v>
      </c>
      <c r="E1960" s="5">
        <v>37575.0</v>
      </c>
      <c r="F1960" s="1" t="s">
        <v>70</v>
      </c>
      <c r="G1960" s="1" t="s">
        <v>76</v>
      </c>
      <c r="H1960" s="1" t="s">
        <v>32</v>
      </c>
      <c r="I1960" s="3">
        <f>+2250170567528</f>
        <v>2250170567528</v>
      </c>
      <c r="J1960" s="3">
        <f>+2250747816285</f>
        <v>2250747816285</v>
      </c>
      <c r="K1960" s="1" t="s">
        <v>19</v>
      </c>
      <c r="L1960" s="4" t="s">
        <v>6808</v>
      </c>
    </row>
    <row r="1961">
      <c r="A1961" s="1" t="s">
        <v>12</v>
      </c>
      <c r="B1961" s="1" t="s">
        <v>6809</v>
      </c>
      <c r="C1961" s="1" t="s">
        <v>3107</v>
      </c>
      <c r="D1961" s="1" t="s">
        <v>2774</v>
      </c>
      <c r="E1961" s="2">
        <v>36179.0</v>
      </c>
      <c r="F1961" s="1" t="s">
        <v>92</v>
      </c>
      <c r="G1961" s="1" t="s">
        <v>31</v>
      </c>
      <c r="H1961" s="1" t="s">
        <v>32</v>
      </c>
      <c r="I1961" s="3">
        <f>+2250748474987</f>
        <v>2250748474987</v>
      </c>
      <c r="J1961" s="3">
        <f>+2250708298719</f>
        <v>2250708298719</v>
      </c>
      <c r="K1961" s="1" t="s">
        <v>19</v>
      </c>
      <c r="L1961" s="4" t="s">
        <v>6810</v>
      </c>
    </row>
    <row r="1962">
      <c r="A1962" s="1" t="s">
        <v>12</v>
      </c>
      <c r="B1962" s="1" t="s">
        <v>6811</v>
      </c>
      <c r="C1962" s="1" t="s">
        <v>3107</v>
      </c>
      <c r="D1962" s="1" t="s">
        <v>6812</v>
      </c>
      <c r="E1962" s="5">
        <v>37620.0</v>
      </c>
      <c r="F1962" s="1" t="s">
        <v>24</v>
      </c>
      <c r="G1962" s="1" t="s">
        <v>82</v>
      </c>
      <c r="H1962" s="1" t="s">
        <v>18</v>
      </c>
      <c r="I1962" s="3">
        <f>+2250502556653</f>
        <v>2250502556653</v>
      </c>
      <c r="J1962" s="3">
        <f>+2250797366189</f>
        <v>2250797366189</v>
      </c>
      <c r="K1962" s="1" t="s">
        <v>19</v>
      </c>
      <c r="L1962" s="4" t="s">
        <v>6813</v>
      </c>
    </row>
    <row r="1963">
      <c r="A1963" s="1" t="s">
        <v>12</v>
      </c>
      <c r="B1963" s="1" t="s">
        <v>6814</v>
      </c>
      <c r="C1963" s="1" t="s">
        <v>3107</v>
      </c>
      <c r="D1963" s="1" t="s">
        <v>6815</v>
      </c>
      <c r="E1963" s="5">
        <v>38686.0</v>
      </c>
      <c r="F1963" s="1" t="s">
        <v>53</v>
      </c>
      <c r="G1963" s="1" t="s">
        <v>25</v>
      </c>
      <c r="H1963" s="1" t="s">
        <v>18</v>
      </c>
      <c r="I1963" s="3">
        <f>+2250172843381</f>
        <v>2250172843381</v>
      </c>
      <c r="J1963" s="3">
        <f>+2250102273739</f>
        <v>2250102273739</v>
      </c>
      <c r="K1963" s="1" t="s">
        <v>19</v>
      </c>
      <c r="L1963" s="4" t="s">
        <v>6816</v>
      </c>
    </row>
    <row r="1964">
      <c r="A1964" s="1" t="s">
        <v>12</v>
      </c>
      <c r="B1964" s="1" t="s">
        <v>6817</v>
      </c>
      <c r="C1964" s="1" t="s">
        <v>3107</v>
      </c>
      <c r="D1964" s="1" t="s">
        <v>6818</v>
      </c>
      <c r="E1964" s="2">
        <v>35012.0</v>
      </c>
      <c r="F1964" s="1" t="s">
        <v>570</v>
      </c>
      <c r="G1964" s="1" t="s">
        <v>82</v>
      </c>
      <c r="H1964" s="1" t="s">
        <v>18</v>
      </c>
      <c r="I1964" s="3">
        <f>+2250778953429</f>
        <v>2250778953429</v>
      </c>
      <c r="J1964" s="3">
        <f>+2250749997274</f>
        <v>2250749997274</v>
      </c>
      <c r="K1964" s="1" t="s">
        <v>19</v>
      </c>
      <c r="L1964" s="4" t="s">
        <v>6819</v>
      </c>
    </row>
    <row r="1965">
      <c r="A1965" s="1" t="s">
        <v>12</v>
      </c>
      <c r="B1965" s="1" t="s">
        <v>6820</v>
      </c>
      <c r="C1965" s="1" t="s">
        <v>3107</v>
      </c>
      <c r="D1965" s="1" t="s">
        <v>6821</v>
      </c>
      <c r="E1965" s="5">
        <v>37184.0</v>
      </c>
      <c r="F1965" s="1" t="s">
        <v>101</v>
      </c>
      <c r="G1965" s="1" t="s">
        <v>31</v>
      </c>
      <c r="H1965" s="1" t="s">
        <v>32</v>
      </c>
      <c r="I1965" s="3">
        <f>+2250747247124</f>
        <v>2250747247124</v>
      </c>
      <c r="J1965" s="3">
        <f>+2250707686909</f>
        <v>2250707686909</v>
      </c>
      <c r="K1965" s="1" t="s">
        <v>19</v>
      </c>
      <c r="L1965" s="4" t="s">
        <v>6822</v>
      </c>
    </row>
    <row r="1966">
      <c r="A1966" s="1" t="s">
        <v>12</v>
      </c>
      <c r="B1966" s="1" t="s">
        <v>6823</v>
      </c>
      <c r="C1966" s="1" t="s">
        <v>3107</v>
      </c>
      <c r="D1966" s="1" t="s">
        <v>1973</v>
      </c>
      <c r="E1966" s="2">
        <v>36193.0</v>
      </c>
      <c r="F1966" s="1" t="s">
        <v>147</v>
      </c>
      <c r="G1966" s="1" t="s">
        <v>17</v>
      </c>
      <c r="H1966" s="1" t="s">
        <v>18</v>
      </c>
      <c r="I1966" s="3">
        <f>+2250758603229</f>
        <v>2250758603229</v>
      </c>
      <c r="J1966" s="3">
        <f>+2250757456529</f>
        <v>2250757456529</v>
      </c>
      <c r="K1966" s="1" t="s">
        <v>19</v>
      </c>
      <c r="L1966" s="4" t="s">
        <v>6824</v>
      </c>
    </row>
    <row r="1967">
      <c r="A1967" s="1" t="s">
        <v>12</v>
      </c>
      <c r="B1967" s="1" t="s">
        <v>6825</v>
      </c>
      <c r="C1967" s="1" t="s">
        <v>3107</v>
      </c>
      <c r="D1967" s="1" t="s">
        <v>1756</v>
      </c>
      <c r="E1967" s="2">
        <v>38153.0</v>
      </c>
      <c r="F1967" s="1" t="s">
        <v>16</v>
      </c>
      <c r="G1967" s="1" t="s">
        <v>25</v>
      </c>
      <c r="H1967" s="1" t="s">
        <v>18</v>
      </c>
      <c r="I1967" s="3">
        <f>+2250545672349</f>
        <v>2250545672349</v>
      </c>
      <c r="J1967" s="3">
        <f>+2250506676908</f>
        <v>2250506676908</v>
      </c>
      <c r="K1967" s="1" t="s">
        <v>19</v>
      </c>
      <c r="L1967" s="4" t="s">
        <v>6826</v>
      </c>
    </row>
    <row r="1968">
      <c r="A1968" s="1" t="s">
        <v>12</v>
      </c>
      <c r="B1968" s="1" t="s">
        <v>6827</v>
      </c>
      <c r="C1968" s="1" t="s">
        <v>3107</v>
      </c>
      <c r="D1968" s="1" t="s">
        <v>6828</v>
      </c>
      <c r="E1968" s="2">
        <v>37360.0</v>
      </c>
      <c r="F1968" s="1" t="s">
        <v>16</v>
      </c>
      <c r="G1968" s="1" t="s">
        <v>17</v>
      </c>
      <c r="H1968" s="1" t="s">
        <v>18</v>
      </c>
      <c r="I1968" s="3">
        <f>+2250757450649</f>
        <v>2250757450649</v>
      </c>
      <c r="J1968" s="3">
        <f>+2250575884946</f>
        <v>2250575884946</v>
      </c>
      <c r="K1968" s="1" t="s">
        <v>19</v>
      </c>
      <c r="L1968" s="4" t="s">
        <v>6829</v>
      </c>
    </row>
    <row r="1969">
      <c r="A1969" s="1" t="s">
        <v>12</v>
      </c>
      <c r="B1969" s="1" t="s">
        <v>6830</v>
      </c>
      <c r="C1969" s="1" t="s">
        <v>3107</v>
      </c>
      <c r="D1969" s="1" t="s">
        <v>6831</v>
      </c>
      <c r="E1969" s="5">
        <v>37612.0</v>
      </c>
      <c r="F1969" s="1" t="s">
        <v>167</v>
      </c>
      <c r="G1969" s="1" t="s">
        <v>17</v>
      </c>
      <c r="H1969" s="1" t="s">
        <v>18</v>
      </c>
      <c r="I1969" s="3">
        <f>+2250767300723</f>
        <v>2250767300723</v>
      </c>
      <c r="J1969" s="3">
        <f>+2250768363726</f>
        <v>2250768363726</v>
      </c>
      <c r="K1969" s="1" t="s">
        <v>19</v>
      </c>
      <c r="L1969" s="4" t="s">
        <v>6832</v>
      </c>
    </row>
    <row r="1970">
      <c r="A1970" s="1" t="s">
        <v>12</v>
      </c>
      <c r="B1970" s="1" t="s">
        <v>6833</v>
      </c>
      <c r="C1970" s="1" t="s">
        <v>3107</v>
      </c>
      <c r="D1970" s="1" t="s">
        <v>6834</v>
      </c>
      <c r="E1970" s="2">
        <v>38329.0</v>
      </c>
      <c r="F1970" s="1" t="s">
        <v>53</v>
      </c>
      <c r="G1970" s="1" t="s">
        <v>17</v>
      </c>
      <c r="H1970" s="1" t="s">
        <v>18</v>
      </c>
      <c r="I1970" s="3">
        <f>+2250798731048</f>
        <v>2250798731048</v>
      </c>
      <c r="J1970" s="3">
        <f>+2250102072824</f>
        <v>2250102072824</v>
      </c>
      <c r="K1970" s="1" t="s">
        <v>19</v>
      </c>
      <c r="L1970" s="4" t="s">
        <v>6835</v>
      </c>
    </row>
    <row r="1971">
      <c r="A1971" s="1" t="s">
        <v>12</v>
      </c>
      <c r="B1971" s="1" t="s">
        <v>6836</v>
      </c>
      <c r="C1971" s="1" t="s">
        <v>3107</v>
      </c>
      <c r="D1971" s="1" t="s">
        <v>6837</v>
      </c>
      <c r="E1971" s="5">
        <v>37921.0</v>
      </c>
      <c r="F1971" s="1" t="s">
        <v>288</v>
      </c>
      <c r="G1971" s="1" t="s">
        <v>31</v>
      </c>
      <c r="H1971" s="1" t="s">
        <v>32</v>
      </c>
      <c r="I1971" s="3">
        <f>+2250576264505</f>
        <v>2250576264505</v>
      </c>
      <c r="J1971" s="3">
        <f>+2250769020138</f>
        <v>2250769020138</v>
      </c>
      <c r="K1971" s="1" t="s">
        <v>19</v>
      </c>
      <c r="L1971" s="4" t="s">
        <v>6838</v>
      </c>
    </row>
    <row r="1972">
      <c r="A1972" s="1" t="s">
        <v>12</v>
      </c>
      <c r="B1972" s="1" t="s">
        <v>6839</v>
      </c>
      <c r="C1972" s="1" t="s">
        <v>3107</v>
      </c>
      <c r="D1972" s="1" t="s">
        <v>6840</v>
      </c>
      <c r="E1972" s="5">
        <v>37216.0</v>
      </c>
      <c r="F1972" s="1" t="s">
        <v>30</v>
      </c>
      <c r="G1972" s="1" t="s">
        <v>76</v>
      </c>
      <c r="H1972" s="1" t="s">
        <v>32</v>
      </c>
      <c r="I1972" s="3">
        <f>+2250708523060</f>
        <v>2250708523060</v>
      </c>
      <c r="J1972" s="3">
        <f>+2250707930635</f>
        <v>2250707930635</v>
      </c>
      <c r="K1972" s="1" t="s">
        <v>19</v>
      </c>
      <c r="L1972" s="4" t="s">
        <v>6841</v>
      </c>
    </row>
    <row r="1973">
      <c r="A1973" s="1" t="s">
        <v>12</v>
      </c>
      <c r="B1973" s="1" t="s">
        <v>6842</v>
      </c>
      <c r="C1973" s="1" t="s">
        <v>3107</v>
      </c>
      <c r="D1973" s="1" t="s">
        <v>6843</v>
      </c>
      <c r="E1973" s="2">
        <v>38138.0</v>
      </c>
      <c r="F1973" s="1" t="s">
        <v>16</v>
      </c>
      <c r="G1973" s="1" t="s">
        <v>17</v>
      </c>
      <c r="H1973" s="1" t="s">
        <v>18</v>
      </c>
      <c r="I1973" s="3">
        <f>+2250556782236</f>
        <v>2250556782236</v>
      </c>
      <c r="J1973" s="3">
        <f>+2250707997483</f>
        <v>2250707997483</v>
      </c>
      <c r="K1973" s="1" t="s">
        <v>19</v>
      </c>
      <c r="L1973" s="4" t="s">
        <v>6844</v>
      </c>
    </row>
    <row r="1974">
      <c r="A1974" s="1" t="s">
        <v>12</v>
      </c>
      <c r="B1974" s="1" t="s">
        <v>6845</v>
      </c>
      <c r="C1974" s="1" t="s">
        <v>3107</v>
      </c>
      <c r="D1974" s="1" t="s">
        <v>6846</v>
      </c>
      <c r="E1974" s="5">
        <v>37611.0</v>
      </c>
      <c r="F1974" s="1" t="s">
        <v>155</v>
      </c>
      <c r="G1974" s="1" t="s">
        <v>31</v>
      </c>
      <c r="H1974" s="1" t="s">
        <v>32</v>
      </c>
      <c r="I1974" s="3">
        <f>+2250711361126</f>
        <v>2250711361126</v>
      </c>
      <c r="J1974" s="3">
        <f>+2250757369444</f>
        <v>2250757369444</v>
      </c>
      <c r="K1974" s="1" t="s">
        <v>19</v>
      </c>
      <c r="L1974" s="4" t="s">
        <v>6847</v>
      </c>
    </row>
    <row r="1975">
      <c r="A1975" s="1" t="s">
        <v>12</v>
      </c>
      <c r="B1975" s="1" t="s">
        <v>6848</v>
      </c>
      <c r="C1975" s="1" t="s">
        <v>3107</v>
      </c>
      <c r="D1975" s="1" t="s">
        <v>4438</v>
      </c>
      <c r="E1975" s="2">
        <v>37678.0</v>
      </c>
      <c r="F1975" s="1" t="s">
        <v>87</v>
      </c>
      <c r="G1975" s="1" t="s">
        <v>76</v>
      </c>
      <c r="H1975" s="1" t="s">
        <v>32</v>
      </c>
      <c r="I1975" s="3">
        <f>+2250706562009</f>
        <v>2250706562009</v>
      </c>
      <c r="J1975" s="3">
        <f>+2250101627358</f>
        <v>2250101627358</v>
      </c>
      <c r="K1975" s="1" t="s">
        <v>19</v>
      </c>
      <c r="L1975" s="4" t="s">
        <v>6849</v>
      </c>
    </row>
    <row r="1976">
      <c r="A1976" s="1" t="s">
        <v>12</v>
      </c>
      <c r="B1976" s="1" t="s">
        <v>6850</v>
      </c>
      <c r="C1976" s="1" t="s">
        <v>3107</v>
      </c>
      <c r="D1976" s="1" t="s">
        <v>6851</v>
      </c>
      <c r="E1976" s="5">
        <v>37219.0</v>
      </c>
      <c r="F1976" s="1" t="s">
        <v>570</v>
      </c>
      <c r="G1976" s="1" t="s">
        <v>82</v>
      </c>
      <c r="H1976" s="1" t="s">
        <v>18</v>
      </c>
      <c r="I1976" s="3">
        <f>+2250747599450</f>
        <v>2250747599450</v>
      </c>
      <c r="J1976" s="3">
        <f>+2250708121228</f>
        <v>2250708121228</v>
      </c>
      <c r="K1976" s="1" t="s">
        <v>19</v>
      </c>
      <c r="L1976" s="4" t="s">
        <v>6852</v>
      </c>
    </row>
    <row r="1977">
      <c r="A1977" s="1" t="s">
        <v>12</v>
      </c>
      <c r="B1977" s="1" t="s">
        <v>6853</v>
      </c>
      <c r="C1977" s="1" t="s">
        <v>3107</v>
      </c>
      <c r="D1977" s="1" t="s">
        <v>3461</v>
      </c>
      <c r="E1977" s="2">
        <v>38185.0</v>
      </c>
      <c r="F1977" s="1" t="s">
        <v>62</v>
      </c>
      <c r="G1977" s="1" t="s">
        <v>17</v>
      </c>
      <c r="H1977" s="1" t="s">
        <v>18</v>
      </c>
      <c r="I1977" s="3">
        <f>+2250709385619</f>
        <v>2250709385619</v>
      </c>
      <c r="J1977" s="3">
        <f>+2250709071231</f>
        <v>2250709071231</v>
      </c>
      <c r="K1977" s="1" t="s">
        <v>19</v>
      </c>
      <c r="L1977" s="4" t="s">
        <v>6854</v>
      </c>
    </row>
    <row r="1978">
      <c r="A1978" s="1" t="s">
        <v>12</v>
      </c>
      <c r="B1978" s="1" t="s">
        <v>6855</v>
      </c>
      <c r="C1978" s="1" t="s">
        <v>3107</v>
      </c>
      <c r="D1978" s="1" t="s">
        <v>1853</v>
      </c>
      <c r="E1978" s="2">
        <v>37257.0</v>
      </c>
      <c r="F1978" s="1" t="s">
        <v>16</v>
      </c>
      <c r="G1978" s="1" t="s">
        <v>25</v>
      </c>
      <c r="H1978" s="1" t="s">
        <v>18</v>
      </c>
      <c r="I1978" s="3">
        <f>+2250596125621</f>
        <v>2250596125621</v>
      </c>
      <c r="J1978" s="3">
        <f>+2250708736713</f>
        <v>2250708736713</v>
      </c>
      <c r="K1978" s="1" t="s">
        <v>19</v>
      </c>
      <c r="L1978" s="4" t="s">
        <v>6856</v>
      </c>
    </row>
    <row r="1979">
      <c r="A1979" s="1" t="s">
        <v>12</v>
      </c>
      <c r="B1979" s="1" t="s">
        <v>6857</v>
      </c>
      <c r="C1979" s="1" t="s">
        <v>3107</v>
      </c>
      <c r="D1979" s="1" t="s">
        <v>1853</v>
      </c>
      <c r="E1979" s="2">
        <v>37665.0</v>
      </c>
      <c r="F1979" s="1" t="s">
        <v>101</v>
      </c>
      <c r="G1979" s="1" t="s">
        <v>31</v>
      </c>
      <c r="H1979" s="1" t="s">
        <v>32</v>
      </c>
      <c r="I1979" s="3">
        <f>+2250758419941</f>
        <v>2250758419941</v>
      </c>
      <c r="J1979" s="3">
        <f>+2250707969469</f>
        <v>2250707969469</v>
      </c>
      <c r="K1979" s="1" t="s">
        <v>19</v>
      </c>
      <c r="L1979" s="4" t="s">
        <v>6858</v>
      </c>
    </row>
    <row r="1980">
      <c r="A1980" s="1" t="s">
        <v>12</v>
      </c>
      <c r="B1980" s="1" t="s">
        <v>6859</v>
      </c>
      <c r="C1980" s="1" t="s">
        <v>3107</v>
      </c>
      <c r="D1980" s="1" t="s">
        <v>1853</v>
      </c>
      <c r="E1980" s="2">
        <v>36672.0</v>
      </c>
      <c r="F1980" s="1" t="s">
        <v>48</v>
      </c>
      <c r="G1980" s="1" t="s">
        <v>31</v>
      </c>
      <c r="H1980" s="1" t="s">
        <v>32</v>
      </c>
      <c r="I1980" s="3">
        <f>+2250747185104</f>
        <v>2250747185104</v>
      </c>
      <c r="J1980" s="3">
        <f>+2250708402121</f>
        <v>2250708402121</v>
      </c>
      <c r="K1980" s="1" t="s">
        <v>19</v>
      </c>
      <c r="L1980" s="4" t="s">
        <v>6860</v>
      </c>
    </row>
    <row r="1981">
      <c r="A1981" s="1" t="s">
        <v>12</v>
      </c>
      <c r="B1981" s="1" t="s">
        <v>6861</v>
      </c>
      <c r="C1981" s="1" t="s">
        <v>3107</v>
      </c>
      <c r="D1981" s="1" t="s">
        <v>1643</v>
      </c>
      <c r="E1981" s="5">
        <v>37614.0</v>
      </c>
      <c r="F1981" s="1" t="s">
        <v>167</v>
      </c>
      <c r="G1981" s="1" t="s">
        <v>17</v>
      </c>
      <c r="H1981" s="1" t="s">
        <v>18</v>
      </c>
      <c r="I1981" s="3">
        <f>+2250749088658</f>
        <v>2250749088658</v>
      </c>
      <c r="J1981" s="3">
        <f>+2250748131861</f>
        <v>2250748131861</v>
      </c>
      <c r="K1981" s="1" t="s">
        <v>19</v>
      </c>
      <c r="L1981" s="4" t="s">
        <v>6862</v>
      </c>
    </row>
    <row r="1982">
      <c r="A1982" s="1" t="s">
        <v>12</v>
      </c>
      <c r="B1982" s="1" t="s">
        <v>6863</v>
      </c>
      <c r="C1982" s="1" t="s">
        <v>3107</v>
      </c>
      <c r="D1982" s="1" t="s">
        <v>1643</v>
      </c>
      <c r="E1982" s="2">
        <v>37569.0</v>
      </c>
      <c r="F1982" s="1" t="s">
        <v>24</v>
      </c>
      <c r="G1982" s="1" t="s">
        <v>82</v>
      </c>
      <c r="H1982" s="1" t="s">
        <v>18</v>
      </c>
      <c r="I1982" s="3">
        <f>+2250545354000</f>
        <v>2250545354000</v>
      </c>
      <c r="J1982" s="3">
        <f>+2250546625646</f>
        <v>2250546625646</v>
      </c>
      <c r="K1982" s="1" t="s">
        <v>19</v>
      </c>
      <c r="L1982" s="4" t="s">
        <v>6864</v>
      </c>
    </row>
    <row r="1983">
      <c r="A1983" s="1" t="s">
        <v>12</v>
      </c>
      <c r="B1983" s="1" t="s">
        <v>6865</v>
      </c>
      <c r="C1983" s="1" t="s">
        <v>3107</v>
      </c>
      <c r="D1983" s="1" t="s">
        <v>6866</v>
      </c>
      <c r="E1983" s="2">
        <v>38893.0</v>
      </c>
      <c r="F1983" s="1" t="s">
        <v>351</v>
      </c>
      <c r="G1983" s="1" t="s">
        <v>76</v>
      </c>
      <c r="H1983" s="1" t="s">
        <v>32</v>
      </c>
      <c r="I1983" s="3">
        <f>+2250172727468</f>
        <v>2250172727468</v>
      </c>
      <c r="J1983" s="3">
        <f>+2250101958737</f>
        <v>2250101958737</v>
      </c>
      <c r="K1983" s="1" t="s">
        <v>19</v>
      </c>
      <c r="L1983" s="4" t="s">
        <v>6867</v>
      </c>
    </row>
    <row r="1984">
      <c r="A1984" s="1" t="s">
        <v>12</v>
      </c>
      <c r="B1984" s="1" t="s">
        <v>6868</v>
      </c>
      <c r="C1984" s="1" t="s">
        <v>3107</v>
      </c>
      <c r="D1984" s="1" t="s">
        <v>1774</v>
      </c>
      <c r="E1984" s="2">
        <v>36465.0</v>
      </c>
      <c r="F1984" s="1" t="s">
        <v>16</v>
      </c>
      <c r="G1984" s="1" t="s">
        <v>17</v>
      </c>
      <c r="H1984" s="1" t="s">
        <v>18</v>
      </c>
      <c r="I1984" s="3">
        <f>+2250555428808</f>
        <v>2250555428808</v>
      </c>
      <c r="J1984" s="3">
        <f>+2250505125367</f>
        <v>2250505125367</v>
      </c>
      <c r="K1984" s="1" t="s">
        <v>19</v>
      </c>
      <c r="L1984" s="4" t="s">
        <v>6869</v>
      </c>
    </row>
    <row r="1985">
      <c r="A1985" s="1" t="s">
        <v>12</v>
      </c>
      <c r="B1985" s="1" t="s">
        <v>6870</v>
      </c>
      <c r="C1985" s="1" t="s">
        <v>3107</v>
      </c>
      <c r="D1985" s="1" t="s">
        <v>1774</v>
      </c>
      <c r="E1985" s="2">
        <v>38154.0</v>
      </c>
      <c r="F1985" s="1" t="s">
        <v>16</v>
      </c>
      <c r="G1985" s="1" t="s">
        <v>17</v>
      </c>
      <c r="H1985" s="1" t="s">
        <v>18</v>
      </c>
      <c r="I1985" s="3">
        <f>+2250749524593</f>
        <v>2250749524593</v>
      </c>
      <c r="J1985" s="3">
        <f>+2250707091028</f>
        <v>2250707091028</v>
      </c>
      <c r="K1985" s="1" t="s">
        <v>19</v>
      </c>
      <c r="L1985" s="4" t="s">
        <v>6871</v>
      </c>
    </row>
    <row r="1986">
      <c r="A1986" s="1" t="s">
        <v>12</v>
      </c>
      <c r="B1986" s="1" t="s">
        <v>6872</v>
      </c>
      <c r="C1986" s="1" t="s">
        <v>3107</v>
      </c>
      <c r="D1986" s="1" t="s">
        <v>1774</v>
      </c>
      <c r="E1986" s="2">
        <v>37532.0</v>
      </c>
      <c r="F1986" s="1" t="s">
        <v>62</v>
      </c>
      <c r="G1986" s="1" t="s">
        <v>25</v>
      </c>
      <c r="H1986" s="1" t="s">
        <v>18</v>
      </c>
      <c r="I1986" s="3">
        <f>+2250544663938</f>
        <v>2250544663938</v>
      </c>
      <c r="J1986" s="3">
        <f>+2250707059460</f>
        <v>2250707059460</v>
      </c>
      <c r="K1986" s="1" t="s">
        <v>19</v>
      </c>
      <c r="L1986" s="4" t="s">
        <v>6873</v>
      </c>
    </row>
    <row r="1987">
      <c r="A1987" s="1" t="s">
        <v>12</v>
      </c>
      <c r="B1987" s="1" t="s">
        <v>6874</v>
      </c>
      <c r="C1987" s="1" t="s">
        <v>3107</v>
      </c>
      <c r="D1987" s="1" t="s">
        <v>6875</v>
      </c>
      <c r="E1987" s="2">
        <v>38176.0</v>
      </c>
      <c r="F1987" s="1" t="s">
        <v>62</v>
      </c>
      <c r="G1987" s="1" t="s">
        <v>25</v>
      </c>
      <c r="H1987" s="1" t="s">
        <v>18</v>
      </c>
      <c r="I1987" s="3">
        <f>+2250711135305</f>
        <v>2250711135305</v>
      </c>
      <c r="J1987" s="3">
        <f>+2250505244839</f>
        <v>2250505244839</v>
      </c>
      <c r="K1987" s="1" t="s">
        <v>19</v>
      </c>
      <c r="L1987" s="4" t="s">
        <v>6876</v>
      </c>
    </row>
    <row r="1988">
      <c r="A1988" s="1" t="s">
        <v>12</v>
      </c>
      <c r="B1988" s="1" t="s">
        <v>6877</v>
      </c>
      <c r="C1988" s="1" t="s">
        <v>3107</v>
      </c>
      <c r="D1988" s="1" t="s">
        <v>6878</v>
      </c>
      <c r="E1988" s="2">
        <v>38593.0</v>
      </c>
      <c r="F1988" s="1" t="s">
        <v>62</v>
      </c>
      <c r="G1988" s="1" t="s">
        <v>25</v>
      </c>
      <c r="H1988" s="1" t="s">
        <v>18</v>
      </c>
      <c r="I1988" s="3">
        <f>+2250773444243</f>
        <v>2250773444243</v>
      </c>
      <c r="J1988" s="3">
        <f>+2250707836777</f>
        <v>2250707836777</v>
      </c>
      <c r="K1988" s="1" t="s">
        <v>19</v>
      </c>
      <c r="L1988" s="4" t="s">
        <v>6879</v>
      </c>
    </row>
    <row r="1989">
      <c r="A1989" s="1" t="s">
        <v>12</v>
      </c>
      <c r="B1989" s="1" t="s">
        <v>6880</v>
      </c>
      <c r="C1989" s="1" t="s">
        <v>3107</v>
      </c>
      <c r="D1989" s="1" t="s">
        <v>3575</v>
      </c>
      <c r="E1989" s="2">
        <v>38002.0</v>
      </c>
      <c r="F1989" s="1" t="s">
        <v>92</v>
      </c>
      <c r="G1989" s="1" t="s">
        <v>76</v>
      </c>
      <c r="H1989" s="1" t="s">
        <v>32</v>
      </c>
      <c r="I1989" s="3">
        <f>+2250758476011</f>
        <v>2250758476011</v>
      </c>
      <c r="J1989" s="3">
        <f>+2250506281091</f>
        <v>2250506281091</v>
      </c>
      <c r="K1989" s="1" t="s">
        <v>19</v>
      </c>
      <c r="L1989" s="4" t="s">
        <v>6881</v>
      </c>
    </row>
    <row r="1990">
      <c r="A1990" s="1" t="s">
        <v>12</v>
      </c>
      <c r="B1990" s="1" t="s">
        <v>6882</v>
      </c>
      <c r="C1990" s="1" t="s">
        <v>3107</v>
      </c>
      <c r="D1990" s="1" t="s">
        <v>3575</v>
      </c>
      <c r="E1990" s="2">
        <v>38487.0</v>
      </c>
      <c r="F1990" s="1" t="s">
        <v>62</v>
      </c>
      <c r="G1990" s="1" t="s">
        <v>25</v>
      </c>
      <c r="H1990" s="1" t="s">
        <v>18</v>
      </c>
      <c r="I1990" s="3">
        <f>+2250595933656</f>
        <v>2250595933656</v>
      </c>
      <c r="J1990" s="3">
        <f>+2250789322186</f>
        <v>2250789322186</v>
      </c>
      <c r="K1990" s="1" t="s">
        <v>19</v>
      </c>
      <c r="L1990" s="4" t="s">
        <v>6883</v>
      </c>
    </row>
    <row r="1991">
      <c r="A1991" s="1" t="s">
        <v>12</v>
      </c>
      <c r="B1991" s="1" t="s">
        <v>6884</v>
      </c>
      <c r="C1991" s="1" t="s">
        <v>3107</v>
      </c>
      <c r="D1991" s="1" t="s">
        <v>6885</v>
      </c>
      <c r="E1991" s="2">
        <v>37261.0</v>
      </c>
      <c r="F1991" s="1" t="s">
        <v>138</v>
      </c>
      <c r="G1991" s="1" t="s">
        <v>31</v>
      </c>
      <c r="H1991" s="1" t="s">
        <v>32</v>
      </c>
      <c r="I1991" s="3">
        <f>+2250749413735</f>
        <v>2250749413735</v>
      </c>
      <c r="J1991" s="3">
        <f>+2250501988998</f>
        <v>2250501988998</v>
      </c>
      <c r="K1991" s="1" t="s">
        <v>19</v>
      </c>
      <c r="L1991" s="4" t="s">
        <v>6886</v>
      </c>
    </row>
    <row r="1992">
      <c r="A1992" s="1" t="s">
        <v>12</v>
      </c>
      <c r="B1992" s="1" t="s">
        <v>6887</v>
      </c>
      <c r="C1992" s="1" t="s">
        <v>3107</v>
      </c>
      <c r="D1992" s="1" t="s">
        <v>2806</v>
      </c>
      <c r="E1992" s="2">
        <v>36653.0</v>
      </c>
      <c r="F1992" s="1" t="s">
        <v>16</v>
      </c>
      <c r="G1992" s="1" t="s">
        <v>17</v>
      </c>
      <c r="H1992" s="1" t="s">
        <v>18</v>
      </c>
      <c r="I1992" s="3">
        <f>+2250141637327</f>
        <v>2250141637327</v>
      </c>
      <c r="J1992" s="3">
        <f>+2250709719117</f>
        <v>2250709719117</v>
      </c>
      <c r="K1992" s="1" t="s">
        <v>19</v>
      </c>
      <c r="L1992" s="4" t="s">
        <v>6888</v>
      </c>
    </row>
    <row r="1993">
      <c r="A1993" s="1" t="s">
        <v>12</v>
      </c>
      <c r="B1993" s="1" t="s">
        <v>6889</v>
      </c>
      <c r="C1993" s="1" t="s">
        <v>3107</v>
      </c>
      <c r="D1993" s="1" t="s">
        <v>2806</v>
      </c>
      <c r="E1993" s="2">
        <v>37052.0</v>
      </c>
      <c r="F1993" s="1" t="s">
        <v>138</v>
      </c>
      <c r="G1993" s="1" t="s">
        <v>76</v>
      </c>
      <c r="H1993" s="1" t="s">
        <v>32</v>
      </c>
      <c r="I1993" s="3">
        <f>+2250595484088</f>
        <v>2250595484088</v>
      </c>
      <c r="J1993" s="3">
        <f>+2250708243769</f>
        <v>2250708243769</v>
      </c>
      <c r="K1993" s="1" t="s">
        <v>19</v>
      </c>
      <c r="L1993" s="4" t="s">
        <v>6890</v>
      </c>
    </row>
    <row r="1994">
      <c r="A1994" s="1" t="s">
        <v>12</v>
      </c>
      <c r="B1994" s="1" t="s">
        <v>6891</v>
      </c>
      <c r="C1994" s="1" t="s">
        <v>3107</v>
      </c>
      <c r="D1994" s="1" t="s">
        <v>6892</v>
      </c>
      <c r="E1994" s="2">
        <v>37501.0</v>
      </c>
      <c r="F1994" s="1" t="s">
        <v>24</v>
      </c>
      <c r="G1994" s="1" t="s">
        <v>17</v>
      </c>
      <c r="H1994" s="1" t="s">
        <v>18</v>
      </c>
      <c r="I1994" s="3">
        <f>+2250594702168</f>
        <v>2250594702168</v>
      </c>
      <c r="J1994" s="3">
        <f>+2250505391270</f>
        <v>2250505391270</v>
      </c>
      <c r="K1994" s="1" t="s">
        <v>19</v>
      </c>
      <c r="L1994" s="4" t="s">
        <v>6893</v>
      </c>
    </row>
    <row r="1995">
      <c r="A1995" s="1" t="s">
        <v>12</v>
      </c>
      <c r="B1995" s="1" t="s">
        <v>6894</v>
      </c>
      <c r="C1995" s="1" t="s">
        <v>3107</v>
      </c>
      <c r="D1995" s="1" t="s">
        <v>6895</v>
      </c>
      <c r="E1995" s="2">
        <v>38295.0</v>
      </c>
      <c r="F1995" s="1" t="s">
        <v>48</v>
      </c>
      <c r="G1995" s="1" t="s">
        <v>76</v>
      </c>
      <c r="H1995" s="1" t="s">
        <v>32</v>
      </c>
      <c r="I1995" s="3">
        <f>+2250103140417</f>
        <v>2250103140417</v>
      </c>
      <c r="J1995" s="3">
        <f>+2250757831823</f>
        <v>2250757831823</v>
      </c>
      <c r="K1995" s="1" t="s">
        <v>19</v>
      </c>
      <c r="L1995" s="4" t="s">
        <v>6896</v>
      </c>
    </row>
    <row r="1996">
      <c r="A1996" s="1" t="s">
        <v>12</v>
      </c>
      <c r="B1996" s="1" t="s">
        <v>6897</v>
      </c>
      <c r="C1996" s="1" t="s">
        <v>3107</v>
      </c>
      <c r="D1996" s="1" t="s">
        <v>3387</v>
      </c>
      <c r="E1996" s="2">
        <v>36925.0</v>
      </c>
      <c r="F1996" s="1" t="s">
        <v>62</v>
      </c>
      <c r="G1996" s="1" t="s">
        <v>17</v>
      </c>
      <c r="H1996" s="1" t="s">
        <v>18</v>
      </c>
      <c r="I1996" s="3">
        <f>+2250700632240</f>
        <v>2250700632240</v>
      </c>
      <c r="J1996" s="3">
        <f>+2250506355058</f>
        <v>2250506355058</v>
      </c>
      <c r="K1996" s="1" t="s">
        <v>19</v>
      </c>
      <c r="L1996" s="4" t="s">
        <v>6898</v>
      </c>
    </row>
    <row r="1997">
      <c r="A1997" s="1" t="s">
        <v>12</v>
      </c>
      <c r="B1997" s="1" t="s">
        <v>6899</v>
      </c>
      <c r="C1997" s="1" t="s">
        <v>3107</v>
      </c>
      <c r="D1997" s="1" t="s">
        <v>6900</v>
      </c>
      <c r="E1997" s="2">
        <v>37871.0</v>
      </c>
      <c r="F1997" s="1" t="s">
        <v>62</v>
      </c>
      <c r="G1997" s="1" t="s">
        <v>17</v>
      </c>
      <c r="H1997" s="1" t="s">
        <v>18</v>
      </c>
      <c r="I1997" s="3">
        <f>+2250153416627</f>
        <v>2250153416627</v>
      </c>
      <c r="J1997" s="3">
        <f>+2250707787003</f>
        <v>2250707787003</v>
      </c>
      <c r="K1997" s="1" t="s">
        <v>19</v>
      </c>
      <c r="L1997" s="4" t="s">
        <v>6901</v>
      </c>
    </row>
    <row r="1998">
      <c r="A1998" s="1" t="s">
        <v>12</v>
      </c>
      <c r="B1998" s="1" t="s">
        <v>6902</v>
      </c>
      <c r="C1998" s="1" t="s">
        <v>3107</v>
      </c>
      <c r="D1998" s="1" t="s">
        <v>6903</v>
      </c>
      <c r="E1998" s="2">
        <v>38434.0</v>
      </c>
      <c r="F1998" s="1" t="s">
        <v>62</v>
      </c>
      <c r="G1998" s="1" t="s">
        <v>25</v>
      </c>
      <c r="H1998" s="1" t="s">
        <v>18</v>
      </c>
      <c r="I1998" s="3">
        <f>+2250749707513</f>
        <v>2250749707513</v>
      </c>
      <c r="J1998" s="3">
        <f>+2250749503042</f>
        <v>2250749503042</v>
      </c>
      <c r="K1998" s="1" t="s">
        <v>19</v>
      </c>
      <c r="L1998" s="4" t="s">
        <v>6904</v>
      </c>
    </row>
    <row r="1999">
      <c r="A1999" s="1" t="s">
        <v>12</v>
      </c>
      <c r="B1999" s="1" t="s">
        <v>6905</v>
      </c>
      <c r="C1999" s="1" t="s">
        <v>3107</v>
      </c>
      <c r="D1999" s="1" t="s">
        <v>6906</v>
      </c>
      <c r="E1999" s="2">
        <v>38221.0</v>
      </c>
      <c r="F1999" s="1" t="s">
        <v>62</v>
      </c>
      <c r="G1999" s="1" t="s">
        <v>17</v>
      </c>
      <c r="H1999" s="1" t="s">
        <v>18</v>
      </c>
      <c r="I1999" s="3">
        <f>+2250596919670</f>
        <v>2250596919670</v>
      </c>
      <c r="J1999" s="3">
        <f>+2250505689897</f>
        <v>2250505689897</v>
      </c>
      <c r="K1999" s="1" t="s">
        <v>19</v>
      </c>
      <c r="L1999" s="4" t="s">
        <v>6907</v>
      </c>
    </row>
    <row r="2000">
      <c r="A2000" s="1" t="s">
        <v>12</v>
      </c>
      <c r="B2000" s="1" t="s">
        <v>6908</v>
      </c>
      <c r="C2000" s="1" t="s">
        <v>3107</v>
      </c>
      <c r="D2000" s="1" t="s">
        <v>6909</v>
      </c>
      <c r="E2000" s="2">
        <v>38625.0</v>
      </c>
      <c r="F2000" s="1" t="s">
        <v>62</v>
      </c>
      <c r="G2000" s="1" t="s">
        <v>17</v>
      </c>
      <c r="H2000" s="1" t="s">
        <v>18</v>
      </c>
      <c r="I2000" s="3">
        <f>+2250506833246</f>
        <v>2250506833246</v>
      </c>
      <c r="J2000" s="3">
        <f>+2250757363243</f>
        <v>2250757363243</v>
      </c>
      <c r="K2000" s="1" t="s">
        <v>19</v>
      </c>
      <c r="L2000" s="4" t="s">
        <v>6910</v>
      </c>
    </row>
    <row r="2001">
      <c r="A2001" s="1" t="s">
        <v>12</v>
      </c>
      <c r="B2001" s="1" t="s">
        <v>6911</v>
      </c>
      <c r="C2001" s="1" t="s">
        <v>3107</v>
      </c>
      <c r="D2001" s="1" t="s">
        <v>6912</v>
      </c>
      <c r="E2001" s="2">
        <v>37140.0</v>
      </c>
      <c r="F2001" s="1" t="s">
        <v>101</v>
      </c>
      <c r="G2001" s="1" t="s">
        <v>31</v>
      </c>
      <c r="H2001" s="1" t="s">
        <v>32</v>
      </c>
      <c r="I2001" s="3">
        <f>+2250556586916</f>
        <v>2250556586916</v>
      </c>
      <c r="J2001" s="3">
        <f>+2250556556916</f>
        <v>2250556556916</v>
      </c>
      <c r="K2001" s="1" t="s">
        <v>19</v>
      </c>
      <c r="L2001" s="4" t="s">
        <v>6913</v>
      </c>
    </row>
    <row r="2002">
      <c r="A2002" s="1" t="s">
        <v>12</v>
      </c>
      <c r="B2002" s="1" t="s">
        <v>6914</v>
      </c>
      <c r="C2002" s="1" t="s">
        <v>3107</v>
      </c>
      <c r="D2002" s="1" t="s">
        <v>6915</v>
      </c>
      <c r="E2002" s="5">
        <v>38278.0</v>
      </c>
      <c r="F2002" s="1" t="s">
        <v>53</v>
      </c>
      <c r="G2002" s="1" t="s">
        <v>25</v>
      </c>
      <c r="H2002" s="1" t="s">
        <v>18</v>
      </c>
      <c r="I2002" s="3">
        <f>+2250787443323</f>
        <v>2250787443323</v>
      </c>
      <c r="J2002" s="3">
        <f>+2250708141914</f>
        <v>2250708141914</v>
      </c>
      <c r="K2002" s="1" t="s">
        <v>19</v>
      </c>
      <c r="L2002" s="4" t="s">
        <v>6916</v>
      </c>
    </row>
    <row r="2003">
      <c r="A2003" s="1" t="s">
        <v>12</v>
      </c>
      <c r="B2003" s="1" t="s">
        <v>6917</v>
      </c>
      <c r="C2003" s="1" t="s">
        <v>3107</v>
      </c>
      <c r="D2003" s="1" t="s">
        <v>6918</v>
      </c>
      <c r="E2003" s="2">
        <v>38125.0</v>
      </c>
      <c r="F2003" s="1" t="s">
        <v>53</v>
      </c>
      <c r="G2003" s="1" t="s">
        <v>25</v>
      </c>
      <c r="H2003" s="1" t="s">
        <v>18</v>
      </c>
      <c r="I2003" s="3">
        <f>+2250554079556</f>
        <v>2250554079556</v>
      </c>
      <c r="J2003" s="3">
        <f>+2250708575621</f>
        <v>2250708575621</v>
      </c>
      <c r="K2003" s="1" t="s">
        <v>19</v>
      </c>
      <c r="L2003" s="4" t="s">
        <v>6919</v>
      </c>
    </row>
    <row r="2004">
      <c r="A2004" s="1" t="s">
        <v>12</v>
      </c>
      <c r="B2004" s="1" t="s">
        <v>6920</v>
      </c>
      <c r="C2004" s="1" t="s">
        <v>3107</v>
      </c>
      <c r="D2004" s="1" t="s">
        <v>2490</v>
      </c>
      <c r="E2004" s="2">
        <v>35490.0</v>
      </c>
      <c r="F2004" s="1" t="s">
        <v>110</v>
      </c>
      <c r="G2004" s="1" t="s">
        <v>82</v>
      </c>
      <c r="H2004" s="1" t="s">
        <v>18</v>
      </c>
      <c r="I2004" s="3">
        <f>+2250143001647</f>
        <v>2250143001647</v>
      </c>
      <c r="J2004" s="3">
        <f>+2250757456529</f>
        <v>2250757456529</v>
      </c>
      <c r="K2004" s="1" t="s">
        <v>19</v>
      </c>
      <c r="L2004" s="4" t="s">
        <v>6921</v>
      </c>
    </row>
    <row r="2005">
      <c r="A2005" s="1" t="s">
        <v>12</v>
      </c>
      <c r="B2005" s="1" t="s">
        <v>6922</v>
      </c>
      <c r="C2005" s="1" t="s">
        <v>3107</v>
      </c>
      <c r="D2005" s="1" t="s">
        <v>6923</v>
      </c>
      <c r="E2005" s="5">
        <v>37609.0</v>
      </c>
      <c r="F2005" s="1" t="s">
        <v>24</v>
      </c>
      <c r="G2005" s="1" t="s">
        <v>17</v>
      </c>
      <c r="H2005" s="1" t="s">
        <v>18</v>
      </c>
      <c r="I2005" s="3">
        <f>+2250171615194</f>
        <v>2250171615194</v>
      </c>
      <c r="J2005" s="3">
        <f>+2250707864295</f>
        <v>2250707864295</v>
      </c>
      <c r="K2005" s="1" t="s">
        <v>19</v>
      </c>
      <c r="L2005" s="4" t="s">
        <v>6924</v>
      </c>
    </row>
    <row r="2006">
      <c r="A2006" s="1" t="s">
        <v>12</v>
      </c>
      <c r="B2006" s="1" t="s">
        <v>6925</v>
      </c>
      <c r="C2006" s="1" t="s">
        <v>3107</v>
      </c>
      <c r="D2006" s="1" t="s">
        <v>3092</v>
      </c>
      <c r="E2006" s="2">
        <v>38418.0</v>
      </c>
      <c r="F2006" s="1" t="s">
        <v>53</v>
      </c>
      <c r="G2006" s="1" t="s">
        <v>25</v>
      </c>
      <c r="H2006" s="1" t="s">
        <v>18</v>
      </c>
      <c r="I2006" s="3">
        <f>+2250103749473</f>
        <v>2250103749473</v>
      </c>
      <c r="J2006" s="3">
        <f>+2250778587307</f>
        <v>2250778587307</v>
      </c>
      <c r="K2006" s="1" t="s">
        <v>19</v>
      </c>
      <c r="L2006" s="4" t="s">
        <v>6926</v>
      </c>
    </row>
    <row r="2007">
      <c r="A2007" s="1" t="s">
        <v>12</v>
      </c>
      <c r="B2007" s="1" t="s">
        <v>6927</v>
      </c>
      <c r="C2007" s="1" t="s">
        <v>3107</v>
      </c>
      <c r="D2007" s="1" t="s">
        <v>1735</v>
      </c>
      <c r="E2007" s="2">
        <v>38081.0</v>
      </c>
      <c r="F2007" s="1" t="s">
        <v>101</v>
      </c>
      <c r="G2007" s="1" t="s">
        <v>31</v>
      </c>
      <c r="H2007" s="1" t="s">
        <v>32</v>
      </c>
      <c r="I2007" s="3">
        <f>+2250554094494</f>
        <v>2250554094494</v>
      </c>
      <c r="J2007" s="3">
        <f>+2250172853452</f>
        <v>2250172853452</v>
      </c>
      <c r="K2007" s="1" t="s">
        <v>19</v>
      </c>
      <c r="L2007" s="4" t="s">
        <v>6928</v>
      </c>
    </row>
    <row r="2008">
      <c r="A2008" s="1" t="s">
        <v>12</v>
      </c>
      <c r="B2008" s="1" t="s">
        <v>6929</v>
      </c>
      <c r="C2008" s="1" t="s">
        <v>3107</v>
      </c>
      <c r="D2008" s="1" t="s">
        <v>6930</v>
      </c>
      <c r="E2008" s="2">
        <v>37737.0</v>
      </c>
      <c r="F2008" s="1" t="s">
        <v>48</v>
      </c>
      <c r="G2008" s="1" t="s">
        <v>31</v>
      </c>
      <c r="H2008" s="1" t="s">
        <v>32</v>
      </c>
      <c r="I2008" s="3">
        <f>+2250574606561</f>
        <v>2250574606561</v>
      </c>
      <c r="J2008" s="3">
        <f>+2250544353934</f>
        <v>2250544353934</v>
      </c>
      <c r="K2008" s="1" t="s">
        <v>19</v>
      </c>
      <c r="L2008" s="4" t="s">
        <v>6931</v>
      </c>
    </row>
    <row r="2009">
      <c r="A2009" s="1" t="s">
        <v>12</v>
      </c>
      <c r="B2009" s="1" t="s">
        <v>6932</v>
      </c>
      <c r="C2009" s="1" t="s">
        <v>3107</v>
      </c>
      <c r="D2009" s="1" t="s">
        <v>6933</v>
      </c>
      <c r="E2009" s="2">
        <v>37902.0</v>
      </c>
      <c r="F2009" s="1" t="s">
        <v>48</v>
      </c>
      <c r="G2009" s="1" t="s">
        <v>76</v>
      </c>
      <c r="H2009" s="1" t="s">
        <v>32</v>
      </c>
      <c r="I2009" s="3">
        <f>+2250767000280</f>
        <v>2250767000280</v>
      </c>
      <c r="J2009" s="3">
        <f>+2250778616132</f>
        <v>2250778616132</v>
      </c>
      <c r="K2009" s="1" t="s">
        <v>19</v>
      </c>
      <c r="L2009" s="4" t="s">
        <v>6934</v>
      </c>
    </row>
    <row r="2010">
      <c r="A2010" s="1" t="s">
        <v>12</v>
      </c>
      <c r="B2010" s="1" t="s">
        <v>6935</v>
      </c>
      <c r="C2010" s="1" t="s">
        <v>3107</v>
      </c>
      <c r="D2010" s="1" t="s">
        <v>6936</v>
      </c>
      <c r="E2010" s="2">
        <v>39030.0</v>
      </c>
      <c r="F2010" s="1" t="s">
        <v>16</v>
      </c>
      <c r="G2010" s="1" t="s">
        <v>25</v>
      </c>
      <c r="H2010" s="1" t="s">
        <v>18</v>
      </c>
      <c r="I2010" s="3">
        <f>+2250503329053</f>
        <v>2250503329053</v>
      </c>
      <c r="J2010" s="3">
        <f>+2250103641757</f>
        <v>2250103641757</v>
      </c>
      <c r="K2010" s="1" t="s">
        <v>19</v>
      </c>
      <c r="L2010" s="4" t="s">
        <v>6937</v>
      </c>
    </row>
    <row r="2011">
      <c r="A2011" s="1" t="s">
        <v>12</v>
      </c>
      <c r="B2011" s="1" t="s">
        <v>6938</v>
      </c>
      <c r="C2011" s="1" t="s">
        <v>3107</v>
      </c>
      <c r="D2011" s="1" t="s">
        <v>6939</v>
      </c>
      <c r="E2011" s="2">
        <v>37528.0</v>
      </c>
      <c r="F2011" s="1" t="s">
        <v>155</v>
      </c>
      <c r="G2011" s="1" t="s">
        <v>76</v>
      </c>
      <c r="H2011" s="1" t="s">
        <v>32</v>
      </c>
      <c r="I2011" s="3">
        <f>+2250586742432</f>
        <v>2250586742432</v>
      </c>
      <c r="J2011" s="3">
        <f>+2250504108143</f>
        <v>2250504108143</v>
      </c>
      <c r="K2011" s="1" t="s">
        <v>19</v>
      </c>
      <c r="L2011" s="4" t="s">
        <v>6940</v>
      </c>
    </row>
    <row r="2012">
      <c r="A2012" s="1" t="s">
        <v>12</v>
      </c>
      <c r="B2012" s="1" t="s">
        <v>6941</v>
      </c>
      <c r="C2012" s="1" t="s">
        <v>3107</v>
      </c>
      <c r="D2012" s="1" t="s">
        <v>6942</v>
      </c>
      <c r="E2012" s="2">
        <v>37957.0</v>
      </c>
      <c r="F2012" s="1" t="s">
        <v>30</v>
      </c>
      <c r="G2012" s="1" t="s">
        <v>76</v>
      </c>
      <c r="H2012" s="1" t="s">
        <v>32</v>
      </c>
      <c r="I2012" s="3">
        <f>+2250700845184</f>
        <v>2250700845184</v>
      </c>
      <c r="J2012" s="3">
        <f>+2250507172030</f>
        <v>2250507172030</v>
      </c>
      <c r="K2012" s="1" t="s">
        <v>19</v>
      </c>
      <c r="L2012" s="4" t="s">
        <v>6943</v>
      </c>
    </row>
    <row r="2013">
      <c r="A2013" s="1" t="s">
        <v>12</v>
      </c>
      <c r="B2013" s="1" t="s">
        <v>6944</v>
      </c>
      <c r="C2013" s="1" t="s">
        <v>3107</v>
      </c>
      <c r="D2013" s="1" t="s">
        <v>6945</v>
      </c>
      <c r="E2013" s="5">
        <v>37610.0</v>
      </c>
      <c r="F2013" s="1" t="s">
        <v>92</v>
      </c>
      <c r="G2013" s="1" t="s">
        <v>31</v>
      </c>
      <c r="H2013" s="1" t="s">
        <v>32</v>
      </c>
      <c r="I2013" s="3">
        <f>+2250769613172</f>
        <v>2250769613172</v>
      </c>
      <c r="J2013" s="3">
        <f>+2250747396419</f>
        <v>2250747396419</v>
      </c>
      <c r="K2013" s="1" t="s">
        <v>19</v>
      </c>
      <c r="L2013" s="4" t="s">
        <v>6946</v>
      </c>
    </row>
    <row r="2014">
      <c r="A2014" s="1" t="s">
        <v>12</v>
      </c>
      <c r="B2014" s="1" t="s">
        <v>6947</v>
      </c>
      <c r="C2014" s="1" t="s">
        <v>3107</v>
      </c>
      <c r="D2014" s="1" t="s">
        <v>6948</v>
      </c>
      <c r="E2014" s="2">
        <v>37800.0</v>
      </c>
      <c r="F2014" s="1" t="s">
        <v>62</v>
      </c>
      <c r="G2014" s="1" t="s">
        <v>17</v>
      </c>
      <c r="H2014" s="1" t="s">
        <v>18</v>
      </c>
      <c r="I2014" s="3">
        <f>+2250758304261</f>
        <v>2250758304261</v>
      </c>
      <c r="J2014" s="3">
        <f>+2250757055110</f>
        <v>2250757055110</v>
      </c>
      <c r="K2014" s="1" t="s">
        <v>19</v>
      </c>
      <c r="L2014" s="4" t="s">
        <v>6949</v>
      </c>
    </row>
    <row r="2015">
      <c r="A2015" s="1" t="s">
        <v>12</v>
      </c>
      <c r="B2015" s="1" t="s">
        <v>6950</v>
      </c>
      <c r="C2015" s="1" t="s">
        <v>3107</v>
      </c>
      <c r="D2015" s="1" t="s">
        <v>6951</v>
      </c>
      <c r="E2015" s="2">
        <v>38254.0</v>
      </c>
      <c r="F2015" s="1" t="s">
        <v>92</v>
      </c>
      <c r="G2015" s="1" t="s">
        <v>76</v>
      </c>
      <c r="H2015" s="1" t="s">
        <v>32</v>
      </c>
      <c r="I2015" s="3">
        <f>+2250749557782</f>
        <v>2250749557782</v>
      </c>
      <c r="J2015" s="3">
        <f>+2250707267664</f>
        <v>2250707267664</v>
      </c>
      <c r="K2015" s="1" t="s">
        <v>19</v>
      </c>
      <c r="L2015" s="4" t="s">
        <v>6952</v>
      </c>
    </row>
    <row r="2016">
      <c r="A2016" s="1" t="s">
        <v>12</v>
      </c>
      <c r="B2016" s="1" t="s">
        <v>6953</v>
      </c>
      <c r="C2016" s="1" t="s">
        <v>3107</v>
      </c>
      <c r="D2016" s="1" t="s">
        <v>6954</v>
      </c>
      <c r="E2016" s="2">
        <v>36995.0</v>
      </c>
      <c r="F2016" s="1" t="s">
        <v>155</v>
      </c>
      <c r="G2016" s="1" t="s">
        <v>17</v>
      </c>
      <c r="H2016" s="1" t="s">
        <v>18</v>
      </c>
      <c r="I2016" s="3">
        <f>+2250799489158</f>
        <v>2250799489158</v>
      </c>
      <c r="J2016" s="3">
        <f>+2250779941673</f>
        <v>2250779941673</v>
      </c>
      <c r="K2016" s="1" t="s">
        <v>19</v>
      </c>
      <c r="L2016" s="4" t="s">
        <v>6955</v>
      </c>
    </row>
    <row r="2017">
      <c r="A2017" s="1" t="s">
        <v>12</v>
      </c>
      <c r="B2017" s="1" t="s">
        <v>6956</v>
      </c>
      <c r="C2017" s="1" t="s">
        <v>3107</v>
      </c>
      <c r="D2017" s="1" t="s">
        <v>6957</v>
      </c>
      <c r="E2017" s="2">
        <v>36598.0</v>
      </c>
      <c r="F2017" s="1" t="s">
        <v>97</v>
      </c>
      <c r="G2017" s="1" t="s">
        <v>82</v>
      </c>
      <c r="H2017" s="1" t="s">
        <v>18</v>
      </c>
      <c r="I2017" s="3">
        <f>+2250103710606</f>
        <v>2250103710606</v>
      </c>
      <c r="J2017" s="3">
        <f>+2250140216362</f>
        <v>2250140216362</v>
      </c>
      <c r="K2017" s="1" t="s">
        <v>19</v>
      </c>
      <c r="L2017" s="4" t="s">
        <v>6958</v>
      </c>
    </row>
    <row r="2018">
      <c r="A2018" s="1" t="s">
        <v>12</v>
      </c>
      <c r="B2018" s="1" t="s">
        <v>6959</v>
      </c>
      <c r="C2018" s="1" t="s">
        <v>3107</v>
      </c>
      <c r="D2018" s="1" t="s">
        <v>6960</v>
      </c>
      <c r="E2018" s="2">
        <v>37959.0</v>
      </c>
      <c r="F2018" s="1" t="s">
        <v>138</v>
      </c>
      <c r="G2018" s="1" t="s">
        <v>76</v>
      </c>
      <c r="H2018" s="1" t="s">
        <v>32</v>
      </c>
      <c r="I2018" s="3">
        <f>+2250787507696</f>
        <v>2250787507696</v>
      </c>
      <c r="J2018" s="3">
        <f>+2250708355610</f>
        <v>2250708355610</v>
      </c>
      <c r="K2018" s="1" t="s">
        <v>19</v>
      </c>
      <c r="L2018" s="4" t="s">
        <v>6961</v>
      </c>
    </row>
    <row r="2019">
      <c r="A2019" s="1" t="s">
        <v>12</v>
      </c>
      <c r="B2019" s="1" t="s">
        <v>6962</v>
      </c>
      <c r="C2019" s="1" t="s">
        <v>3107</v>
      </c>
      <c r="D2019" s="1" t="s">
        <v>6963</v>
      </c>
      <c r="E2019" s="2">
        <v>37883.0</v>
      </c>
      <c r="F2019" s="1" t="s">
        <v>101</v>
      </c>
      <c r="G2019" s="1" t="s">
        <v>76</v>
      </c>
      <c r="H2019" s="1" t="s">
        <v>32</v>
      </c>
      <c r="I2019" s="3">
        <f>+2250799536127</f>
        <v>2250799536127</v>
      </c>
      <c r="J2019" s="3">
        <f>+2250506149902</f>
        <v>2250506149902</v>
      </c>
      <c r="K2019" s="1" t="s">
        <v>19</v>
      </c>
      <c r="L2019" s="4" t="s">
        <v>6964</v>
      </c>
    </row>
    <row r="2020">
      <c r="A2020" s="1" t="s">
        <v>12</v>
      </c>
      <c r="B2020" s="1" t="s">
        <v>6965</v>
      </c>
      <c r="C2020" s="1" t="s">
        <v>3107</v>
      </c>
      <c r="D2020" s="1" t="s">
        <v>6966</v>
      </c>
      <c r="E2020" s="2">
        <v>37812.0</v>
      </c>
      <c r="F2020" s="1" t="s">
        <v>62</v>
      </c>
      <c r="G2020" s="1" t="s">
        <v>25</v>
      </c>
      <c r="H2020" s="1" t="s">
        <v>18</v>
      </c>
      <c r="I2020" s="3">
        <f>+2250566189810</f>
        <v>2250566189810</v>
      </c>
      <c r="J2020" s="3">
        <f>+2250708154994</f>
        <v>2250708154994</v>
      </c>
      <c r="K2020" s="1" t="s">
        <v>19</v>
      </c>
      <c r="L2020" s="4" t="s">
        <v>6967</v>
      </c>
    </row>
    <row r="2021">
      <c r="A2021" s="1" t="s">
        <v>12</v>
      </c>
      <c r="B2021" s="1" t="s">
        <v>6968</v>
      </c>
      <c r="C2021" s="1" t="s">
        <v>3107</v>
      </c>
      <c r="D2021" s="1" t="s">
        <v>6969</v>
      </c>
      <c r="E2021" s="5">
        <v>38276.0</v>
      </c>
      <c r="F2021" s="1" t="s">
        <v>62</v>
      </c>
      <c r="G2021" s="1" t="s">
        <v>25</v>
      </c>
      <c r="H2021" s="1" t="s">
        <v>18</v>
      </c>
      <c r="I2021" s="3">
        <f>+2250173029148</f>
        <v>2250173029148</v>
      </c>
      <c r="J2021" s="3">
        <f>+2250102667174</f>
        <v>2250102667174</v>
      </c>
      <c r="K2021" s="1" t="s">
        <v>19</v>
      </c>
      <c r="L2021" s="4" t="s">
        <v>6970</v>
      </c>
    </row>
    <row r="2022">
      <c r="A2022" s="1" t="s">
        <v>12</v>
      </c>
      <c r="B2022" s="1" t="s">
        <v>6971</v>
      </c>
      <c r="C2022" s="1" t="s">
        <v>3107</v>
      </c>
      <c r="D2022" s="1" t="s">
        <v>6972</v>
      </c>
      <c r="E2022" s="2">
        <v>37201.0</v>
      </c>
      <c r="F2022" s="1" t="s">
        <v>87</v>
      </c>
      <c r="G2022" s="1" t="s">
        <v>76</v>
      </c>
      <c r="H2022" s="1" t="s">
        <v>32</v>
      </c>
      <c r="I2022" s="3">
        <f>+2250546333540</f>
        <v>2250546333540</v>
      </c>
      <c r="J2022" s="3">
        <f>+2250708154994</f>
        <v>2250708154994</v>
      </c>
      <c r="K2022" s="1" t="s">
        <v>19</v>
      </c>
      <c r="L2022" s="4" t="s">
        <v>6973</v>
      </c>
    </row>
    <row r="2023">
      <c r="A2023" s="1" t="s">
        <v>12</v>
      </c>
      <c r="B2023" s="1" t="s">
        <v>6974</v>
      </c>
      <c r="C2023" s="1" t="s">
        <v>3107</v>
      </c>
      <c r="D2023" s="1" t="s">
        <v>6975</v>
      </c>
      <c r="E2023" s="2">
        <v>38229.0</v>
      </c>
      <c r="F2023" s="1" t="s">
        <v>101</v>
      </c>
      <c r="G2023" s="1" t="s">
        <v>31</v>
      </c>
      <c r="H2023" s="1" t="s">
        <v>32</v>
      </c>
      <c r="I2023" s="3">
        <f>+2250564600553</f>
        <v>2250564600553</v>
      </c>
      <c r="J2023" s="3">
        <f>+2250505312861</f>
        <v>2250505312861</v>
      </c>
      <c r="K2023" s="1" t="s">
        <v>19</v>
      </c>
      <c r="L2023" s="4" t="s">
        <v>6976</v>
      </c>
    </row>
    <row r="2024">
      <c r="A2024" s="1" t="s">
        <v>12</v>
      </c>
      <c r="B2024" s="1" t="s">
        <v>6977</v>
      </c>
      <c r="C2024" s="1" t="s">
        <v>3107</v>
      </c>
      <c r="D2024" s="1" t="s">
        <v>6978</v>
      </c>
      <c r="E2024" s="2">
        <v>38462.0</v>
      </c>
      <c r="F2024" s="1" t="s">
        <v>351</v>
      </c>
      <c r="G2024" s="1" t="s">
        <v>76</v>
      </c>
      <c r="H2024" s="1" t="s">
        <v>32</v>
      </c>
      <c r="I2024" s="3">
        <f>+2250555439019</f>
        <v>2250555439019</v>
      </c>
      <c r="J2024" s="3">
        <f>+2250749141392</f>
        <v>2250749141392</v>
      </c>
      <c r="K2024" s="1" t="s">
        <v>19</v>
      </c>
      <c r="L2024" s="4" t="s">
        <v>6979</v>
      </c>
    </row>
    <row r="2025">
      <c r="A2025" s="1" t="s">
        <v>12</v>
      </c>
      <c r="B2025" s="1" t="s">
        <v>6980</v>
      </c>
      <c r="C2025" s="1" t="s">
        <v>3107</v>
      </c>
      <c r="D2025" s="1" t="s">
        <v>6981</v>
      </c>
      <c r="E2025" s="2">
        <v>37705.0</v>
      </c>
      <c r="F2025" s="1" t="s">
        <v>16</v>
      </c>
      <c r="G2025" s="1" t="s">
        <v>82</v>
      </c>
      <c r="H2025" s="1" t="s">
        <v>18</v>
      </c>
      <c r="I2025" s="3">
        <f>+2250708506119</f>
        <v>2250708506119</v>
      </c>
      <c r="J2025" s="3">
        <f>+2250707858882</f>
        <v>2250707858882</v>
      </c>
      <c r="K2025" s="1" t="s">
        <v>19</v>
      </c>
      <c r="L2025" s="4" t="s">
        <v>6982</v>
      </c>
    </row>
    <row r="2026">
      <c r="A2026" s="1" t="s">
        <v>12</v>
      </c>
      <c r="B2026" s="1" t="s">
        <v>6983</v>
      </c>
      <c r="C2026" s="1" t="s">
        <v>3107</v>
      </c>
      <c r="D2026" s="1" t="s">
        <v>6984</v>
      </c>
      <c r="E2026" s="2">
        <v>37127.0</v>
      </c>
      <c r="F2026" s="1" t="s">
        <v>351</v>
      </c>
      <c r="G2026" s="1" t="s">
        <v>31</v>
      </c>
      <c r="H2026" s="1" t="s">
        <v>32</v>
      </c>
      <c r="I2026" s="3">
        <f>+2250779109753</f>
        <v>2250779109753</v>
      </c>
      <c r="J2026" s="3">
        <f>+2250707681924</f>
        <v>2250707681924</v>
      </c>
      <c r="K2026" s="1" t="s">
        <v>19</v>
      </c>
      <c r="L2026" s="4" t="s">
        <v>6985</v>
      </c>
    </row>
    <row r="2027">
      <c r="A2027" s="1" t="s">
        <v>12</v>
      </c>
      <c r="B2027" s="1" t="s">
        <v>6986</v>
      </c>
      <c r="C2027" s="1" t="s">
        <v>3107</v>
      </c>
      <c r="D2027" s="1" t="s">
        <v>6987</v>
      </c>
      <c r="E2027" s="2">
        <v>37357.0</v>
      </c>
      <c r="F2027" s="1" t="s">
        <v>16</v>
      </c>
      <c r="G2027" s="1" t="s">
        <v>17</v>
      </c>
      <c r="H2027" s="1" t="s">
        <v>18</v>
      </c>
      <c r="I2027" s="3">
        <f>+2250748417365</f>
        <v>2250748417365</v>
      </c>
      <c r="J2027" s="3">
        <f>+2250506772819</f>
        <v>2250506772819</v>
      </c>
      <c r="K2027" s="1" t="s">
        <v>19</v>
      </c>
      <c r="L2027" s="4" t="s">
        <v>6988</v>
      </c>
    </row>
    <row r="2028">
      <c r="A2028" s="1" t="s">
        <v>12</v>
      </c>
      <c r="B2028" s="1" t="s">
        <v>6989</v>
      </c>
      <c r="C2028" s="1" t="s">
        <v>6990</v>
      </c>
      <c r="D2028" s="1" t="s">
        <v>6991</v>
      </c>
      <c r="E2028" s="2">
        <v>37377.0</v>
      </c>
      <c r="F2028" s="1" t="s">
        <v>92</v>
      </c>
      <c r="G2028" s="1" t="s">
        <v>31</v>
      </c>
      <c r="H2028" s="1" t="s">
        <v>32</v>
      </c>
      <c r="I2028" s="3">
        <f>+2250787534289</f>
        <v>2250787534289</v>
      </c>
      <c r="J2028" s="3">
        <f>+2250707325550</f>
        <v>2250707325550</v>
      </c>
      <c r="K2028" s="1" t="s">
        <v>19</v>
      </c>
      <c r="L2028" s="4" t="s">
        <v>6992</v>
      </c>
    </row>
    <row r="2029">
      <c r="A2029" s="1" t="s">
        <v>12</v>
      </c>
      <c r="B2029" s="1" t="s">
        <v>6993</v>
      </c>
      <c r="C2029" s="1" t="s">
        <v>6994</v>
      </c>
      <c r="D2029" s="1" t="s">
        <v>6995</v>
      </c>
      <c r="E2029" s="2">
        <v>38456.0</v>
      </c>
      <c r="F2029" s="1" t="s">
        <v>62</v>
      </c>
      <c r="G2029" s="1" t="s">
        <v>25</v>
      </c>
      <c r="H2029" s="1" t="s">
        <v>18</v>
      </c>
      <c r="I2029" s="3">
        <f>+2250150455159</f>
        <v>2250150455159</v>
      </c>
      <c r="J2029" s="3">
        <f>+2250748863999</f>
        <v>2250748863999</v>
      </c>
      <c r="K2029" s="1" t="s">
        <v>19</v>
      </c>
      <c r="L2029" s="4" t="s">
        <v>6996</v>
      </c>
    </row>
    <row r="2030">
      <c r="A2030" s="1" t="s">
        <v>12</v>
      </c>
      <c r="B2030" s="1" t="s">
        <v>6997</v>
      </c>
      <c r="C2030" s="1" t="s">
        <v>6998</v>
      </c>
      <c r="D2030" s="1" t="s">
        <v>6999</v>
      </c>
      <c r="E2030" s="5">
        <v>37978.0</v>
      </c>
      <c r="F2030" s="1" t="s">
        <v>30</v>
      </c>
      <c r="G2030" s="1" t="s">
        <v>76</v>
      </c>
      <c r="H2030" s="1" t="s">
        <v>32</v>
      </c>
      <c r="I2030" s="3">
        <f>+2250778831681</f>
        <v>2250778831681</v>
      </c>
      <c r="J2030" s="3">
        <f>+2250708212398</f>
        <v>2250708212398</v>
      </c>
      <c r="K2030" s="1" t="s">
        <v>19</v>
      </c>
      <c r="L2030" s="4" t="s">
        <v>7000</v>
      </c>
    </row>
    <row r="2031">
      <c r="A2031" s="1" t="s">
        <v>12</v>
      </c>
      <c r="B2031" s="1" t="s">
        <v>7001</v>
      </c>
      <c r="C2031" s="1" t="s">
        <v>6998</v>
      </c>
      <c r="D2031" s="1" t="s">
        <v>7002</v>
      </c>
      <c r="E2031" s="2">
        <v>37683.0</v>
      </c>
      <c r="F2031" s="1" t="s">
        <v>53</v>
      </c>
      <c r="G2031" s="1" t="s">
        <v>25</v>
      </c>
      <c r="H2031" s="1" t="s">
        <v>18</v>
      </c>
      <c r="I2031" s="3">
        <f>+2250779415074</f>
        <v>2250779415074</v>
      </c>
      <c r="J2031" s="3">
        <f>+2250767770244</f>
        <v>2250767770244</v>
      </c>
      <c r="K2031" s="1" t="s">
        <v>19</v>
      </c>
      <c r="L2031" s="4" t="s">
        <v>7003</v>
      </c>
    </row>
    <row r="2032">
      <c r="A2032" s="1" t="s">
        <v>12</v>
      </c>
      <c r="B2032" s="1" t="s">
        <v>7004</v>
      </c>
      <c r="C2032" s="1" t="s">
        <v>7005</v>
      </c>
      <c r="D2032" s="1" t="s">
        <v>7006</v>
      </c>
      <c r="E2032" s="5">
        <v>38674.0</v>
      </c>
      <c r="F2032" s="1" t="s">
        <v>16</v>
      </c>
      <c r="G2032" s="1" t="s">
        <v>25</v>
      </c>
      <c r="H2032" s="1" t="s">
        <v>18</v>
      </c>
      <c r="I2032" s="3">
        <f>+2250778251524</f>
        <v>2250778251524</v>
      </c>
      <c r="J2032" s="3">
        <f>+2250707408648</f>
        <v>2250707408648</v>
      </c>
      <c r="K2032" s="1" t="s">
        <v>19</v>
      </c>
      <c r="L2032" s="4" t="s">
        <v>7007</v>
      </c>
    </row>
    <row r="2033">
      <c r="A2033" s="1" t="s">
        <v>12</v>
      </c>
      <c r="B2033" s="1" t="s">
        <v>7008</v>
      </c>
      <c r="C2033" s="1" t="s">
        <v>7005</v>
      </c>
      <c r="D2033" s="1" t="s">
        <v>7009</v>
      </c>
      <c r="E2033" s="2">
        <v>37989.0</v>
      </c>
      <c r="F2033" s="1" t="s">
        <v>24</v>
      </c>
      <c r="G2033" s="1" t="s">
        <v>82</v>
      </c>
      <c r="H2033" s="1" t="s">
        <v>18</v>
      </c>
      <c r="I2033" s="3">
        <f>+2250507265756</f>
        <v>2250507265756</v>
      </c>
      <c r="J2033" s="3">
        <f>+2250747050577</f>
        <v>2250747050577</v>
      </c>
      <c r="K2033" s="1" t="s">
        <v>19</v>
      </c>
      <c r="L2033" s="4" t="s">
        <v>7010</v>
      </c>
    </row>
    <row r="2034">
      <c r="A2034" s="1" t="s">
        <v>12</v>
      </c>
      <c r="B2034" s="1" t="s">
        <v>7011</v>
      </c>
      <c r="C2034" s="1" t="s">
        <v>7005</v>
      </c>
      <c r="D2034" s="1" t="s">
        <v>7012</v>
      </c>
      <c r="E2034" s="2">
        <v>37758.0</v>
      </c>
      <c r="F2034" s="1" t="s">
        <v>342</v>
      </c>
      <c r="G2034" s="1" t="s">
        <v>82</v>
      </c>
      <c r="H2034" s="1" t="s">
        <v>18</v>
      </c>
      <c r="I2034" s="3">
        <f>+2250143316021</f>
        <v>2250143316021</v>
      </c>
      <c r="J2034" s="3">
        <f>+2250576960538</f>
        <v>2250576960538</v>
      </c>
      <c r="K2034" s="1" t="s">
        <v>19</v>
      </c>
      <c r="L2034" s="4" t="s">
        <v>7013</v>
      </c>
    </row>
    <row r="2035">
      <c r="A2035" s="1" t="s">
        <v>12</v>
      </c>
      <c r="B2035" s="1" t="s">
        <v>7014</v>
      </c>
      <c r="C2035" s="1" t="s">
        <v>7005</v>
      </c>
      <c r="D2035" s="1" t="s">
        <v>7015</v>
      </c>
      <c r="E2035" s="2">
        <v>38433.0</v>
      </c>
      <c r="F2035" s="1" t="s">
        <v>62</v>
      </c>
      <c r="G2035" s="1" t="s">
        <v>17</v>
      </c>
      <c r="H2035" s="1" t="s">
        <v>18</v>
      </c>
      <c r="I2035" s="3">
        <f>+2250142033632</f>
        <v>2250142033632</v>
      </c>
      <c r="J2035" s="3">
        <f>+2250103006336</f>
        <v>2250103006336</v>
      </c>
      <c r="K2035" s="1" t="s">
        <v>19</v>
      </c>
      <c r="L2035" s="4" t="s">
        <v>7016</v>
      </c>
    </row>
    <row r="2036">
      <c r="A2036" s="1" t="s">
        <v>12</v>
      </c>
      <c r="B2036" s="1" t="s">
        <v>7017</v>
      </c>
      <c r="C2036" s="1" t="s">
        <v>7005</v>
      </c>
      <c r="D2036" s="1" t="s">
        <v>7018</v>
      </c>
      <c r="E2036" s="2">
        <v>37454.0</v>
      </c>
      <c r="F2036" s="1" t="s">
        <v>182</v>
      </c>
      <c r="G2036" s="1" t="s">
        <v>82</v>
      </c>
      <c r="H2036" s="1" t="s">
        <v>18</v>
      </c>
      <c r="I2036" s="3">
        <f>+2250787154456</f>
        <v>2250787154456</v>
      </c>
      <c r="J2036" s="3">
        <f>+2250171079982</f>
        <v>2250171079982</v>
      </c>
      <c r="K2036" s="1" t="s">
        <v>19</v>
      </c>
      <c r="L2036" s="4" t="s">
        <v>7019</v>
      </c>
    </row>
    <row r="2037">
      <c r="A2037" s="1" t="s">
        <v>12</v>
      </c>
      <c r="B2037" s="1" t="s">
        <v>7020</v>
      </c>
      <c r="C2037" s="1" t="s">
        <v>7021</v>
      </c>
      <c r="D2037" s="1" t="s">
        <v>7022</v>
      </c>
      <c r="E2037" s="2">
        <v>37131.0</v>
      </c>
      <c r="F2037" s="1" t="s">
        <v>16</v>
      </c>
      <c r="G2037" s="1" t="s">
        <v>17</v>
      </c>
      <c r="H2037" s="1" t="s">
        <v>18</v>
      </c>
      <c r="I2037" s="3">
        <f>+2250768193017</f>
        <v>2250768193017</v>
      </c>
      <c r="J2037" s="3">
        <f>+2250759473055</f>
        <v>2250759473055</v>
      </c>
      <c r="K2037" s="1" t="s">
        <v>19</v>
      </c>
      <c r="L2037" s="4" t="s">
        <v>7023</v>
      </c>
    </row>
    <row r="2038">
      <c r="A2038" s="1" t="s">
        <v>12</v>
      </c>
      <c r="B2038" s="1" t="s">
        <v>7024</v>
      </c>
      <c r="C2038" s="1" t="s">
        <v>7025</v>
      </c>
      <c r="D2038" s="1" t="s">
        <v>7026</v>
      </c>
      <c r="E2038" s="5">
        <v>38678.0</v>
      </c>
      <c r="F2038" s="1" t="s">
        <v>155</v>
      </c>
      <c r="G2038" s="1" t="s">
        <v>76</v>
      </c>
      <c r="H2038" s="1" t="s">
        <v>32</v>
      </c>
      <c r="I2038" s="3">
        <f>+2250757797479</f>
        <v>2250757797479</v>
      </c>
      <c r="J2038" s="3">
        <f>+2250779089754</f>
        <v>2250779089754</v>
      </c>
      <c r="K2038" s="1" t="s">
        <v>19</v>
      </c>
      <c r="L2038" s="4" t="s">
        <v>7027</v>
      </c>
    </row>
    <row r="2039">
      <c r="A2039" s="1" t="s">
        <v>12</v>
      </c>
      <c r="B2039" s="1" t="s">
        <v>7028</v>
      </c>
      <c r="C2039" s="1" t="s">
        <v>7029</v>
      </c>
      <c r="D2039" s="1" t="s">
        <v>7030</v>
      </c>
      <c r="E2039" s="2">
        <v>38522.0</v>
      </c>
      <c r="F2039" s="1" t="s">
        <v>16</v>
      </c>
      <c r="G2039" s="1" t="s">
        <v>25</v>
      </c>
      <c r="H2039" s="1" t="s">
        <v>18</v>
      </c>
      <c r="I2039" s="3">
        <f>+2250584235184</f>
        <v>2250584235184</v>
      </c>
      <c r="J2039" s="3">
        <f>+2250505401631</f>
        <v>2250505401631</v>
      </c>
      <c r="K2039" s="1" t="s">
        <v>19</v>
      </c>
      <c r="L2039" s="4" t="s">
        <v>7031</v>
      </c>
    </row>
    <row r="2040">
      <c r="A2040" s="1" t="s">
        <v>12</v>
      </c>
      <c r="B2040" s="1" t="s">
        <v>7032</v>
      </c>
      <c r="C2040" s="1" t="s">
        <v>7033</v>
      </c>
      <c r="D2040" s="1" t="s">
        <v>7034</v>
      </c>
      <c r="E2040" s="2">
        <v>38147.0</v>
      </c>
      <c r="F2040" s="1" t="s">
        <v>24</v>
      </c>
      <c r="G2040" s="1" t="s">
        <v>25</v>
      </c>
      <c r="H2040" s="1" t="s">
        <v>18</v>
      </c>
      <c r="I2040" s="3">
        <f>+2250707939258</f>
        <v>2250707939258</v>
      </c>
      <c r="J2040" s="3">
        <f>+2250797671691</f>
        <v>2250797671691</v>
      </c>
      <c r="K2040" s="1" t="s">
        <v>19</v>
      </c>
      <c r="L2040" s="4" t="s">
        <v>7035</v>
      </c>
    </row>
    <row r="2041">
      <c r="A2041" s="1" t="s">
        <v>12</v>
      </c>
      <c r="B2041" s="1" t="s">
        <v>7036</v>
      </c>
      <c r="C2041" s="1" t="s">
        <v>7037</v>
      </c>
      <c r="D2041" s="1" t="s">
        <v>7038</v>
      </c>
      <c r="E2041" s="2">
        <v>38572.0</v>
      </c>
      <c r="F2041" s="1" t="s">
        <v>53</v>
      </c>
      <c r="G2041" s="1" t="s">
        <v>25</v>
      </c>
      <c r="H2041" s="1" t="s">
        <v>18</v>
      </c>
      <c r="I2041" s="3">
        <f>+2250702625733</f>
        <v>2250702625733</v>
      </c>
      <c r="J2041" s="3">
        <f>+2250140380632</f>
        <v>2250140380632</v>
      </c>
      <c r="K2041" s="1" t="s">
        <v>19</v>
      </c>
      <c r="L2041" s="4" t="s">
        <v>7039</v>
      </c>
    </row>
    <row r="2042">
      <c r="A2042" s="1" t="s">
        <v>12</v>
      </c>
      <c r="B2042" s="1" t="s">
        <v>7040</v>
      </c>
      <c r="C2042" s="1" t="s">
        <v>7037</v>
      </c>
      <c r="D2042" s="1" t="s">
        <v>7041</v>
      </c>
      <c r="E2042" s="2">
        <v>37651.0</v>
      </c>
      <c r="F2042" s="1" t="s">
        <v>62</v>
      </c>
      <c r="G2042" s="1" t="s">
        <v>17</v>
      </c>
      <c r="H2042" s="1" t="s">
        <v>18</v>
      </c>
      <c r="I2042" s="3">
        <f>+2250503370864</f>
        <v>2250503370864</v>
      </c>
      <c r="J2042" s="3">
        <f>+2250102177078</f>
        <v>2250102177078</v>
      </c>
      <c r="K2042" s="1" t="s">
        <v>19</v>
      </c>
      <c r="L2042" s="4" t="s">
        <v>7042</v>
      </c>
    </row>
    <row r="2043">
      <c r="A2043" s="1" t="s">
        <v>12</v>
      </c>
      <c r="B2043" s="1" t="s">
        <v>7043</v>
      </c>
      <c r="C2043" s="1" t="s">
        <v>7037</v>
      </c>
      <c r="D2043" s="1" t="s">
        <v>7044</v>
      </c>
      <c r="E2043" s="2">
        <v>37527.0</v>
      </c>
      <c r="F2043" s="1" t="s">
        <v>48</v>
      </c>
      <c r="G2043" s="1" t="s">
        <v>82</v>
      </c>
      <c r="H2043" s="1" t="s">
        <v>18</v>
      </c>
      <c r="I2043" s="3">
        <f>+2250565924596</f>
        <v>2250565924596</v>
      </c>
      <c r="J2043" s="3">
        <f>+2250749853132</f>
        <v>2250749853132</v>
      </c>
      <c r="K2043" s="1" t="s">
        <v>19</v>
      </c>
      <c r="L2043" s="4" t="s">
        <v>7045</v>
      </c>
    </row>
    <row r="2044">
      <c r="A2044" s="1" t="s">
        <v>12</v>
      </c>
      <c r="B2044" s="1" t="s">
        <v>7046</v>
      </c>
      <c r="C2044" s="1" t="s">
        <v>7037</v>
      </c>
      <c r="D2044" s="1" t="s">
        <v>7047</v>
      </c>
      <c r="E2044" s="2">
        <v>37847.0</v>
      </c>
      <c r="F2044" s="1" t="s">
        <v>155</v>
      </c>
      <c r="G2044" s="1" t="s">
        <v>31</v>
      </c>
      <c r="H2044" s="1" t="s">
        <v>32</v>
      </c>
      <c r="I2044" s="3">
        <f>+2250797242851</f>
        <v>2250797242851</v>
      </c>
      <c r="J2044" s="3">
        <f>+2250102011177</f>
        <v>2250102011177</v>
      </c>
      <c r="K2044" s="1" t="s">
        <v>19</v>
      </c>
      <c r="L2044" s="4" t="s">
        <v>7048</v>
      </c>
    </row>
    <row r="2045">
      <c r="A2045" s="1" t="s">
        <v>12</v>
      </c>
      <c r="B2045" s="1" t="s">
        <v>7049</v>
      </c>
      <c r="C2045" s="1" t="s">
        <v>7050</v>
      </c>
      <c r="D2045" s="1" t="s">
        <v>7051</v>
      </c>
      <c r="E2045" s="2">
        <v>37404.0</v>
      </c>
      <c r="F2045" s="1" t="s">
        <v>53</v>
      </c>
      <c r="G2045" s="1" t="s">
        <v>17</v>
      </c>
      <c r="H2045" s="1" t="s">
        <v>18</v>
      </c>
      <c r="I2045" s="3">
        <f>+2250153013491</f>
        <v>2250153013491</v>
      </c>
      <c r="J2045" s="3">
        <f>+2250595939312</f>
        <v>2250595939312</v>
      </c>
      <c r="K2045" s="1" t="s">
        <v>19</v>
      </c>
      <c r="L2045" s="4" t="s">
        <v>7052</v>
      </c>
    </row>
    <row r="2046">
      <c r="A2046" s="1" t="s">
        <v>12</v>
      </c>
      <c r="B2046" s="1" t="s">
        <v>7053</v>
      </c>
      <c r="C2046" s="1" t="s">
        <v>7054</v>
      </c>
      <c r="D2046" s="1" t="s">
        <v>7055</v>
      </c>
      <c r="E2046" s="2">
        <v>45161.0</v>
      </c>
      <c r="F2046" s="1" t="s">
        <v>16</v>
      </c>
      <c r="G2046" s="1" t="s">
        <v>17</v>
      </c>
      <c r="H2046" s="1" t="s">
        <v>18</v>
      </c>
      <c r="I2046" s="3">
        <f>+2250140439057</f>
        <v>2250140439057</v>
      </c>
      <c r="J2046" s="3">
        <f>+2250747477074</f>
        <v>2250747477074</v>
      </c>
      <c r="K2046" s="1" t="s">
        <v>19</v>
      </c>
      <c r="L2046" s="4" t="s">
        <v>7056</v>
      </c>
    </row>
    <row r="2047">
      <c r="A2047" s="1" t="s">
        <v>12</v>
      </c>
      <c r="B2047" s="1" t="s">
        <v>7057</v>
      </c>
      <c r="C2047" s="1" t="s">
        <v>7058</v>
      </c>
      <c r="D2047" s="1" t="s">
        <v>7059</v>
      </c>
      <c r="E2047" s="2">
        <v>37129.0</v>
      </c>
      <c r="F2047" s="1" t="s">
        <v>62</v>
      </c>
      <c r="G2047" s="1" t="s">
        <v>17</v>
      </c>
      <c r="H2047" s="1" t="s">
        <v>18</v>
      </c>
      <c r="I2047" s="3">
        <f>+2250702715549</f>
        <v>2250702715549</v>
      </c>
      <c r="J2047" s="3">
        <f>+2250708781576</f>
        <v>2250708781576</v>
      </c>
      <c r="K2047" s="1" t="s">
        <v>19</v>
      </c>
      <c r="L2047" s="4" t="s">
        <v>7060</v>
      </c>
    </row>
    <row r="2048">
      <c r="A2048" s="1" t="s">
        <v>12</v>
      </c>
      <c r="B2048" s="1" t="s">
        <v>7061</v>
      </c>
      <c r="C2048" s="1" t="s">
        <v>7058</v>
      </c>
      <c r="D2048" s="1" t="s">
        <v>7062</v>
      </c>
      <c r="E2048" s="2">
        <v>38877.0</v>
      </c>
      <c r="F2048" s="1" t="s">
        <v>53</v>
      </c>
      <c r="G2048" s="1" t="s">
        <v>25</v>
      </c>
      <c r="H2048" s="1" t="s">
        <v>18</v>
      </c>
      <c r="I2048" s="3">
        <f>+2250585721527</f>
        <v>2250585721527</v>
      </c>
      <c r="J2048" s="3">
        <f>+2250707229438</f>
        <v>2250707229438</v>
      </c>
      <c r="K2048" s="1" t="s">
        <v>19</v>
      </c>
      <c r="L2048" s="4" t="s">
        <v>7063</v>
      </c>
    </row>
    <row r="2049">
      <c r="A2049" s="1" t="s">
        <v>12</v>
      </c>
      <c r="B2049" s="1" t="s">
        <v>7064</v>
      </c>
      <c r="C2049" s="1" t="s">
        <v>7058</v>
      </c>
      <c r="D2049" s="1" t="s">
        <v>7065</v>
      </c>
      <c r="E2049" s="2">
        <v>37742.0</v>
      </c>
      <c r="F2049" s="1" t="s">
        <v>53</v>
      </c>
      <c r="G2049" s="1" t="s">
        <v>17</v>
      </c>
      <c r="H2049" s="1" t="s">
        <v>18</v>
      </c>
      <c r="I2049" s="3">
        <f>+2250565238780</f>
        <v>2250565238780</v>
      </c>
      <c r="J2049" s="3">
        <f>+2250707877367</f>
        <v>2250707877367</v>
      </c>
      <c r="K2049" s="1" t="s">
        <v>19</v>
      </c>
      <c r="L2049" s="4" t="s">
        <v>7066</v>
      </c>
    </row>
    <row r="2050">
      <c r="A2050" s="1" t="s">
        <v>12</v>
      </c>
      <c r="B2050" s="1" t="s">
        <v>7067</v>
      </c>
      <c r="C2050" s="1" t="s">
        <v>7068</v>
      </c>
      <c r="D2050" s="1" t="s">
        <v>7069</v>
      </c>
      <c r="E2050" s="2">
        <v>36918.0</v>
      </c>
      <c r="F2050" s="1" t="s">
        <v>62</v>
      </c>
      <c r="G2050" s="1" t="s">
        <v>17</v>
      </c>
      <c r="H2050" s="1" t="s">
        <v>18</v>
      </c>
      <c r="I2050" s="3">
        <f>+2250767563081</f>
        <v>2250767563081</v>
      </c>
      <c r="J2050" s="3">
        <f>+2250757872954</f>
        <v>2250757872954</v>
      </c>
      <c r="K2050" s="1" t="s">
        <v>19</v>
      </c>
      <c r="L2050" s="4" t="s">
        <v>7070</v>
      </c>
    </row>
    <row r="2051">
      <c r="A2051" s="1" t="s">
        <v>12</v>
      </c>
      <c r="B2051" s="1" t="s">
        <v>7071</v>
      </c>
      <c r="C2051" s="1" t="s">
        <v>7068</v>
      </c>
      <c r="D2051" s="1" t="s">
        <v>7072</v>
      </c>
      <c r="E2051" s="2">
        <v>38450.0</v>
      </c>
      <c r="F2051" s="1" t="s">
        <v>62</v>
      </c>
      <c r="G2051" s="1" t="s">
        <v>25</v>
      </c>
      <c r="H2051" s="1" t="s">
        <v>18</v>
      </c>
      <c r="I2051" s="3">
        <f>+2250585835682</f>
        <v>2250585835682</v>
      </c>
      <c r="J2051" s="3">
        <f>+2250757522350</f>
        <v>2250757522350</v>
      </c>
      <c r="K2051" s="1" t="s">
        <v>19</v>
      </c>
      <c r="L2051" s="4" t="s">
        <v>7073</v>
      </c>
    </row>
    <row r="2052">
      <c r="A2052" s="1" t="s">
        <v>12</v>
      </c>
      <c r="B2052" s="1" t="s">
        <v>7074</v>
      </c>
      <c r="C2052" s="1" t="s">
        <v>7075</v>
      </c>
      <c r="D2052" s="1" t="s">
        <v>7076</v>
      </c>
      <c r="E2052" s="2">
        <v>36865.0</v>
      </c>
      <c r="F2052" s="1" t="s">
        <v>570</v>
      </c>
      <c r="G2052" s="1" t="s">
        <v>82</v>
      </c>
      <c r="H2052" s="1" t="s">
        <v>18</v>
      </c>
      <c r="I2052" s="3">
        <f>+2250777368904</f>
        <v>2250777368904</v>
      </c>
      <c r="J2052" s="3">
        <f>+2250749031798</f>
        <v>2250749031798</v>
      </c>
      <c r="K2052" s="1" t="s">
        <v>19</v>
      </c>
      <c r="L2052" s="4" t="s">
        <v>7077</v>
      </c>
    </row>
    <row r="2053">
      <c r="A2053" s="1" t="s">
        <v>12</v>
      </c>
      <c r="B2053" s="1" t="s">
        <v>7078</v>
      </c>
      <c r="C2053" s="1" t="s">
        <v>7075</v>
      </c>
      <c r="D2053" s="1" t="s">
        <v>7079</v>
      </c>
      <c r="E2053" s="2">
        <v>37151.0</v>
      </c>
      <c r="F2053" s="1" t="s">
        <v>101</v>
      </c>
      <c r="G2053" s="1" t="s">
        <v>76</v>
      </c>
      <c r="H2053" s="1" t="s">
        <v>32</v>
      </c>
      <c r="I2053" s="3">
        <f>+2250759525237</f>
        <v>2250759525237</v>
      </c>
      <c r="J2053" s="3">
        <f>+2250708895757</f>
        <v>2250708895757</v>
      </c>
      <c r="K2053" s="1" t="s">
        <v>19</v>
      </c>
      <c r="L2053" s="4" t="s">
        <v>7080</v>
      </c>
    </row>
    <row r="2054">
      <c r="A2054" s="1" t="s">
        <v>12</v>
      </c>
      <c r="B2054" s="1" t="s">
        <v>7081</v>
      </c>
      <c r="C2054" s="1" t="s">
        <v>7075</v>
      </c>
      <c r="D2054" s="1" t="s">
        <v>7082</v>
      </c>
      <c r="E2054" s="2">
        <v>36734.0</v>
      </c>
      <c r="F2054" s="1" t="s">
        <v>16</v>
      </c>
      <c r="G2054" s="1" t="s">
        <v>17</v>
      </c>
      <c r="H2054" s="1" t="s">
        <v>18</v>
      </c>
      <c r="I2054" s="3">
        <f>+2250505762930</f>
        <v>2250505762930</v>
      </c>
      <c r="J2054" s="3">
        <f>+2250503762930</f>
        <v>2250503762930</v>
      </c>
      <c r="K2054" s="1" t="s">
        <v>19</v>
      </c>
      <c r="L2054" s="4" t="s">
        <v>7083</v>
      </c>
    </row>
    <row r="2055">
      <c r="A2055" s="1" t="s">
        <v>12</v>
      </c>
      <c r="B2055" s="1" t="s">
        <v>7084</v>
      </c>
      <c r="C2055" s="1" t="s">
        <v>7075</v>
      </c>
      <c r="D2055" s="1" t="s">
        <v>7085</v>
      </c>
      <c r="E2055" s="2">
        <v>38230.0</v>
      </c>
      <c r="F2055" s="1" t="s">
        <v>48</v>
      </c>
      <c r="G2055" s="1" t="s">
        <v>31</v>
      </c>
      <c r="H2055" s="1" t="s">
        <v>32</v>
      </c>
      <c r="I2055" s="3">
        <f>+2250798229863</f>
        <v>2250798229863</v>
      </c>
      <c r="J2055" s="3">
        <f>+2250758114549</f>
        <v>2250758114549</v>
      </c>
      <c r="K2055" s="1" t="s">
        <v>19</v>
      </c>
      <c r="L2055" s="4" t="s">
        <v>7086</v>
      </c>
    </row>
    <row r="2056">
      <c r="A2056" s="1" t="s">
        <v>12</v>
      </c>
      <c r="B2056" s="1" t="s">
        <v>7087</v>
      </c>
      <c r="C2056" s="1" t="s">
        <v>7075</v>
      </c>
      <c r="D2056" s="1" t="s">
        <v>7088</v>
      </c>
      <c r="E2056" s="2">
        <v>38482.0</v>
      </c>
      <c r="F2056" s="1" t="s">
        <v>53</v>
      </c>
      <c r="G2056" s="1" t="s">
        <v>25</v>
      </c>
      <c r="H2056" s="1" t="s">
        <v>18</v>
      </c>
      <c r="I2056" s="3">
        <f>+2250173655852</f>
        <v>2250173655852</v>
      </c>
      <c r="J2056" s="3">
        <f>+2250777835956</f>
        <v>2250777835956</v>
      </c>
      <c r="K2056" s="1" t="s">
        <v>19</v>
      </c>
      <c r="L2056" s="4" t="s">
        <v>7089</v>
      </c>
    </row>
    <row r="2057">
      <c r="A2057" s="1" t="s">
        <v>12</v>
      </c>
      <c r="B2057" s="1" t="s">
        <v>7090</v>
      </c>
      <c r="C2057" s="1" t="s">
        <v>7075</v>
      </c>
      <c r="D2057" s="1" t="s">
        <v>7091</v>
      </c>
      <c r="E2057" s="2">
        <v>38574.0</v>
      </c>
      <c r="F2057" s="1" t="s">
        <v>101</v>
      </c>
      <c r="G2057" s="1" t="s">
        <v>76</v>
      </c>
      <c r="H2057" s="1" t="s">
        <v>32</v>
      </c>
      <c r="I2057" s="3">
        <f t="shared" ref="I2057:J2057" si="58">+2250153816460</f>
        <v>2250153816460</v>
      </c>
      <c r="J2057" s="3">
        <f t="shared" si="58"/>
        <v>2250153816460</v>
      </c>
      <c r="K2057" s="1" t="s">
        <v>19</v>
      </c>
      <c r="L2057" s="4" t="s">
        <v>7092</v>
      </c>
    </row>
    <row r="2058">
      <c r="A2058" s="1" t="s">
        <v>12</v>
      </c>
      <c r="B2058" s="1" t="s">
        <v>7093</v>
      </c>
      <c r="C2058" s="1" t="s">
        <v>7075</v>
      </c>
      <c r="D2058" s="1" t="s">
        <v>7094</v>
      </c>
      <c r="E2058" s="5">
        <v>37942.0</v>
      </c>
      <c r="F2058" s="1" t="s">
        <v>16</v>
      </c>
      <c r="G2058" s="1" t="s">
        <v>82</v>
      </c>
      <c r="H2058" s="1" t="s">
        <v>18</v>
      </c>
      <c r="I2058" s="3">
        <f>+2250707585341</f>
        <v>2250707585341</v>
      </c>
      <c r="J2058" s="3">
        <f>+2250707750605</f>
        <v>2250707750605</v>
      </c>
      <c r="K2058" s="1" t="s">
        <v>19</v>
      </c>
      <c r="L2058" s="4" t="s">
        <v>7095</v>
      </c>
    </row>
    <row r="2059">
      <c r="A2059" s="1" t="s">
        <v>12</v>
      </c>
      <c r="B2059" s="1" t="s">
        <v>7096</v>
      </c>
      <c r="C2059" s="1" t="s">
        <v>7075</v>
      </c>
      <c r="D2059" s="1" t="s">
        <v>7097</v>
      </c>
      <c r="E2059" s="2">
        <v>37565.0</v>
      </c>
      <c r="F2059" s="1" t="s">
        <v>48</v>
      </c>
      <c r="G2059" s="1" t="s">
        <v>31</v>
      </c>
      <c r="H2059" s="1" t="s">
        <v>32</v>
      </c>
      <c r="I2059" s="3">
        <f>+2250710125087</f>
        <v>2250710125087</v>
      </c>
      <c r="J2059" s="3">
        <f>+225050578097</f>
        <v>225050578097</v>
      </c>
      <c r="K2059" s="1" t="s">
        <v>19</v>
      </c>
      <c r="L2059" s="4" t="s">
        <v>7098</v>
      </c>
    </row>
    <row r="2060">
      <c r="A2060" s="1" t="s">
        <v>12</v>
      </c>
      <c r="B2060" s="1" t="s">
        <v>7099</v>
      </c>
      <c r="C2060" s="1" t="s">
        <v>7075</v>
      </c>
      <c r="D2060" s="1" t="s">
        <v>7100</v>
      </c>
      <c r="E2060" s="5">
        <v>38680.0</v>
      </c>
      <c r="F2060" s="1" t="s">
        <v>16</v>
      </c>
      <c r="G2060" s="1" t="s">
        <v>25</v>
      </c>
      <c r="H2060" s="1" t="s">
        <v>18</v>
      </c>
      <c r="I2060" s="3">
        <f t="shared" ref="I2060:J2060" si="59">+2250141393373</f>
        <v>2250141393373</v>
      </c>
      <c r="J2060" s="3">
        <f t="shared" si="59"/>
        <v>2250141393373</v>
      </c>
      <c r="K2060" s="1" t="s">
        <v>19</v>
      </c>
      <c r="L2060" s="4" t="s">
        <v>7101</v>
      </c>
    </row>
    <row r="2061">
      <c r="A2061" s="1" t="s">
        <v>12</v>
      </c>
      <c r="B2061" s="1" t="s">
        <v>7102</v>
      </c>
      <c r="C2061" s="1" t="s">
        <v>7075</v>
      </c>
      <c r="D2061" s="1" t="s">
        <v>7103</v>
      </c>
      <c r="E2061" s="2">
        <v>37348.0</v>
      </c>
      <c r="F2061" s="1" t="s">
        <v>167</v>
      </c>
      <c r="G2061" s="1" t="s">
        <v>17</v>
      </c>
      <c r="H2061" s="1" t="s">
        <v>18</v>
      </c>
      <c r="I2061" s="3">
        <f>+2250546837873</f>
        <v>2250546837873</v>
      </c>
      <c r="J2061" s="3">
        <f>+2250544331930</f>
        <v>2250544331930</v>
      </c>
      <c r="K2061" s="1" t="s">
        <v>19</v>
      </c>
      <c r="L2061" s="4" t="s">
        <v>7104</v>
      </c>
    </row>
    <row r="2062">
      <c r="A2062" s="1" t="s">
        <v>12</v>
      </c>
      <c r="B2062" s="1" t="s">
        <v>7105</v>
      </c>
      <c r="C2062" s="1" t="s">
        <v>7075</v>
      </c>
      <c r="D2062" s="1" t="s">
        <v>7106</v>
      </c>
      <c r="E2062" s="5">
        <v>38315.0</v>
      </c>
      <c r="F2062" s="1" t="s">
        <v>101</v>
      </c>
      <c r="G2062" s="1" t="s">
        <v>76</v>
      </c>
      <c r="H2062" s="1" t="s">
        <v>32</v>
      </c>
      <c r="I2062" s="3">
        <f>+2250140169071</f>
        <v>2250140169071</v>
      </c>
      <c r="J2062" s="3">
        <f>+2250504717798</f>
        <v>2250504717798</v>
      </c>
      <c r="K2062" s="1" t="s">
        <v>19</v>
      </c>
      <c r="L2062" s="4" t="s">
        <v>7107</v>
      </c>
    </row>
    <row r="2063">
      <c r="A2063" s="1" t="s">
        <v>12</v>
      </c>
      <c r="B2063" s="1" t="s">
        <v>7108</v>
      </c>
      <c r="C2063" s="1" t="s">
        <v>7075</v>
      </c>
      <c r="D2063" s="1" t="s">
        <v>7109</v>
      </c>
      <c r="E2063" s="2">
        <v>38214.0</v>
      </c>
      <c r="F2063" s="1" t="s">
        <v>75</v>
      </c>
      <c r="G2063" s="1" t="s">
        <v>76</v>
      </c>
      <c r="H2063" s="1" t="s">
        <v>32</v>
      </c>
      <c r="I2063" s="3">
        <f>+2250585398870</f>
        <v>2250585398870</v>
      </c>
      <c r="J2063" s="3">
        <f>+2250545418670</f>
        <v>2250545418670</v>
      </c>
      <c r="K2063" s="1" t="s">
        <v>19</v>
      </c>
      <c r="L2063" s="4" t="s">
        <v>7110</v>
      </c>
    </row>
    <row r="2064">
      <c r="A2064" s="1" t="s">
        <v>12</v>
      </c>
      <c r="B2064" s="1" t="s">
        <v>7111</v>
      </c>
      <c r="C2064" s="1" t="s">
        <v>7075</v>
      </c>
      <c r="D2064" s="1" t="s">
        <v>7112</v>
      </c>
      <c r="E2064" s="2">
        <v>36993.0</v>
      </c>
      <c r="F2064" s="1" t="s">
        <v>75</v>
      </c>
      <c r="G2064" s="1" t="s">
        <v>31</v>
      </c>
      <c r="H2064" s="1" t="s">
        <v>32</v>
      </c>
      <c r="I2064" s="3">
        <f>+2250767136467</f>
        <v>2250767136467</v>
      </c>
      <c r="J2064" s="3">
        <f>+2250749350317</f>
        <v>2250749350317</v>
      </c>
      <c r="K2064" s="1" t="s">
        <v>19</v>
      </c>
      <c r="L2064" s="4" t="s">
        <v>7113</v>
      </c>
    </row>
    <row r="2065">
      <c r="A2065" s="1" t="s">
        <v>12</v>
      </c>
      <c r="B2065" s="1" t="s">
        <v>7114</v>
      </c>
      <c r="C2065" s="1" t="s">
        <v>7075</v>
      </c>
      <c r="D2065" s="1" t="s">
        <v>7115</v>
      </c>
      <c r="E2065" s="2">
        <v>38781.0</v>
      </c>
      <c r="F2065" s="1" t="s">
        <v>87</v>
      </c>
      <c r="G2065" s="1" t="s">
        <v>76</v>
      </c>
      <c r="H2065" s="1" t="s">
        <v>32</v>
      </c>
      <c r="I2065" s="3">
        <f>+2250150952664</f>
        <v>2250150952664</v>
      </c>
      <c r="J2065" s="3">
        <f>+2250707635040</f>
        <v>2250707635040</v>
      </c>
      <c r="K2065" s="1" t="s">
        <v>19</v>
      </c>
      <c r="L2065" s="4" t="s">
        <v>7116</v>
      </c>
    </row>
    <row r="2066">
      <c r="A2066" s="1" t="s">
        <v>12</v>
      </c>
      <c r="B2066" s="1" t="s">
        <v>7117</v>
      </c>
      <c r="C2066" s="1" t="s">
        <v>7075</v>
      </c>
      <c r="D2066" s="1" t="s">
        <v>7118</v>
      </c>
      <c r="E2066" s="2">
        <v>36988.0</v>
      </c>
      <c r="F2066" s="1" t="s">
        <v>75</v>
      </c>
      <c r="G2066" s="1" t="s">
        <v>31</v>
      </c>
      <c r="H2066" s="1" t="s">
        <v>32</v>
      </c>
      <c r="I2066" s="3">
        <f>+2250759898914</f>
        <v>2250759898914</v>
      </c>
      <c r="J2066" s="3">
        <f>+2250758217271</f>
        <v>2250758217271</v>
      </c>
      <c r="K2066" s="1" t="s">
        <v>19</v>
      </c>
      <c r="L2066" s="4" t="s">
        <v>7119</v>
      </c>
    </row>
    <row r="2067">
      <c r="A2067" s="1" t="s">
        <v>12</v>
      </c>
      <c r="B2067" s="1" t="s">
        <v>7120</v>
      </c>
      <c r="C2067" s="1" t="s">
        <v>7075</v>
      </c>
      <c r="D2067" s="1" t="s">
        <v>7121</v>
      </c>
      <c r="E2067" s="5">
        <v>37191.0</v>
      </c>
      <c r="F2067" s="1" t="s">
        <v>101</v>
      </c>
      <c r="G2067" s="1" t="s">
        <v>31</v>
      </c>
      <c r="H2067" s="1" t="s">
        <v>32</v>
      </c>
      <c r="I2067" s="3">
        <f>+2250778481961</f>
        <v>2250778481961</v>
      </c>
      <c r="J2067" s="3">
        <f>+2250708619177</f>
        <v>2250708619177</v>
      </c>
      <c r="K2067" s="1" t="s">
        <v>19</v>
      </c>
      <c r="L2067" s="4" t="s">
        <v>7122</v>
      </c>
    </row>
    <row r="2068">
      <c r="A2068" s="1" t="s">
        <v>12</v>
      </c>
      <c r="B2068" s="1" t="s">
        <v>7123</v>
      </c>
      <c r="C2068" s="1" t="s">
        <v>7075</v>
      </c>
      <c r="D2068" s="1" t="s">
        <v>7124</v>
      </c>
      <c r="E2068" s="2">
        <v>38882.0</v>
      </c>
      <c r="F2068" s="1" t="s">
        <v>87</v>
      </c>
      <c r="G2068" s="1" t="s">
        <v>76</v>
      </c>
      <c r="H2068" s="1" t="s">
        <v>32</v>
      </c>
      <c r="I2068" s="3">
        <f>+2250787567050</f>
        <v>2250787567050</v>
      </c>
      <c r="J2068" s="3">
        <f>+2250707107690</f>
        <v>2250707107690</v>
      </c>
      <c r="K2068" s="1" t="s">
        <v>19</v>
      </c>
      <c r="L2068" s="4" t="s">
        <v>7125</v>
      </c>
    </row>
    <row r="2069">
      <c r="A2069" s="1" t="s">
        <v>12</v>
      </c>
      <c r="B2069" s="1" t="s">
        <v>7126</v>
      </c>
      <c r="C2069" s="1" t="s">
        <v>7075</v>
      </c>
      <c r="D2069" s="1" t="s">
        <v>7127</v>
      </c>
      <c r="E2069" s="2">
        <v>37776.0</v>
      </c>
      <c r="F2069" s="1" t="s">
        <v>37</v>
      </c>
      <c r="G2069" s="1" t="s">
        <v>82</v>
      </c>
      <c r="H2069" s="1" t="s">
        <v>18</v>
      </c>
      <c r="I2069" s="3">
        <f>+2250778610893</f>
        <v>2250778610893</v>
      </c>
      <c r="J2069" s="3">
        <f>+2250707922248</f>
        <v>2250707922248</v>
      </c>
      <c r="K2069" s="1" t="s">
        <v>19</v>
      </c>
      <c r="L2069" s="4" t="s">
        <v>7128</v>
      </c>
    </row>
    <row r="2070">
      <c r="A2070" s="1" t="s">
        <v>12</v>
      </c>
      <c r="B2070" s="1" t="s">
        <v>7129</v>
      </c>
      <c r="C2070" s="1" t="s">
        <v>7075</v>
      </c>
      <c r="D2070" s="1" t="s">
        <v>7130</v>
      </c>
      <c r="E2070" s="2">
        <v>33807.0</v>
      </c>
      <c r="F2070" s="1" t="s">
        <v>101</v>
      </c>
      <c r="G2070" s="1" t="s">
        <v>82</v>
      </c>
      <c r="H2070" s="1" t="s">
        <v>18</v>
      </c>
      <c r="I2070" s="3">
        <f>+2250544826669</f>
        <v>2250544826669</v>
      </c>
      <c r="J2070" s="3">
        <f>+2250758962914</f>
        <v>2250758962914</v>
      </c>
      <c r="K2070" s="1" t="s">
        <v>19</v>
      </c>
      <c r="L2070" s="4" t="s">
        <v>7131</v>
      </c>
    </row>
    <row r="2071">
      <c r="A2071" s="1" t="s">
        <v>12</v>
      </c>
      <c r="B2071" s="1" t="s">
        <v>7132</v>
      </c>
      <c r="C2071" s="1" t="s">
        <v>7075</v>
      </c>
      <c r="D2071" s="1" t="s">
        <v>7133</v>
      </c>
      <c r="E2071" s="5">
        <v>37584.0</v>
      </c>
      <c r="F2071" s="1" t="s">
        <v>16</v>
      </c>
      <c r="G2071" s="1" t="s">
        <v>17</v>
      </c>
      <c r="H2071" s="1" t="s">
        <v>18</v>
      </c>
      <c r="I2071" s="3">
        <f>+2250101228352</f>
        <v>2250101228352</v>
      </c>
      <c r="J2071" s="3">
        <f>+2250103804475</f>
        <v>2250103804475</v>
      </c>
      <c r="K2071" s="1" t="s">
        <v>19</v>
      </c>
      <c r="L2071" s="4" t="s">
        <v>7134</v>
      </c>
    </row>
    <row r="2072">
      <c r="A2072" s="1" t="s">
        <v>12</v>
      </c>
      <c r="B2072" s="1" t="s">
        <v>7135</v>
      </c>
      <c r="C2072" s="1" t="s">
        <v>7075</v>
      </c>
      <c r="D2072" s="1" t="s">
        <v>7136</v>
      </c>
      <c r="E2072" s="2">
        <v>37992.0</v>
      </c>
      <c r="F2072" s="1" t="s">
        <v>138</v>
      </c>
      <c r="G2072" s="1" t="s">
        <v>31</v>
      </c>
      <c r="H2072" s="1" t="s">
        <v>32</v>
      </c>
      <c r="I2072" s="3">
        <f>+2250141245530</f>
        <v>2250141245530</v>
      </c>
      <c r="J2072" s="3">
        <f>+2250748358449</f>
        <v>2250748358449</v>
      </c>
      <c r="K2072" s="1" t="s">
        <v>19</v>
      </c>
      <c r="L2072" s="4" t="s">
        <v>7137</v>
      </c>
    </row>
    <row r="2073">
      <c r="A2073" s="1" t="s">
        <v>12</v>
      </c>
      <c r="B2073" s="1" t="s">
        <v>7138</v>
      </c>
      <c r="C2073" s="1" t="s">
        <v>7075</v>
      </c>
      <c r="D2073" s="1" t="s">
        <v>7139</v>
      </c>
      <c r="E2073" s="2">
        <v>38589.0</v>
      </c>
      <c r="F2073" s="1" t="s">
        <v>155</v>
      </c>
      <c r="G2073" s="1" t="s">
        <v>76</v>
      </c>
      <c r="H2073" s="1" t="s">
        <v>32</v>
      </c>
      <c r="I2073" s="3">
        <f>+2250788886478</f>
        <v>2250788886478</v>
      </c>
      <c r="J2073" s="3">
        <f>+2250707380693</f>
        <v>2250707380693</v>
      </c>
      <c r="K2073" s="1" t="s">
        <v>19</v>
      </c>
      <c r="L2073" s="4" t="s">
        <v>7140</v>
      </c>
    </row>
    <row r="2074">
      <c r="A2074" s="1" t="s">
        <v>12</v>
      </c>
      <c r="B2074" s="1" t="s">
        <v>7141</v>
      </c>
      <c r="C2074" s="1" t="s">
        <v>7075</v>
      </c>
      <c r="D2074" s="1" t="s">
        <v>7142</v>
      </c>
      <c r="E2074" s="2">
        <v>37775.0</v>
      </c>
      <c r="F2074" s="1" t="s">
        <v>87</v>
      </c>
      <c r="G2074" s="1" t="s">
        <v>76</v>
      </c>
      <c r="H2074" s="1" t="s">
        <v>32</v>
      </c>
      <c r="I2074" s="3">
        <f>+2250143417801</f>
        <v>2250143417801</v>
      </c>
      <c r="J2074" s="3">
        <f>+2250778592533</f>
        <v>2250778592533</v>
      </c>
      <c r="K2074" s="1" t="s">
        <v>19</v>
      </c>
      <c r="L2074" s="4" t="s">
        <v>7143</v>
      </c>
    </row>
    <row r="2075">
      <c r="A2075" s="1" t="s">
        <v>12</v>
      </c>
      <c r="B2075" s="1" t="s">
        <v>7144</v>
      </c>
      <c r="C2075" s="1" t="s">
        <v>7075</v>
      </c>
      <c r="D2075" s="1" t="s">
        <v>7145</v>
      </c>
      <c r="E2075" s="2">
        <v>37091.0</v>
      </c>
      <c r="F2075" s="1" t="s">
        <v>87</v>
      </c>
      <c r="G2075" s="1" t="s">
        <v>31</v>
      </c>
      <c r="H2075" s="1" t="s">
        <v>32</v>
      </c>
      <c r="I2075" s="3">
        <f t="shared" ref="I2075:J2075" si="60">+2250759088099</f>
        <v>2250759088099</v>
      </c>
      <c r="J2075" s="3">
        <f t="shared" si="60"/>
        <v>2250759088099</v>
      </c>
      <c r="K2075" s="1" t="s">
        <v>19</v>
      </c>
      <c r="L2075" s="4" t="s">
        <v>7146</v>
      </c>
    </row>
    <row r="2076">
      <c r="A2076" s="1" t="s">
        <v>12</v>
      </c>
      <c r="B2076" s="1" t="s">
        <v>7147</v>
      </c>
      <c r="C2076" s="1" t="s">
        <v>7075</v>
      </c>
      <c r="D2076" s="1" t="s">
        <v>7148</v>
      </c>
      <c r="E2076" s="2">
        <v>37597.0</v>
      </c>
      <c r="F2076" s="1" t="s">
        <v>351</v>
      </c>
      <c r="G2076" s="1" t="s">
        <v>31</v>
      </c>
      <c r="H2076" s="1" t="s">
        <v>32</v>
      </c>
      <c r="I2076" s="3">
        <f>+2250777794043</f>
        <v>2250777794043</v>
      </c>
      <c r="J2076" s="3">
        <f>+2250709024469</f>
        <v>2250709024469</v>
      </c>
      <c r="K2076" s="1" t="s">
        <v>19</v>
      </c>
      <c r="L2076" s="4" t="s">
        <v>7149</v>
      </c>
    </row>
    <row r="2077">
      <c r="A2077" s="1" t="s">
        <v>12</v>
      </c>
      <c r="B2077" s="1" t="s">
        <v>7150</v>
      </c>
      <c r="C2077" s="1" t="s">
        <v>7075</v>
      </c>
      <c r="D2077" s="1" t="s">
        <v>7151</v>
      </c>
      <c r="E2077" s="2">
        <v>38569.0</v>
      </c>
      <c r="F2077" s="1" t="s">
        <v>30</v>
      </c>
      <c r="G2077" s="1" t="s">
        <v>31</v>
      </c>
      <c r="H2077" s="1" t="s">
        <v>32</v>
      </c>
      <c r="I2077" s="3">
        <f>+2250709390375</f>
        <v>2250709390375</v>
      </c>
      <c r="J2077" s="3">
        <f>+2250747060525</f>
        <v>2250747060525</v>
      </c>
      <c r="K2077" s="1" t="s">
        <v>19</v>
      </c>
      <c r="L2077" s="4" t="s">
        <v>7152</v>
      </c>
    </row>
    <row r="2078">
      <c r="A2078" s="1" t="s">
        <v>12</v>
      </c>
      <c r="B2078" s="1" t="s">
        <v>7153</v>
      </c>
      <c r="C2078" s="1" t="s">
        <v>7075</v>
      </c>
      <c r="D2078" s="1" t="s">
        <v>7154</v>
      </c>
      <c r="E2078" s="2">
        <v>37565.0</v>
      </c>
      <c r="F2078" s="1" t="s">
        <v>155</v>
      </c>
      <c r="G2078" s="1" t="s">
        <v>31</v>
      </c>
      <c r="H2078" s="1" t="s">
        <v>32</v>
      </c>
      <c r="I2078" s="3">
        <f>+2250142013244</f>
        <v>2250142013244</v>
      </c>
      <c r="J2078" s="3">
        <f>+2250103855228</f>
        <v>2250103855228</v>
      </c>
      <c r="K2078" s="1" t="s">
        <v>19</v>
      </c>
      <c r="L2078" s="4" t="s">
        <v>7155</v>
      </c>
    </row>
    <row r="2079">
      <c r="A2079" s="1" t="s">
        <v>12</v>
      </c>
      <c r="B2079" s="1" t="s">
        <v>7156</v>
      </c>
      <c r="C2079" s="1" t="s">
        <v>7075</v>
      </c>
      <c r="D2079" s="1" t="s">
        <v>7157</v>
      </c>
      <c r="E2079" s="5">
        <v>37610.0</v>
      </c>
      <c r="F2079" s="1" t="s">
        <v>167</v>
      </c>
      <c r="G2079" s="1" t="s">
        <v>17</v>
      </c>
      <c r="H2079" s="1" t="s">
        <v>18</v>
      </c>
      <c r="I2079" s="3">
        <f>+2250748410039</f>
        <v>2250748410039</v>
      </c>
      <c r="J2079" s="3">
        <f>+2250141218020</f>
        <v>2250141218020</v>
      </c>
      <c r="K2079" s="1" t="s">
        <v>19</v>
      </c>
      <c r="L2079" s="4" t="s">
        <v>7158</v>
      </c>
    </row>
    <row r="2080">
      <c r="A2080" s="1" t="s">
        <v>12</v>
      </c>
      <c r="B2080" s="1" t="s">
        <v>7159</v>
      </c>
      <c r="C2080" s="1" t="s">
        <v>7075</v>
      </c>
      <c r="D2080" s="1" t="s">
        <v>7160</v>
      </c>
      <c r="E2080" s="2">
        <v>38023.0</v>
      </c>
      <c r="F2080" s="1" t="s">
        <v>101</v>
      </c>
      <c r="G2080" s="1" t="s">
        <v>76</v>
      </c>
      <c r="H2080" s="1" t="s">
        <v>32</v>
      </c>
      <c r="I2080" s="3">
        <f>+2250546808392</f>
        <v>2250546808392</v>
      </c>
      <c r="J2080" s="3">
        <f>+2250709905058</f>
        <v>2250709905058</v>
      </c>
      <c r="K2080" s="1" t="s">
        <v>19</v>
      </c>
      <c r="L2080" s="4" t="s">
        <v>7161</v>
      </c>
    </row>
    <row r="2081">
      <c r="A2081" s="1" t="s">
        <v>12</v>
      </c>
      <c r="B2081" s="1" t="s">
        <v>7162</v>
      </c>
      <c r="C2081" s="1" t="s">
        <v>7075</v>
      </c>
      <c r="D2081" s="1" t="s">
        <v>7163</v>
      </c>
      <c r="E2081" s="2">
        <v>38139.0</v>
      </c>
      <c r="F2081" s="1" t="s">
        <v>16</v>
      </c>
      <c r="G2081" s="1" t="s">
        <v>25</v>
      </c>
      <c r="H2081" s="1" t="s">
        <v>18</v>
      </c>
      <c r="I2081" s="3">
        <f>+2250704941237</f>
        <v>2250704941237</v>
      </c>
      <c r="J2081" s="3">
        <f>+2250709479721</f>
        <v>2250709479721</v>
      </c>
      <c r="K2081" s="1" t="s">
        <v>19</v>
      </c>
      <c r="L2081" s="4" t="s">
        <v>7164</v>
      </c>
    </row>
    <row r="2082">
      <c r="A2082" s="1" t="s">
        <v>12</v>
      </c>
      <c r="B2082" s="1" t="s">
        <v>7165</v>
      </c>
      <c r="C2082" s="1" t="s">
        <v>7075</v>
      </c>
      <c r="D2082" s="1" t="s">
        <v>7166</v>
      </c>
      <c r="E2082" s="2">
        <v>37812.0</v>
      </c>
      <c r="F2082" s="1" t="s">
        <v>62</v>
      </c>
      <c r="G2082" s="1" t="s">
        <v>25</v>
      </c>
      <c r="H2082" s="1" t="s">
        <v>18</v>
      </c>
      <c r="I2082" s="3">
        <f>+2250789489816</f>
        <v>2250789489816</v>
      </c>
      <c r="J2082" s="3">
        <f>+2250505601085</f>
        <v>2250505601085</v>
      </c>
      <c r="K2082" s="1" t="s">
        <v>19</v>
      </c>
      <c r="L2082" s="4" t="s">
        <v>7167</v>
      </c>
    </row>
    <row r="2083">
      <c r="A2083" s="1" t="s">
        <v>12</v>
      </c>
      <c r="B2083" s="1" t="s">
        <v>7168</v>
      </c>
      <c r="C2083" s="1" t="s">
        <v>7075</v>
      </c>
      <c r="D2083" s="1" t="s">
        <v>7169</v>
      </c>
      <c r="E2083" s="2">
        <v>37718.0</v>
      </c>
      <c r="F2083" s="1" t="s">
        <v>53</v>
      </c>
      <c r="G2083" s="1" t="s">
        <v>17</v>
      </c>
      <c r="H2083" s="1" t="s">
        <v>18</v>
      </c>
      <c r="I2083" s="3">
        <f>+2250705034072</f>
        <v>2250705034072</v>
      </c>
      <c r="J2083" s="3">
        <f>+2250748434912</f>
        <v>2250748434912</v>
      </c>
      <c r="K2083" s="1" t="s">
        <v>19</v>
      </c>
      <c r="L2083" s="4" t="s">
        <v>7170</v>
      </c>
    </row>
    <row r="2084">
      <c r="A2084" s="1" t="s">
        <v>12</v>
      </c>
      <c r="B2084" s="1" t="s">
        <v>7171</v>
      </c>
      <c r="C2084" s="1" t="s">
        <v>7075</v>
      </c>
      <c r="D2084" s="1" t="s">
        <v>7172</v>
      </c>
      <c r="E2084" s="2">
        <v>38294.0</v>
      </c>
      <c r="F2084" s="1" t="s">
        <v>62</v>
      </c>
      <c r="G2084" s="1" t="s">
        <v>17</v>
      </c>
      <c r="H2084" s="1" t="s">
        <v>18</v>
      </c>
      <c r="I2084" s="3">
        <f>+2250585400533</f>
        <v>2250585400533</v>
      </c>
      <c r="J2084" s="3">
        <f>+2250759429870</f>
        <v>2250759429870</v>
      </c>
      <c r="K2084" s="1" t="s">
        <v>19</v>
      </c>
      <c r="L2084" s="4" t="s">
        <v>7173</v>
      </c>
    </row>
    <row r="2085">
      <c r="A2085" s="1" t="s">
        <v>12</v>
      </c>
      <c r="B2085" s="1" t="s">
        <v>7174</v>
      </c>
      <c r="C2085" s="1" t="s">
        <v>7075</v>
      </c>
      <c r="D2085" s="1" t="s">
        <v>7175</v>
      </c>
      <c r="E2085" s="2">
        <v>37995.0</v>
      </c>
      <c r="F2085" s="1" t="s">
        <v>16</v>
      </c>
      <c r="G2085" s="1" t="s">
        <v>17</v>
      </c>
      <c r="H2085" s="1" t="s">
        <v>18</v>
      </c>
      <c r="I2085" s="3">
        <f>+2250565542878</f>
        <v>2250565542878</v>
      </c>
      <c r="J2085" s="3">
        <f>+2250708777640</f>
        <v>2250708777640</v>
      </c>
      <c r="K2085" s="1" t="s">
        <v>19</v>
      </c>
      <c r="L2085" s="4" t="s">
        <v>7176</v>
      </c>
    </row>
    <row r="2086">
      <c r="A2086" s="1" t="s">
        <v>12</v>
      </c>
      <c r="B2086" s="1" t="s">
        <v>7177</v>
      </c>
      <c r="C2086" s="1" t="s">
        <v>7075</v>
      </c>
      <c r="D2086" s="1" t="s">
        <v>7178</v>
      </c>
      <c r="E2086" s="2">
        <v>37672.0</v>
      </c>
      <c r="F2086" s="1" t="s">
        <v>75</v>
      </c>
      <c r="G2086" s="1" t="s">
        <v>31</v>
      </c>
      <c r="H2086" s="1" t="s">
        <v>32</v>
      </c>
      <c r="I2086" s="3">
        <f>+2250709725737</f>
        <v>2250709725737</v>
      </c>
      <c r="J2086" s="3">
        <f>+2250707843751</f>
        <v>2250707843751</v>
      </c>
      <c r="K2086" s="1" t="s">
        <v>19</v>
      </c>
      <c r="L2086" s="4" t="s">
        <v>7179</v>
      </c>
    </row>
    <row r="2087">
      <c r="A2087" s="1" t="s">
        <v>12</v>
      </c>
      <c r="B2087" s="1" t="s">
        <v>7180</v>
      </c>
      <c r="C2087" s="1" t="s">
        <v>7075</v>
      </c>
      <c r="D2087" s="1" t="s">
        <v>7181</v>
      </c>
      <c r="E2087" s="2">
        <v>38718.0</v>
      </c>
      <c r="F2087" s="1" t="s">
        <v>30</v>
      </c>
      <c r="G2087" s="1" t="s">
        <v>31</v>
      </c>
      <c r="H2087" s="1" t="s">
        <v>32</v>
      </c>
      <c r="I2087" s="3">
        <f>+225077159497</f>
        <v>225077159497</v>
      </c>
      <c r="J2087" s="3">
        <f>+2250709407756</f>
        <v>2250709407756</v>
      </c>
      <c r="K2087" s="1" t="s">
        <v>19</v>
      </c>
      <c r="L2087" s="4" t="s">
        <v>7182</v>
      </c>
    </row>
    <row r="2088">
      <c r="A2088" s="1" t="s">
        <v>12</v>
      </c>
      <c r="B2088" s="1" t="s">
        <v>7183</v>
      </c>
      <c r="C2088" s="1" t="s">
        <v>7075</v>
      </c>
      <c r="D2088" s="1" t="s">
        <v>7184</v>
      </c>
      <c r="E2088" s="2">
        <v>38127.0</v>
      </c>
      <c r="F2088" s="1" t="s">
        <v>110</v>
      </c>
      <c r="G2088" s="1" t="s">
        <v>82</v>
      </c>
      <c r="H2088" s="1" t="s">
        <v>18</v>
      </c>
      <c r="I2088" s="3">
        <f>+2250758903334</f>
        <v>2250758903334</v>
      </c>
      <c r="J2088" s="3">
        <f>+2250708575136</f>
        <v>2250708575136</v>
      </c>
      <c r="K2088" s="1" t="s">
        <v>19</v>
      </c>
      <c r="L2088" s="4" t="s">
        <v>7185</v>
      </c>
    </row>
    <row r="2089">
      <c r="A2089" s="1" t="s">
        <v>12</v>
      </c>
      <c r="B2089" s="1" t="s">
        <v>7186</v>
      </c>
      <c r="C2089" s="1" t="s">
        <v>7075</v>
      </c>
      <c r="D2089" s="1" t="s">
        <v>7187</v>
      </c>
      <c r="E2089" s="2">
        <v>37711.0</v>
      </c>
      <c r="F2089" s="1" t="s">
        <v>48</v>
      </c>
      <c r="G2089" s="1" t="s">
        <v>82</v>
      </c>
      <c r="H2089" s="1" t="s">
        <v>18</v>
      </c>
      <c r="I2089" s="3">
        <f>+2250788586418</f>
        <v>2250788586418</v>
      </c>
      <c r="J2089" s="3">
        <f>+2250707801179</f>
        <v>2250707801179</v>
      </c>
      <c r="K2089" s="1" t="s">
        <v>19</v>
      </c>
      <c r="L2089" s="4" t="s">
        <v>7188</v>
      </c>
    </row>
    <row r="2090">
      <c r="A2090" s="1" t="s">
        <v>12</v>
      </c>
      <c r="B2090" s="1" t="s">
        <v>7189</v>
      </c>
      <c r="C2090" s="1" t="s">
        <v>7075</v>
      </c>
      <c r="D2090" s="1" t="s">
        <v>7190</v>
      </c>
      <c r="E2090" s="2">
        <v>38300.0</v>
      </c>
      <c r="F2090" s="1" t="s">
        <v>30</v>
      </c>
      <c r="G2090" s="1" t="s">
        <v>76</v>
      </c>
      <c r="H2090" s="1" t="s">
        <v>32</v>
      </c>
      <c r="I2090" s="3">
        <f>+2250151673798</f>
        <v>2250151673798</v>
      </c>
      <c r="J2090" s="3">
        <f>+2250707664342</f>
        <v>2250707664342</v>
      </c>
      <c r="K2090" s="1" t="s">
        <v>19</v>
      </c>
      <c r="L2090" s="4" t="s">
        <v>7191</v>
      </c>
    </row>
    <row r="2091">
      <c r="A2091" s="1" t="s">
        <v>12</v>
      </c>
      <c r="B2091" s="1" t="s">
        <v>7192</v>
      </c>
      <c r="C2091" s="1" t="s">
        <v>7075</v>
      </c>
      <c r="D2091" s="1" t="s">
        <v>7193</v>
      </c>
      <c r="E2091" s="2">
        <v>38162.0</v>
      </c>
      <c r="F2091" s="1" t="s">
        <v>48</v>
      </c>
      <c r="G2091" s="1" t="s">
        <v>31</v>
      </c>
      <c r="H2091" s="1" t="s">
        <v>32</v>
      </c>
      <c r="I2091" s="3">
        <f>+2250545604064</f>
        <v>2250545604064</v>
      </c>
      <c r="J2091" s="3">
        <f>+2250102767945</f>
        <v>2250102767945</v>
      </c>
      <c r="K2091" s="1" t="s">
        <v>19</v>
      </c>
      <c r="L2091" s="4" t="s">
        <v>7194</v>
      </c>
    </row>
    <row r="2092">
      <c r="A2092" s="1" t="s">
        <v>12</v>
      </c>
      <c r="B2092" s="1" t="s">
        <v>7195</v>
      </c>
      <c r="C2092" s="1" t="s">
        <v>7075</v>
      </c>
      <c r="D2092" s="1" t="s">
        <v>7196</v>
      </c>
      <c r="E2092" s="5">
        <v>38673.0</v>
      </c>
      <c r="F2092" s="1" t="s">
        <v>62</v>
      </c>
      <c r="G2092" s="1" t="s">
        <v>25</v>
      </c>
      <c r="H2092" s="1" t="s">
        <v>18</v>
      </c>
      <c r="I2092" s="3">
        <f>+2250555920327</f>
        <v>2250555920327</v>
      </c>
      <c r="J2092" s="3">
        <f>+2250152528232</f>
        <v>2250152528232</v>
      </c>
      <c r="K2092" s="1" t="s">
        <v>19</v>
      </c>
      <c r="L2092" s="4" t="s">
        <v>7197</v>
      </c>
    </row>
    <row r="2093">
      <c r="A2093" s="1" t="s">
        <v>12</v>
      </c>
      <c r="B2093" s="1" t="s">
        <v>7198</v>
      </c>
      <c r="C2093" s="1" t="s">
        <v>7075</v>
      </c>
      <c r="D2093" s="1" t="s">
        <v>7199</v>
      </c>
      <c r="E2093" s="2">
        <v>37988.0</v>
      </c>
      <c r="F2093" s="1" t="s">
        <v>62</v>
      </c>
      <c r="G2093" s="1" t="s">
        <v>17</v>
      </c>
      <c r="H2093" s="1" t="s">
        <v>18</v>
      </c>
      <c r="I2093" s="3">
        <f>+2250555007632</f>
        <v>2250555007632</v>
      </c>
      <c r="J2093" s="3">
        <f>+2250747904229</f>
        <v>2250747904229</v>
      </c>
      <c r="K2093" s="1" t="s">
        <v>19</v>
      </c>
      <c r="L2093" s="4" t="s">
        <v>7200</v>
      </c>
    </row>
    <row r="2094">
      <c r="A2094" s="1" t="s">
        <v>12</v>
      </c>
      <c r="B2094" s="1" t="s">
        <v>7201</v>
      </c>
      <c r="C2094" s="1" t="s">
        <v>7075</v>
      </c>
      <c r="D2094" s="1" t="s">
        <v>7202</v>
      </c>
      <c r="E2094" s="2">
        <v>37513.0</v>
      </c>
      <c r="F2094" s="1" t="s">
        <v>16</v>
      </c>
      <c r="G2094" s="1" t="s">
        <v>25</v>
      </c>
      <c r="H2094" s="1" t="s">
        <v>18</v>
      </c>
      <c r="I2094" s="3">
        <f>+2250797787740</f>
        <v>2250797787740</v>
      </c>
      <c r="J2094" s="3">
        <f>+2250707907350</f>
        <v>2250707907350</v>
      </c>
      <c r="K2094" s="1" t="s">
        <v>19</v>
      </c>
      <c r="L2094" s="4" t="s">
        <v>7203</v>
      </c>
    </row>
    <row r="2095">
      <c r="A2095" s="1" t="s">
        <v>12</v>
      </c>
      <c r="B2095" s="1" t="s">
        <v>7204</v>
      </c>
      <c r="C2095" s="1" t="s">
        <v>7075</v>
      </c>
      <c r="D2095" s="1" t="s">
        <v>1558</v>
      </c>
      <c r="E2095" s="2">
        <v>36056.0</v>
      </c>
      <c r="F2095" s="1" t="s">
        <v>16</v>
      </c>
      <c r="G2095" s="1" t="s">
        <v>82</v>
      </c>
      <c r="H2095" s="1" t="s">
        <v>18</v>
      </c>
      <c r="I2095" s="3">
        <f>+2250749546550</f>
        <v>2250749546550</v>
      </c>
      <c r="J2095" s="3">
        <f>+2250709082530</f>
        <v>2250709082530</v>
      </c>
      <c r="K2095" s="1" t="s">
        <v>19</v>
      </c>
      <c r="L2095" s="4" t="s">
        <v>7205</v>
      </c>
    </row>
    <row r="2096">
      <c r="A2096" s="1" t="s">
        <v>12</v>
      </c>
      <c r="B2096" s="1" t="s">
        <v>7206</v>
      </c>
      <c r="C2096" s="1" t="s">
        <v>7075</v>
      </c>
      <c r="D2096" s="1" t="s">
        <v>7207</v>
      </c>
      <c r="E2096" s="5">
        <v>37178.0</v>
      </c>
      <c r="F2096" s="1" t="s">
        <v>30</v>
      </c>
      <c r="G2096" s="1" t="s">
        <v>31</v>
      </c>
      <c r="H2096" s="1" t="s">
        <v>32</v>
      </c>
      <c r="I2096" s="3">
        <f>+2250142211620</f>
        <v>2250142211620</v>
      </c>
      <c r="J2096" s="3">
        <f>+2250747274876</f>
        <v>2250747274876</v>
      </c>
      <c r="K2096" s="1" t="s">
        <v>19</v>
      </c>
      <c r="L2096" s="4" t="s">
        <v>7208</v>
      </c>
    </row>
    <row r="2097">
      <c r="A2097" s="1" t="s">
        <v>12</v>
      </c>
      <c r="B2097" s="1" t="s">
        <v>7209</v>
      </c>
      <c r="C2097" s="1" t="s">
        <v>7075</v>
      </c>
      <c r="D2097" s="1" t="s">
        <v>7210</v>
      </c>
      <c r="E2097" s="2">
        <v>37171.0</v>
      </c>
      <c r="F2097" s="1" t="s">
        <v>92</v>
      </c>
      <c r="G2097" s="1" t="s">
        <v>76</v>
      </c>
      <c r="H2097" s="1" t="s">
        <v>32</v>
      </c>
      <c r="I2097" s="3">
        <f>+2250503058321</f>
        <v>2250503058321</v>
      </c>
      <c r="J2097" s="3">
        <f>+2250505338121</f>
        <v>2250505338121</v>
      </c>
      <c r="K2097" s="1" t="s">
        <v>19</v>
      </c>
      <c r="L2097" s="4" t="s">
        <v>7211</v>
      </c>
    </row>
    <row r="2098">
      <c r="A2098" s="1" t="s">
        <v>12</v>
      </c>
      <c r="B2098" s="1" t="s">
        <v>7212</v>
      </c>
      <c r="C2098" s="1" t="s">
        <v>7075</v>
      </c>
      <c r="D2098" s="1" t="s">
        <v>7213</v>
      </c>
      <c r="E2098" s="2">
        <v>37631.0</v>
      </c>
      <c r="F2098" s="1" t="s">
        <v>155</v>
      </c>
      <c r="G2098" s="1" t="s">
        <v>31</v>
      </c>
      <c r="H2098" s="1" t="s">
        <v>32</v>
      </c>
      <c r="I2098" s="3">
        <f>+2250504994932</f>
        <v>2250504994932</v>
      </c>
      <c r="J2098" s="3">
        <f>+2250505749854</f>
        <v>2250505749854</v>
      </c>
      <c r="K2098" s="1" t="s">
        <v>19</v>
      </c>
      <c r="L2098" s="4" t="s">
        <v>7214</v>
      </c>
    </row>
    <row r="2099">
      <c r="A2099" s="1" t="s">
        <v>12</v>
      </c>
      <c r="B2099" s="1" t="s">
        <v>7215</v>
      </c>
      <c r="C2099" s="1" t="s">
        <v>7075</v>
      </c>
      <c r="D2099" s="1" t="s">
        <v>7216</v>
      </c>
      <c r="E2099" s="2">
        <v>37752.0</v>
      </c>
      <c r="F2099" s="1" t="s">
        <v>155</v>
      </c>
      <c r="G2099" s="1" t="s">
        <v>31</v>
      </c>
      <c r="H2099" s="1" t="s">
        <v>32</v>
      </c>
      <c r="I2099" s="3">
        <f>+2250566514809</f>
        <v>2250566514809</v>
      </c>
      <c r="J2099" s="3">
        <f>+2250545703960</f>
        <v>2250545703960</v>
      </c>
      <c r="K2099" s="1" t="s">
        <v>19</v>
      </c>
      <c r="L2099" s="4" t="s">
        <v>7217</v>
      </c>
    </row>
    <row r="2100">
      <c r="A2100" s="1" t="s">
        <v>12</v>
      </c>
      <c r="B2100" s="1" t="s">
        <v>7218</v>
      </c>
      <c r="C2100" s="1" t="s">
        <v>7075</v>
      </c>
      <c r="D2100" s="1" t="s">
        <v>6311</v>
      </c>
      <c r="E2100" s="5">
        <v>37605.0</v>
      </c>
      <c r="F2100" s="1" t="s">
        <v>167</v>
      </c>
      <c r="G2100" s="1" t="s">
        <v>17</v>
      </c>
      <c r="H2100" s="1" t="s">
        <v>18</v>
      </c>
      <c r="I2100" s="3">
        <f>+2250152191588</f>
        <v>2250152191588</v>
      </c>
      <c r="J2100" s="3">
        <f>+2250101199226</f>
        <v>2250101199226</v>
      </c>
      <c r="K2100" s="1" t="s">
        <v>19</v>
      </c>
      <c r="L2100" s="4" t="s">
        <v>7219</v>
      </c>
    </row>
    <row r="2101">
      <c r="A2101" s="1" t="s">
        <v>12</v>
      </c>
      <c r="B2101" s="1" t="s">
        <v>7220</v>
      </c>
      <c r="C2101" s="1" t="s">
        <v>7075</v>
      </c>
      <c r="D2101" s="1" t="s">
        <v>7221</v>
      </c>
      <c r="E2101" s="2">
        <v>37795.0</v>
      </c>
      <c r="F2101" s="1" t="s">
        <v>155</v>
      </c>
      <c r="G2101" s="1" t="s">
        <v>31</v>
      </c>
      <c r="H2101" s="1" t="s">
        <v>32</v>
      </c>
      <c r="I2101" s="3">
        <f>+2250565278517</f>
        <v>2250565278517</v>
      </c>
      <c r="J2101" s="3">
        <f>+2250757030802</f>
        <v>2250757030802</v>
      </c>
      <c r="K2101" s="1" t="s">
        <v>19</v>
      </c>
      <c r="L2101" s="4" t="s">
        <v>7222</v>
      </c>
    </row>
    <row r="2102">
      <c r="A2102" s="1" t="s">
        <v>12</v>
      </c>
      <c r="B2102" s="1" t="s">
        <v>7223</v>
      </c>
      <c r="C2102" s="1" t="s">
        <v>7075</v>
      </c>
      <c r="D2102" s="1" t="s">
        <v>7224</v>
      </c>
      <c r="E2102" s="5">
        <v>38637.0</v>
      </c>
      <c r="F2102" s="1" t="s">
        <v>16</v>
      </c>
      <c r="G2102" s="1" t="s">
        <v>17</v>
      </c>
      <c r="H2102" s="1" t="s">
        <v>18</v>
      </c>
      <c r="I2102" s="3">
        <f>+2250747985471</f>
        <v>2250747985471</v>
      </c>
      <c r="J2102" s="3">
        <f>+2250506002208</f>
        <v>2250506002208</v>
      </c>
      <c r="K2102" s="1" t="s">
        <v>19</v>
      </c>
      <c r="L2102" s="4" t="s">
        <v>7225</v>
      </c>
    </row>
    <row r="2103">
      <c r="A2103" s="1" t="s">
        <v>12</v>
      </c>
      <c r="B2103" s="1" t="s">
        <v>7226</v>
      </c>
      <c r="C2103" s="1" t="s">
        <v>7075</v>
      </c>
      <c r="D2103" s="1" t="s">
        <v>7227</v>
      </c>
      <c r="E2103" s="2">
        <v>38081.0</v>
      </c>
      <c r="F2103" s="1" t="s">
        <v>62</v>
      </c>
      <c r="G2103" s="1" t="s">
        <v>17</v>
      </c>
      <c r="H2103" s="1" t="s">
        <v>18</v>
      </c>
      <c r="I2103" s="3">
        <f>+2250705950307</f>
        <v>2250705950307</v>
      </c>
      <c r="J2103" s="3">
        <f>+2250757131623</f>
        <v>2250757131623</v>
      </c>
      <c r="K2103" s="1" t="s">
        <v>19</v>
      </c>
      <c r="L2103" s="4" t="s">
        <v>7228</v>
      </c>
    </row>
    <row r="2104">
      <c r="A2104" s="1" t="s">
        <v>12</v>
      </c>
      <c r="B2104" s="1" t="s">
        <v>7229</v>
      </c>
      <c r="C2104" s="1" t="s">
        <v>7075</v>
      </c>
      <c r="D2104" s="1" t="s">
        <v>7230</v>
      </c>
      <c r="E2104" s="2">
        <v>38221.0</v>
      </c>
      <c r="F2104" s="1" t="s">
        <v>138</v>
      </c>
      <c r="G2104" s="1" t="s">
        <v>76</v>
      </c>
      <c r="H2104" s="1" t="s">
        <v>32</v>
      </c>
      <c r="I2104" s="3">
        <f>+2250140417317</f>
        <v>2250140417317</v>
      </c>
      <c r="J2104" s="3">
        <f>+2250708438753</f>
        <v>2250708438753</v>
      </c>
      <c r="K2104" s="1" t="s">
        <v>19</v>
      </c>
      <c r="L2104" s="4" t="s">
        <v>7231</v>
      </c>
    </row>
    <row r="2105">
      <c r="A2105" s="1" t="s">
        <v>12</v>
      </c>
      <c r="B2105" s="1" t="s">
        <v>7232</v>
      </c>
      <c r="C2105" s="1" t="s">
        <v>7075</v>
      </c>
      <c r="D2105" s="1" t="s">
        <v>7233</v>
      </c>
      <c r="E2105" s="2">
        <v>37997.0</v>
      </c>
      <c r="F2105" s="1" t="s">
        <v>110</v>
      </c>
      <c r="G2105" s="1" t="s">
        <v>82</v>
      </c>
      <c r="H2105" s="1" t="s">
        <v>18</v>
      </c>
      <c r="I2105" s="3">
        <f>+2250564412029</f>
        <v>2250564412029</v>
      </c>
      <c r="J2105" s="3">
        <f>+2250501107068</f>
        <v>2250501107068</v>
      </c>
      <c r="K2105" s="1" t="s">
        <v>19</v>
      </c>
      <c r="L2105" s="4" t="s">
        <v>7234</v>
      </c>
    </row>
    <row r="2106">
      <c r="A2106" s="1" t="s">
        <v>12</v>
      </c>
      <c r="B2106" s="1" t="s">
        <v>7235</v>
      </c>
      <c r="C2106" s="1" t="s">
        <v>7075</v>
      </c>
      <c r="D2106" s="1" t="s">
        <v>7236</v>
      </c>
      <c r="E2106" s="2">
        <v>37462.0</v>
      </c>
      <c r="F2106" s="1" t="s">
        <v>75</v>
      </c>
      <c r="G2106" s="1" t="s">
        <v>31</v>
      </c>
      <c r="H2106" s="1" t="s">
        <v>32</v>
      </c>
      <c r="I2106" s="3">
        <f>+2250779304019</f>
        <v>2250779304019</v>
      </c>
      <c r="J2106" s="3">
        <f>+2250171319151</f>
        <v>2250171319151</v>
      </c>
      <c r="K2106" s="1" t="s">
        <v>19</v>
      </c>
      <c r="L2106" s="4" t="s">
        <v>7237</v>
      </c>
    </row>
    <row r="2107">
      <c r="A2107" s="1" t="s">
        <v>12</v>
      </c>
      <c r="B2107" s="1" t="s">
        <v>7238</v>
      </c>
      <c r="C2107" s="1" t="s">
        <v>7075</v>
      </c>
      <c r="D2107" s="1" t="s">
        <v>7239</v>
      </c>
      <c r="E2107" s="2">
        <v>35303.0</v>
      </c>
      <c r="F2107" s="1" t="s">
        <v>182</v>
      </c>
      <c r="G2107" s="1" t="s">
        <v>82</v>
      </c>
      <c r="H2107" s="1" t="s">
        <v>18</v>
      </c>
      <c r="I2107" s="3">
        <f>+2250777897643</f>
        <v>2250777897643</v>
      </c>
      <c r="J2107" s="3">
        <f>+2250757955669</f>
        <v>2250757955669</v>
      </c>
      <c r="K2107" s="1" t="s">
        <v>19</v>
      </c>
      <c r="L2107" s="4" t="s">
        <v>7240</v>
      </c>
    </row>
    <row r="2108">
      <c r="A2108" s="1" t="s">
        <v>12</v>
      </c>
      <c r="B2108" s="1" t="s">
        <v>7241</v>
      </c>
      <c r="C2108" s="1" t="s">
        <v>7075</v>
      </c>
      <c r="D2108" s="1" t="s">
        <v>7242</v>
      </c>
      <c r="E2108" s="2">
        <v>38736.0</v>
      </c>
      <c r="F2108" s="1" t="s">
        <v>53</v>
      </c>
      <c r="G2108" s="1" t="s">
        <v>25</v>
      </c>
      <c r="H2108" s="1" t="s">
        <v>18</v>
      </c>
      <c r="I2108" s="3">
        <f>+2250140564926</f>
        <v>2250140564926</v>
      </c>
      <c r="J2108" s="3">
        <f>+2250759486011</f>
        <v>2250759486011</v>
      </c>
      <c r="K2108" s="1" t="s">
        <v>19</v>
      </c>
      <c r="L2108" s="4" t="s">
        <v>7243</v>
      </c>
    </row>
    <row r="2109">
      <c r="A2109" s="1" t="s">
        <v>12</v>
      </c>
      <c r="B2109" s="1" t="s">
        <v>7244</v>
      </c>
      <c r="C2109" s="1" t="s">
        <v>7075</v>
      </c>
      <c r="D2109" s="1" t="s">
        <v>7245</v>
      </c>
      <c r="E2109" s="5">
        <v>36889.0</v>
      </c>
      <c r="F2109" s="1" t="s">
        <v>7246</v>
      </c>
      <c r="G2109" s="1" t="s">
        <v>38</v>
      </c>
      <c r="H2109" s="1" t="s">
        <v>39</v>
      </c>
      <c r="I2109" s="3">
        <f>+2250789634558</f>
        <v>2250789634558</v>
      </c>
      <c r="J2109" s="3">
        <f>+2250708310697</f>
        <v>2250708310697</v>
      </c>
      <c r="K2109" s="1" t="s">
        <v>19</v>
      </c>
      <c r="L2109" s="4" t="s">
        <v>7247</v>
      </c>
    </row>
    <row r="2110">
      <c r="A2110" s="1" t="s">
        <v>12</v>
      </c>
      <c r="B2110" s="1" t="s">
        <v>7248</v>
      </c>
      <c r="C2110" s="1" t="s">
        <v>7075</v>
      </c>
      <c r="D2110" s="1" t="s">
        <v>7249</v>
      </c>
      <c r="E2110" s="2">
        <v>37007.0</v>
      </c>
      <c r="F2110" s="1" t="s">
        <v>155</v>
      </c>
      <c r="G2110" s="1" t="s">
        <v>82</v>
      </c>
      <c r="H2110" s="1" t="s">
        <v>18</v>
      </c>
      <c r="I2110" s="3">
        <f>+2250705170357</f>
        <v>2250705170357</v>
      </c>
      <c r="J2110" s="3">
        <f>+2250140652240</f>
        <v>2250140652240</v>
      </c>
      <c r="K2110" s="1" t="s">
        <v>19</v>
      </c>
      <c r="L2110" s="4" t="s">
        <v>7250</v>
      </c>
    </row>
    <row r="2111">
      <c r="A2111" s="1" t="s">
        <v>12</v>
      </c>
      <c r="B2111" s="1" t="s">
        <v>7251</v>
      </c>
      <c r="C2111" s="1" t="s">
        <v>7075</v>
      </c>
      <c r="D2111" s="1" t="s">
        <v>7252</v>
      </c>
      <c r="E2111" s="2">
        <v>38375.0</v>
      </c>
      <c r="F2111" s="1" t="s">
        <v>53</v>
      </c>
      <c r="G2111" s="1" t="s">
        <v>25</v>
      </c>
      <c r="H2111" s="1" t="s">
        <v>18</v>
      </c>
      <c r="I2111" s="3">
        <f>+2250150056517</f>
        <v>2250150056517</v>
      </c>
      <c r="J2111" s="3">
        <f>+2250708021958</f>
        <v>2250708021958</v>
      </c>
      <c r="K2111" s="1" t="s">
        <v>19</v>
      </c>
      <c r="L2111" s="4" t="s">
        <v>7253</v>
      </c>
    </row>
    <row r="2112">
      <c r="A2112" s="1" t="s">
        <v>12</v>
      </c>
      <c r="B2112" s="1" t="s">
        <v>7254</v>
      </c>
      <c r="C2112" s="1" t="s">
        <v>7075</v>
      </c>
      <c r="D2112" s="1" t="s">
        <v>7255</v>
      </c>
      <c r="E2112" s="2">
        <v>38092.0</v>
      </c>
      <c r="F2112" s="1" t="s">
        <v>101</v>
      </c>
      <c r="G2112" s="1" t="s">
        <v>31</v>
      </c>
      <c r="H2112" s="1" t="s">
        <v>32</v>
      </c>
      <c r="I2112" s="3">
        <f>+2250787353675</f>
        <v>2250787353675</v>
      </c>
      <c r="J2112" s="3">
        <f>+2250708324828</f>
        <v>2250708324828</v>
      </c>
      <c r="K2112" s="1" t="s">
        <v>19</v>
      </c>
      <c r="L2112" s="4" t="s">
        <v>7256</v>
      </c>
    </row>
    <row r="2113">
      <c r="A2113" s="1" t="s">
        <v>12</v>
      </c>
      <c r="B2113" s="1" t="s">
        <v>7257</v>
      </c>
      <c r="C2113" s="1" t="s">
        <v>7075</v>
      </c>
      <c r="D2113" s="1" t="s">
        <v>7258</v>
      </c>
      <c r="E2113" s="5">
        <v>36870.0</v>
      </c>
      <c r="F2113" s="1" t="s">
        <v>101</v>
      </c>
      <c r="G2113" s="1" t="s">
        <v>31</v>
      </c>
      <c r="H2113" s="1" t="s">
        <v>32</v>
      </c>
      <c r="I2113" s="3">
        <f>+2250789565367</f>
        <v>2250789565367</v>
      </c>
      <c r="J2113" s="3">
        <f>+2250747419364</f>
        <v>2250747419364</v>
      </c>
      <c r="K2113" s="1" t="s">
        <v>19</v>
      </c>
      <c r="L2113" s="4" t="s">
        <v>7259</v>
      </c>
    </row>
    <row r="2114">
      <c r="A2114" s="1" t="s">
        <v>12</v>
      </c>
      <c r="B2114" s="1" t="s">
        <v>7260</v>
      </c>
      <c r="C2114" s="1" t="s">
        <v>7075</v>
      </c>
      <c r="D2114" s="1" t="s">
        <v>7261</v>
      </c>
      <c r="E2114" s="2">
        <v>37738.0</v>
      </c>
      <c r="F2114" s="1" t="s">
        <v>48</v>
      </c>
      <c r="G2114" s="1" t="s">
        <v>82</v>
      </c>
      <c r="H2114" s="1" t="s">
        <v>18</v>
      </c>
      <c r="I2114" s="3">
        <f>+2250789482003</f>
        <v>2250789482003</v>
      </c>
      <c r="J2114" s="3">
        <f>+2250748466502</f>
        <v>2250748466502</v>
      </c>
      <c r="K2114" s="1" t="s">
        <v>19</v>
      </c>
      <c r="L2114" s="4" t="s">
        <v>7262</v>
      </c>
    </row>
    <row r="2115">
      <c r="A2115" s="1" t="s">
        <v>12</v>
      </c>
      <c r="B2115" s="1" t="s">
        <v>7263</v>
      </c>
      <c r="C2115" s="1" t="s">
        <v>7075</v>
      </c>
      <c r="D2115" s="1" t="s">
        <v>7264</v>
      </c>
      <c r="E2115" s="2">
        <v>38211.0</v>
      </c>
      <c r="F2115" s="1" t="s">
        <v>167</v>
      </c>
      <c r="G2115" s="1" t="s">
        <v>17</v>
      </c>
      <c r="H2115" s="1" t="s">
        <v>18</v>
      </c>
      <c r="I2115" s="3">
        <f>+2250798252366</f>
        <v>2250798252366</v>
      </c>
      <c r="J2115" s="3">
        <f>+2250102272627</f>
        <v>2250102272627</v>
      </c>
      <c r="K2115" s="1" t="s">
        <v>19</v>
      </c>
      <c r="L2115" s="4" t="s">
        <v>7265</v>
      </c>
    </row>
    <row r="2116">
      <c r="A2116" s="1" t="s">
        <v>12</v>
      </c>
      <c r="B2116" s="1" t="s">
        <v>7266</v>
      </c>
      <c r="C2116" s="1" t="s">
        <v>7075</v>
      </c>
      <c r="D2116" s="1" t="s">
        <v>7267</v>
      </c>
      <c r="E2116" s="2">
        <v>38631.0</v>
      </c>
      <c r="F2116" s="1" t="s">
        <v>167</v>
      </c>
      <c r="G2116" s="1" t="s">
        <v>25</v>
      </c>
      <c r="H2116" s="1" t="s">
        <v>18</v>
      </c>
      <c r="I2116" s="3">
        <f>+2250151556901</f>
        <v>2250151556901</v>
      </c>
      <c r="J2116" s="3">
        <f>+2250758831100</f>
        <v>2250758831100</v>
      </c>
      <c r="K2116" s="1" t="s">
        <v>19</v>
      </c>
      <c r="L2116" s="4" t="s">
        <v>7268</v>
      </c>
    </row>
    <row r="2117">
      <c r="A2117" s="1" t="s">
        <v>12</v>
      </c>
      <c r="B2117" s="1" t="s">
        <v>7269</v>
      </c>
      <c r="C2117" s="1" t="s">
        <v>7075</v>
      </c>
      <c r="D2117" s="1" t="s">
        <v>7270</v>
      </c>
      <c r="E2117" s="2">
        <v>37338.0</v>
      </c>
      <c r="F2117" s="1" t="s">
        <v>138</v>
      </c>
      <c r="G2117" s="1" t="s">
        <v>31</v>
      </c>
      <c r="H2117" s="1" t="s">
        <v>32</v>
      </c>
      <c r="I2117" s="3">
        <f>+2250142920596</f>
        <v>2250142920596</v>
      </c>
      <c r="J2117" s="3">
        <f>+2250707346714</f>
        <v>2250707346714</v>
      </c>
      <c r="K2117" s="1" t="s">
        <v>19</v>
      </c>
      <c r="L2117" s="4" t="s">
        <v>7271</v>
      </c>
    </row>
    <row r="2118">
      <c r="A2118" s="1" t="s">
        <v>12</v>
      </c>
      <c r="B2118" s="1" t="s">
        <v>7272</v>
      </c>
      <c r="C2118" s="1" t="s">
        <v>7075</v>
      </c>
      <c r="D2118" s="1" t="s">
        <v>7273</v>
      </c>
      <c r="E2118" s="2">
        <v>37081.0</v>
      </c>
      <c r="F2118" s="1" t="s">
        <v>16</v>
      </c>
      <c r="G2118" s="1" t="s">
        <v>17</v>
      </c>
      <c r="H2118" s="1" t="s">
        <v>18</v>
      </c>
      <c r="I2118" s="3">
        <f>+2250788837817</f>
        <v>2250788837817</v>
      </c>
      <c r="J2118" s="3">
        <f>+2250141798002</f>
        <v>2250141798002</v>
      </c>
      <c r="K2118" s="1" t="s">
        <v>19</v>
      </c>
      <c r="L2118" s="4" t="s">
        <v>7274</v>
      </c>
    </row>
    <row r="2119">
      <c r="A2119" s="1" t="s">
        <v>12</v>
      </c>
      <c r="B2119" s="1" t="s">
        <v>7275</v>
      </c>
      <c r="C2119" s="1" t="s">
        <v>7075</v>
      </c>
      <c r="D2119" s="1" t="s">
        <v>7276</v>
      </c>
      <c r="E2119" s="2">
        <v>37666.0</v>
      </c>
      <c r="F2119" s="1" t="s">
        <v>1219</v>
      </c>
      <c r="G2119" s="1" t="s">
        <v>82</v>
      </c>
      <c r="H2119" s="1" t="s">
        <v>18</v>
      </c>
      <c r="I2119" s="3">
        <f>+2250142620147</f>
        <v>2250142620147</v>
      </c>
      <c r="J2119" s="3">
        <f>+2250151395323</f>
        <v>2250151395323</v>
      </c>
      <c r="K2119" s="1" t="s">
        <v>19</v>
      </c>
      <c r="L2119" s="4" t="s">
        <v>7277</v>
      </c>
    </row>
    <row r="2120">
      <c r="A2120" s="1" t="s">
        <v>12</v>
      </c>
      <c r="B2120" s="1" t="s">
        <v>7278</v>
      </c>
      <c r="C2120" s="1" t="s">
        <v>7075</v>
      </c>
      <c r="D2120" s="1" t="s">
        <v>7279</v>
      </c>
      <c r="E2120" s="2">
        <v>36592.0</v>
      </c>
      <c r="F2120" s="1" t="s">
        <v>16</v>
      </c>
      <c r="G2120" s="1" t="s">
        <v>17</v>
      </c>
      <c r="H2120" s="1" t="s">
        <v>18</v>
      </c>
      <c r="I2120" s="3">
        <f>+2250575775839</f>
        <v>2250575775839</v>
      </c>
      <c r="J2120" s="3">
        <f>+2250759978913</f>
        <v>2250759978913</v>
      </c>
      <c r="K2120" s="1" t="s">
        <v>19</v>
      </c>
      <c r="L2120" s="4" t="s">
        <v>7280</v>
      </c>
    </row>
    <row r="2121">
      <c r="A2121" s="1" t="s">
        <v>12</v>
      </c>
      <c r="B2121" s="1" t="s">
        <v>7281</v>
      </c>
      <c r="C2121" s="1" t="s">
        <v>7075</v>
      </c>
      <c r="D2121" s="1" t="s">
        <v>7282</v>
      </c>
      <c r="E2121" s="2">
        <v>37089.0</v>
      </c>
      <c r="F2121" s="1" t="s">
        <v>87</v>
      </c>
      <c r="G2121" s="1" t="s">
        <v>76</v>
      </c>
      <c r="H2121" s="1" t="s">
        <v>32</v>
      </c>
      <c r="I2121" s="3">
        <f>+2250778628576</f>
        <v>2250778628576</v>
      </c>
      <c r="J2121" s="3">
        <f>+2250709254828</f>
        <v>2250709254828</v>
      </c>
      <c r="K2121" s="1" t="s">
        <v>19</v>
      </c>
      <c r="L2121" s="4" t="s">
        <v>7283</v>
      </c>
    </row>
    <row r="2122">
      <c r="A2122" s="1" t="s">
        <v>12</v>
      </c>
      <c r="B2122" s="1" t="s">
        <v>7284</v>
      </c>
      <c r="C2122" s="1" t="s">
        <v>7075</v>
      </c>
      <c r="D2122" s="1" t="s">
        <v>7285</v>
      </c>
      <c r="E2122" s="2">
        <v>37391.0</v>
      </c>
      <c r="F2122" s="1" t="s">
        <v>288</v>
      </c>
      <c r="G2122" s="1" t="s">
        <v>82</v>
      </c>
      <c r="H2122" s="1" t="s">
        <v>18</v>
      </c>
      <c r="I2122" s="3">
        <f>+2250768001207</f>
        <v>2250768001207</v>
      </c>
      <c r="J2122" s="3">
        <f>+2250708075535</f>
        <v>2250708075535</v>
      </c>
      <c r="K2122" s="1" t="s">
        <v>19</v>
      </c>
      <c r="L2122" s="4" t="s">
        <v>7286</v>
      </c>
    </row>
    <row r="2123">
      <c r="A2123" s="1" t="s">
        <v>12</v>
      </c>
      <c r="B2123" s="1" t="s">
        <v>7287</v>
      </c>
      <c r="C2123" s="1" t="s">
        <v>7075</v>
      </c>
      <c r="D2123" s="1" t="s">
        <v>7288</v>
      </c>
      <c r="E2123" s="2">
        <v>36990.0</v>
      </c>
      <c r="F2123" s="1" t="s">
        <v>92</v>
      </c>
      <c r="G2123" s="1" t="s">
        <v>82</v>
      </c>
      <c r="H2123" s="1" t="s">
        <v>18</v>
      </c>
      <c r="I2123" s="3">
        <f>+2250788691286</f>
        <v>2250788691286</v>
      </c>
      <c r="J2123" s="3">
        <f>+2250702963178</f>
        <v>2250702963178</v>
      </c>
      <c r="K2123" s="1" t="s">
        <v>19</v>
      </c>
      <c r="L2123" s="4" t="s">
        <v>7289</v>
      </c>
    </row>
    <row r="2124">
      <c r="A2124" s="1" t="s">
        <v>12</v>
      </c>
      <c r="B2124" s="1" t="s">
        <v>7290</v>
      </c>
      <c r="C2124" s="1" t="s">
        <v>7291</v>
      </c>
      <c r="D2124" s="1" t="s">
        <v>7292</v>
      </c>
      <c r="E2124" s="5">
        <v>37252.0</v>
      </c>
      <c r="F2124" s="1" t="s">
        <v>16</v>
      </c>
      <c r="G2124" s="1" t="s">
        <v>25</v>
      </c>
      <c r="H2124" s="1" t="s">
        <v>18</v>
      </c>
      <c r="I2124" s="3">
        <f>+2250748286995</f>
        <v>2250748286995</v>
      </c>
      <c r="J2124" s="3">
        <f>+2250101015899</f>
        <v>2250101015899</v>
      </c>
      <c r="K2124" s="1" t="s">
        <v>19</v>
      </c>
      <c r="L2124" s="4" t="s">
        <v>7293</v>
      </c>
    </row>
    <row r="2125">
      <c r="A2125" s="1" t="s">
        <v>12</v>
      </c>
      <c r="B2125" s="1" t="s">
        <v>7294</v>
      </c>
      <c r="C2125" s="1" t="s">
        <v>7295</v>
      </c>
      <c r="D2125" s="1" t="s">
        <v>7296</v>
      </c>
      <c r="E2125" s="2">
        <v>38829.0</v>
      </c>
      <c r="F2125" s="1" t="s">
        <v>62</v>
      </c>
      <c r="G2125" s="1" t="s">
        <v>25</v>
      </c>
      <c r="H2125" s="1" t="s">
        <v>18</v>
      </c>
      <c r="I2125" s="3">
        <f>+2250787204594</f>
        <v>2250787204594</v>
      </c>
      <c r="J2125" s="3">
        <f>+2250758015109</f>
        <v>2250758015109</v>
      </c>
      <c r="K2125" s="1" t="s">
        <v>19</v>
      </c>
      <c r="L2125" s="4" t="s">
        <v>7297</v>
      </c>
    </row>
    <row r="2126">
      <c r="A2126" s="1" t="s">
        <v>12</v>
      </c>
      <c r="B2126" s="1" t="s">
        <v>7298</v>
      </c>
      <c r="C2126" s="1" t="s">
        <v>7299</v>
      </c>
      <c r="D2126" s="1" t="s">
        <v>7300</v>
      </c>
      <c r="E2126" s="2">
        <v>38521.0</v>
      </c>
      <c r="F2126" s="1" t="s">
        <v>16</v>
      </c>
      <c r="G2126" s="1" t="s">
        <v>17</v>
      </c>
      <c r="H2126" s="1" t="s">
        <v>18</v>
      </c>
      <c r="I2126" s="3">
        <f>+2250565269159</f>
        <v>2250565269159</v>
      </c>
      <c r="J2126" s="3">
        <f>+2250709374289</f>
        <v>2250709374289</v>
      </c>
      <c r="K2126" s="1" t="s">
        <v>19</v>
      </c>
      <c r="L2126" s="4" t="s">
        <v>7301</v>
      </c>
    </row>
    <row r="2127">
      <c r="A2127" s="1" t="s">
        <v>12</v>
      </c>
      <c r="B2127" s="1" t="s">
        <v>7302</v>
      </c>
      <c r="C2127" s="1" t="s">
        <v>7303</v>
      </c>
      <c r="D2127" s="1" t="s">
        <v>7304</v>
      </c>
      <c r="E2127" s="2">
        <v>38241.0</v>
      </c>
      <c r="F2127" s="1" t="s">
        <v>138</v>
      </c>
      <c r="G2127" s="1" t="s">
        <v>31</v>
      </c>
      <c r="H2127" s="1" t="s">
        <v>32</v>
      </c>
      <c r="I2127" s="3">
        <f>+2250701085736</f>
        <v>2250701085736</v>
      </c>
      <c r="J2127" s="3">
        <f>+2250779751501</f>
        <v>2250779751501</v>
      </c>
      <c r="K2127" s="1" t="s">
        <v>19</v>
      </c>
      <c r="L2127" s="4" t="s">
        <v>7305</v>
      </c>
    </row>
    <row r="2128">
      <c r="A2128" s="1" t="s">
        <v>12</v>
      </c>
      <c r="B2128" s="1" t="s">
        <v>7306</v>
      </c>
      <c r="C2128" s="1" t="s">
        <v>7307</v>
      </c>
      <c r="D2128" s="1" t="s">
        <v>7308</v>
      </c>
      <c r="E2128" s="2">
        <v>36702.0</v>
      </c>
      <c r="F2128" s="1" t="s">
        <v>138</v>
      </c>
      <c r="G2128" s="1" t="s">
        <v>76</v>
      </c>
      <c r="H2128" s="1" t="s">
        <v>32</v>
      </c>
      <c r="I2128" s="3">
        <f>+2250757034056</f>
        <v>2250757034056</v>
      </c>
      <c r="J2128" s="3">
        <f>+2250101376867</f>
        <v>2250101376867</v>
      </c>
      <c r="K2128" s="1" t="s">
        <v>19</v>
      </c>
      <c r="L2128" s="4" t="s">
        <v>7309</v>
      </c>
    </row>
    <row r="2129">
      <c r="A2129" s="1" t="s">
        <v>12</v>
      </c>
      <c r="B2129" s="1" t="s">
        <v>7310</v>
      </c>
      <c r="C2129" s="1" t="s">
        <v>7307</v>
      </c>
      <c r="D2129" s="1" t="s">
        <v>7311</v>
      </c>
      <c r="E2129" s="5">
        <v>37945.0</v>
      </c>
      <c r="F2129" s="1" t="s">
        <v>62</v>
      </c>
      <c r="G2129" s="1" t="s">
        <v>17</v>
      </c>
      <c r="H2129" s="1" t="s">
        <v>18</v>
      </c>
      <c r="I2129" s="3">
        <f>+2250171562712</f>
        <v>2250171562712</v>
      </c>
      <c r="J2129" s="3">
        <f>+2250103239084</f>
        <v>2250103239084</v>
      </c>
      <c r="K2129" s="1" t="s">
        <v>19</v>
      </c>
      <c r="L2129" s="4" t="s">
        <v>7312</v>
      </c>
    </row>
    <row r="2130">
      <c r="A2130" s="1" t="s">
        <v>12</v>
      </c>
      <c r="B2130" s="1" t="s">
        <v>7313</v>
      </c>
      <c r="C2130" s="1" t="s">
        <v>7307</v>
      </c>
      <c r="D2130" s="1" t="s">
        <v>7314</v>
      </c>
      <c r="E2130" s="2">
        <v>38205.0</v>
      </c>
      <c r="F2130" s="1" t="s">
        <v>75</v>
      </c>
      <c r="G2130" s="1" t="s">
        <v>76</v>
      </c>
      <c r="H2130" s="1" t="s">
        <v>32</v>
      </c>
      <c r="I2130" s="3">
        <f t="shared" ref="I2130:J2130" si="61">+2250171515467</f>
        <v>2250171515467</v>
      </c>
      <c r="J2130" s="3">
        <f t="shared" si="61"/>
        <v>2250171515467</v>
      </c>
      <c r="K2130" s="1" t="s">
        <v>19</v>
      </c>
      <c r="L2130" s="4" t="s">
        <v>7315</v>
      </c>
    </row>
    <row r="2131">
      <c r="A2131" s="1" t="s">
        <v>12</v>
      </c>
      <c r="B2131" s="1" t="s">
        <v>7316</v>
      </c>
      <c r="C2131" s="1" t="s">
        <v>7307</v>
      </c>
      <c r="D2131" s="1" t="s">
        <v>7317</v>
      </c>
      <c r="E2131" s="2">
        <v>35872.0</v>
      </c>
      <c r="F2131" s="1" t="s">
        <v>182</v>
      </c>
      <c r="G2131" s="1" t="s">
        <v>82</v>
      </c>
      <c r="H2131" s="1" t="s">
        <v>18</v>
      </c>
      <c r="I2131" s="3">
        <f>+2250759264843</f>
        <v>2250759264843</v>
      </c>
      <c r="J2131" s="3">
        <f>+2250707672164</f>
        <v>2250707672164</v>
      </c>
      <c r="K2131" s="1" t="s">
        <v>19</v>
      </c>
      <c r="L2131" s="4" t="s">
        <v>7318</v>
      </c>
    </row>
    <row r="2132">
      <c r="A2132" s="1" t="s">
        <v>12</v>
      </c>
      <c r="B2132" s="1" t="s">
        <v>7319</v>
      </c>
      <c r="C2132" s="1" t="s">
        <v>7307</v>
      </c>
      <c r="D2132" s="1" t="s">
        <v>7320</v>
      </c>
      <c r="E2132" s="2">
        <v>36185.0</v>
      </c>
      <c r="F2132" s="1" t="s">
        <v>167</v>
      </c>
      <c r="G2132" s="1" t="s">
        <v>17</v>
      </c>
      <c r="H2132" s="1" t="s">
        <v>18</v>
      </c>
      <c r="I2132" s="3">
        <f>+2250584263086</f>
        <v>2250584263086</v>
      </c>
      <c r="J2132" s="3">
        <f>+2250555252501</f>
        <v>2250555252501</v>
      </c>
      <c r="K2132" s="1" t="s">
        <v>19</v>
      </c>
      <c r="L2132" s="4" t="s">
        <v>7321</v>
      </c>
    </row>
    <row r="2133">
      <c r="A2133" s="1" t="s">
        <v>12</v>
      </c>
      <c r="B2133" s="1" t="s">
        <v>7322</v>
      </c>
      <c r="C2133" s="1" t="s">
        <v>7307</v>
      </c>
      <c r="D2133" s="1" t="s">
        <v>7323</v>
      </c>
      <c r="E2133" s="2">
        <v>37565.0</v>
      </c>
      <c r="F2133" s="1" t="s">
        <v>167</v>
      </c>
      <c r="G2133" s="1" t="s">
        <v>17</v>
      </c>
      <c r="H2133" s="1" t="s">
        <v>18</v>
      </c>
      <c r="I2133" s="3">
        <f>+2250708156834</f>
        <v>2250708156834</v>
      </c>
      <c r="J2133" s="3">
        <f>+2250749795053</f>
        <v>2250749795053</v>
      </c>
      <c r="K2133" s="1" t="s">
        <v>19</v>
      </c>
      <c r="L2133" s="4" t="s">
        <v>7324</v>
      </c>
    </row>
    <row r="2134">
      <c r="A2134" s="1" t="s">
        <v>12</v>
      </c>
      <c r="B2134" s="1" t="s">
        <v>7325</v>
      </c>
      <c r="C2134" s="1" t="s">
        <v>7307</v>
      </c>
      <c r="D2134" s="1" t="s">
        <v>7326</v>
      </c>
      <c r="E2134" s="5">
        <v>37975.0</v>
      </c>
      <c r="F2134" s="1" t="s">
        <v>167</v>
      </c>
      <c r="G2134" s="1" t="s">
        <v>17</v>
      </c>
      <c r="H2134" s="1" t="s">
        <v>18</v>
      </c>
      <c r="I2134" s="3">
        <f>+2250768828461</f>
        <v>2250768828461</v>
      </c>
      <c r="J2134" s="3">
        <f>+2250777447554</f>
        <v>2250777447554</v>
      </c>
      <c r="K2134" s="1" t="s">
        <v>19</v>
      </c>
      <c r="L2134" s="4" t="s">
        <v>7327</v>
      </c>
    </row>
    <row r="2135">
      <c r="A2135" s="1" t="s">
        <v>12</v>
      </c>
      <c r="B2135" s="1" t="s">
        <v>7328</v>
      </c>
      <c r="C2135" s="1" t="s">
        <v>7307</v>
      </c>
      <c r="D2135" s="1" t="s">
        <v>7329</v>
      </c>
      <c r="E2135" s="2">
        <v>38155.0</v>
      </c>
      <c r="F2135" s="1" t="s">
        <v>62</v>
      </c>
      <c r="G2135" s="1" t="s">
        <v>17</v>
      </c>
      <c r="H2135" s="1" t="s">
        <v>18</v>
      </c>
      <c r="I2135" s="3">
        <f>+2250708352028</f>
        <v>2250708352028</v>
      </c>
      <c r="J2135" s="3">
        <f>+2250708091911</f>
        <v>2250708091911</v>
      </c>
      <c r="K2135" s="1" t="s">
        <v>19</v>
      </c>
      <c r="L2135" s="4" t="s">
        <v>7330</v>
      </c>
    </row>
    <row r="2136">
      <c r="A2136" s="1" t="s">
        <v>12</v>
      </c>
      <c r="B2136" s="1" t="s">
        <v>7331</v>
      </c>
      <c r="C2136" s="1" t="s">
        <v>7307</v>
      </c>
      <c r="D2136" s="1" t="s">
        <v>7332</v>
      </c>
      <c r="E2136" s="5">
        <v>39435.0</v>
      </c>
      <c r="F2136" s="1" t="s">
        <v>30</v>
      </c>
      <c r="G2136" s="1" t="s">
        <v>76</v>
      </c>
      <c r="H2136" s="1" t="s">
        <v>32</v>
      </c>
      <c r="I2136" s="3">
        <f>+2250585490853</f>
        <v>2250585490853</v>
      </c>
      <c r="J2136" s="3">
        <f>+2250707702217</f>
        <v>2250707702217</v>
      </c>
      <c r="K2136" s="1" t="s">
        <v>19</v>
      </c>
      <c r="L2136" s="4" t="s">
        <v>7333</v>
      </c>
    </row>
    <row r="2137">
      <c r="A2137" s="1" t="s">
        <v>12</v>
      </c>
      <c r="B2137" s="1" t="s">
        <v>7334</v>
      </c>
      <c r="C2137" s="1" t="s">
        <v>7307</v>
      </c>
      <c r="D2137" s="1" t="s">
        <v>7335</v>
      </c>
      <c r="E2137" s="2">
        <v>37511.0</v>
      </c>
      <c r="F2137" s="1" t="s">
        <v>24</v>
      </c>
      <c r="G2137" s="1" t="s">
        <v>25</v>
      </c>
      <c r="H2137" s="1" t="s">
        <v>18</v>
      </c>
      <c r="I2137" s="3">
        <f>+2250707767395</f>
        <v>2250707767395</v>
      </c>
      <c r="J2137" s="3">
        <f>+2250779118874</f>
        <v>2250779118874</v>
      </c>
      <c r="K2137" s="1" t="s">
        <v>19</v>
      </c>
      <c r="L2137" s="4" t="s">
        <v>7336</v>
      </c>
    </row>
    <row r="2138">
      <c r="A2138" s="1" t="s">
        <v>12</v>
      </c>
      <c r="B2138" s="1" t="s">
        <v>7337</v>
      </c>
      <c r="C2138" s="1" t="s">
        <v>7307</v>
      </c>
      <c r="D2138" s="1" t="s">
        <v>7338</v>
      </c>
      <c r="E2138" s="2">
        <v>38257.0</v>
      </c>
      <c r="F2138" s="1" t="s">
        <v>138</v>
      </c>
      <c r="G2138" s="1" t="s">
        <v>76</v>
      </c>
      <c r="H2138" s="1" t="s">
        <v>32</v>
      </c>
      <c r="I2138" s="3">
        <f>+2250788277233</f>
        <v>2250788277233</v>
      </c>
      <c r="J2138" s="3">
        <f>+2250556253536</f>
        <v>2250556253536</v>
      </c>
      <c r="K2138" s="1" t="s">
        <v>19</v>
      </c>
      <c r="L2138" s="4" t="s">
        <v>7339</v>
      </c>
    </row>
    <row r="2139">
      <c r="A2139" s="1" t="s">
        <v>12</v>
      </c>
      <c r="B2139" s="1" t="s">
        <v>7340</v>
      </c>
      <c r="C2139" s="1" t="s">
        <v>7307</v>
      </c>
      <c r="D2139" s="1" t="s">
        <v>7341</v>
      </c>
      <c r="E2139" s="5">
        <v>38698.0</v>
      </c>
      <c r="F2139" s="1" t="s">
        <v>70</v>
      </c>
      <c r="G2139" s="1" t="s">
        <v>76</v>
      </c>
      <c r="H2139" s="1" t="s">
        <v>32</v>
      </c>
      <c r="I2139" s="3">
        <f>+2250143298660</f>
        <v>2250143298660</v>
      </c>
      <c r="J2139" s="3">
        <f>+2250759176978</f>
        <v>2250759176978</v>
      </c>
      <c r="K2139" s="1" t="s">
        <v>19</v>
      </c>
      <c r="L2139" s="4" t="s">
        <v>7342</v>
      </c>
    </row>
    <row r="2140">
      <c r="A2140" s="1" t="s">
        <v>12</v>
      </c>
      <c r="B2140" s="1" t="s">
        <v>7343</v>
      </c>
      <c r="C2140" s="1" t="s">
        <v>7307</v>
      </c>
      <c r="D2140" s="1" t="s">
        <v>7344</v>
      </c>
      <c r="E2140" s="2">
        <v>37124.0</v>
      </c>
      <c r="F2140" s="1" t="s">
        <v>167</v>
      </c>
      <c r="G2140" s="1" t="s">
        <v>17</v>
      </c>
      <c r="H2140" s="1" t="s">
        <v>18</v>
      </c>
      <c r="I2140" s="3">
        <f>+2250749933514</f>
        <v>2250749933514</v>
      </c>
      <c r="J2140" s="3">
        <f>+2250709642926</f>
        <v>2250709642926</v>
      </c>
      <c r="K2140" s="1" t="s">
        <v>19</v>
      </c>
      <c r="L2140" s="4" t="s">
        <v>7345</v>
      </c>
    </row>
    <row r="2141">
      <c r="A2141" s="1" t="s">
        <v>12</v>
      </c>
      <c r="B2141" s="1" t="s">
        <v>7346</v>
      </c>
      <c r="C2141" s="1" t="s">
        <v>7307</v>
      </c>
      <c r="D2141" s="1" t="s">
        <v>7347</v>
      </c>
      <c r="E2141" s="2">
        <v>37816.0</v>
      </c>
      <c r="F2141" s="1" t="s">
        <v>62</v>
      </c>
      <c r="G2141" s="1" t="s">
        <v>25</v>
      </c>
      <c r="H2141" s="1" t="s">
        <v>18</v>
      </c>
      <c r="I2141" s="3">
        <f>+2250710907330</f>
        <v>2250710907330</v>
      </c>
      <c r="J2141" s="3">
        <f>+2250101242802</f>
        <v>2250101242802</v>
      </c>
      <c r="K2141" s="1" t="s">
        <v>19</v>
      </c>
      <c r="L2141" s="4" t="s">
        <v>7348</v>
      </c>
    </row>
    <row r="2142">
      <c r="A2142" s="1" t="s">
        <v>12</v>
      </c>
      <c r="B2142" s="1" t="s">
        <v>7349</v>
      </c>
      <c r="C2142" s="1" t="s">
        <v>7307</v>
      </c>
      <c r="D2142" s="1" t="s">
        <v>7350</v>
      </c>
      <c r="E2142" s="2">
        <v>38255.0</v>
      </c>
      <c r="F2142" s="1" t="s">
        <v>155</v>
      </c>
      <c r="G2142" s="1" t="s">
        <v>76</v>
      </c>
      <c r="H2142" s="1" t="s">
        <v>32</v>
      </c>
      <c r="I2142" s="3">
        <f t="shared" ref="I2142:J2142" si="62">+2250102481516</f>
        <v>2250102481516</v>
      </c>
      <c r="J2142" s="3">
        <f t="shared" si="62"/>
        <v>2250102481516</v>
      </c>
      <c r="K2142" s="1" t="s">
        <v>19</v>
      </c>
      <c r="L2142" s="4" t="s">
        <v>7351</v>
      </c>
    </row>
    <row r="2143">
      <c r="A2143" s="1" t="s">
        <v>12</v>
      </c>
      <c r="B2143" s="1" t="s">
        <v>7352</v>
      </c>
      <c r="C2143" s="1" t="s">
        <v>7307</v>
      </c>
      <c r="D2143" s="1" t="s">
        <v>7353</v>
      </c>
      <c r="E2143" s="5">
        <v>37910.0</v>
      </c>
      <c r="F2143" s="1" t="s">
        <v>586</v>
      </c>
      <c r="G2143" s="1" t="s">
        <v>82</v>
      </c>
      <c r="H2143" s="1" t="s">
        <v>18</v>
      </c>
      <c r="I2143" s="3">
        <f>+2250153159107</f>
        <v>2250153159107</v>
      </c>
      <c r="J2143" s="3">
        <f>+2250140350365</f>
        <v>2250140350365</v>
      </c>
      <c r="K2143" s="1" t="s">
        <v>19</v>
      </c>
      <c r="L2143" s="4" t="s">
        <v>7354</v>
      </c>
    </row>
    <row r="2144">
      <c r="A2144" s="1" t="s">
        <v>12</v>
      </c>
      <c r="B2144" s="1" t="s">
        <v>7355</v>
      </c>
      <c r="C2144" s="1" t="s">
        <v>7307</v>
      </c>
      <c r="D2144" s="1" t="s">
        <v>7356</v>
      </c>
      <c r="E2144" s="2">
        <v>37475.0</v>
      </c>
      <c r="F2144" s="1" t="s">
        <v>1723</v>
      </c>
      <c r="G2144" s="1" t="s">
        <v>82</v>
      </c>
      <c r="H2144" s="1" t="s">
        <v>18</v>
      </c>
      <c r="I2144" s="3">
        <f>+2250700770347</f>
        <v>2250700770347</v>
      </c>
      <c r="J2144" s="3">
        <f>+2250749644851</f>
        <v>2250749644851</v>
      </c>
      <c r="K2144" s="1" t="s">
        <v>19</v>
      </c>
      <c r="L2144" s="4" t="s">
        <v>7357</v>
      </c>
    </row>
    <row r="2145">
      <c r="A2145" s="1" t="s">
        <v>12</v>
      </c>
      <c r="B2145" s="1" t="s">
        <v>7358</v>
      </c>
      <c r="C2145" s="1" t="s">
        <v>7307</v>
      </c>
      <c r="D2145" s="1" t="s">
        <v>7359</v>
      </c>
      <c r="E2145" s="2">
        <v>38784.0</v>
      </c>
      <c r="F2145" s="1" t="s">
        <v>101</v>
      </c>
      <c r="G2145" s="1" t="s">
        <v>76</v>
      </c>
      <c r="H2145" s="1" t="s">
        <v>32</v>
      </c>
      <c r="I2145" s="3">
        <f>+2250748666556</f>
        <v>2250748666556</v>
      </c>
      <c r="J2145" s="3">
        <f>+2250709441456</f>
        <v>2250709441456</v>
      </c>
      <c r="K2145" s="1" t="s">
        <v>19</v>
      </c>
      <c r="L2145" s="4" t="s">
        <v>7360</v>
      </c>
    </row>
    <row r="2146">
      <c r="A2146" s="1" t="s">
        <v>12</v>
      </c>
      <c r="B2146" s="1" t="s">
        <v>7361</v>
      </c>
      <c r="C2146" s="1" t="s">
        <v>7307</v>
      </c>
      <c r="D2146" s="1" t="s">
        <v>7362</v>
      </c>
      <c r="E2146" s="2">
        <v>36905.0</v>
      </c>
      <c r="F2146" s="1" t="s">
        <v>155</v>
      </c>
      <c r="G2146" s="1" t="s">
        <v>76</v>
      </c>
      <c r="H2146" s="1" t="s">
        <v>32</v>
      </c>
      <c r="I2146" s="3">
        <f>+2250749136579</f>
        <v>2250749136579</v>
      </c>
      <c r="J2146" s="3">
        <f>+2250777963294</f>
        <v>2250777963294</v>
      </c>
      <c r="K2146" s="1" t="s">
        <v>19</v>
      </c>
      <c r="L2146" s="4" t="s">
        <v>7363</v>
      </c>
    </row>
    <row r="2147">
      <c r="A2147" s="1" t="s">
        <v>12</v>
      </c>
      <c r="B2147" s="1" t="s">
        <v>7364</v>
      </c>
      <c r="C2147" s="1" t="s">
        <v>7307</v>
      </c>
      <c r="D2147" s="1" t="s">
        <v>7365</v>
      </c>
      <c r="E2147" s="5">
        <v>37603.0</v>
      </c>
      <c r="F2147" s="1" t="s">
        <v>92</v>
      </c>
      <c r="G2147" s="1" t="s">
        <v>76</v>
      </c>
      <c r="H2147" s="1" t="s">
        <v>32</v>
      </c>
      <c r="I2147" s="3">
        <f>+225070357780</f>
        <v>225070357780</v>
      </c>
      <c r="J2147" s="3">
        <f>+2250757665470</f>
        <v>2250757665470</v>
      </c>
      <c r="K2147" s="1" t="s">
        <v>19</v>
      </c>
      <c r="L2147" s="4" t="s">
        <v>7366</v>
      </c>
    </row>
    <row r="2148">
      <c r="A2148" s="1" t="s">
        <v>12</v>
      </c>
      <c r="B2148" s="1" t="s">
        <v>7367</v>
      </c>
      <c r="C2148" s="1" t="s">
        <v>7307</v>
      </c>
      <c r="D2148" s="1" t="s">
        <v>7368</v>
      </c>
      <c r="E2148" s="2">
        <v>38250.0</v>
      </c>
      <c r="F2148" s="1" t="s">
        <v>30</v>
      </c>
      <c r="G2148" s="1" t="s">
        <v>76</v>
      </c>
      <c r="H2148" s="1" t="s">
        <v>32</v>
      </c>
      <c r="I2148" s="3">
        <f>+2250171501159</f>
        <v>2250171501159</v>
      </c>
      <c r="J2148" s="3">
        <f>+2250708372127</f>
        <v>2250708372127</v>
      </c>
      <c r="K2148" s="1" t="s">
        <v>19</v>
      </c>
      <c r="L2148" s="4" t="s">
        <v>7369</v>
      </c>
    </row>
    <row r="2149">
      <c r="A2149" s="1" t="s">
        <v>12</v>
      </c>
      <c r="B2149" s="1" t="s">
        <v>7370</v>
      </c>
      <c r="C2149" s="1" t="s">
        <v>7307</v>
      </c>
      <c r="D2149" s="1" t="s">
        <v>7371</v>
      </c>
      <c r="E2149" s="2">
        <v>37622.0</v>
      </c>
      <c r="F2149" s="1" t="s">
        <v>16</v>
      </c>
      <c r="G2149" s="1" t="s">
        <v>17</v>
      </c>
      <c r="H2149" s="1" t="s">
        <v>18</v>
      </c>
      <c r="I2149" s="3">
        <f>+2250711488706</f>
        <v>2250711488706</v>
      </c>
      <c r="J2149" s="3">
        <f>+2250758158473</f>
        <v>2250758158473</v>
      </c>
      <c r="K2149" s="1" t="s">
        <v>19</v>
      </c>
      <c r="L2149" s="4" t="s">
        <v>7372</v>
      </c>
    </row>
    <row r="2150">
      <c r="A2150" s="1" t="s">
        <v>12</v>
      </c>
      <c r="B2150" s="1" t="s">
        <v>7373</v>
      </c>
      <c r="C2150" s="1" t="s">
        <v>7307</v>
      </c>
      <c r="D2150" s="1" t="s">
        <v>7374</v>
      </c>
      <c r="E2150" s="2">
        <v>38214.0</v>
      </c>
      <c r="F2150" s="1" t="s">
        <v>138</v>
      </c>
      <c r="G2150" s="1" t="s">
        <v>31</v>
      </c>
      <c r="H2150" s="1" t="s">
        <v>32</v>
      </c>
      <c r="I2150" s="3">
        <f>+2250153655730</f>
        <v>2250153655730</v>
      </c>
      <c r="J2150" s="3">
        <f>+2250711357185</f>
        <v>2250711357185</v>
      </c>
      <c r="K2150" s="1" t="s">
        <v>19</v>
      </c>
      <c r="L2150" s="4" t="s">
        <v>7375</v>
      </c>
    </row>
    <row r="2151">
      <c r="A2151" s="1" t="s">
        <v>12</v>
      </c>
      <c r="B2151" s="1" t="s">
        <v>7376</v>
      </c>
      <c r="C2151" s="1" t="s">
        <v>7307</v>
      </c>
      <c r="D2151" s="1" t="s">
        <v>7377</v>
      </c>
      <c r="E2151" s="2">
        <v>37787.0</v>
      </c>
      <c r="F2151" s="1" t="s">
        <v>155</v>
      </c>
      <c r="G2151" s="1" t="s">
        <v>76</v>
      </c>
      <c r="H2151" s="1" t="s">
        <v>32</v>
      </c>
      <c r="I2151" s="3">
        <f>+2250161348715</f>
        <v>2250161348715</v>
      </c>
      <c r="J2151" s="3">
        <f>+2250747176399</f>
        <v>2250747176399</v>
      </c>
      <c r="K2151" s="1" t="s">
        <v>19</v>
      </c>
      <c r="L2151" s="4" t="s">
        <v>7378</v>
      </c>
    </row>
    <row r="2152">
      <c r="A2152" s="1" t="s">
        <v>12</v>
      </c>
      <c r="B2152" s="1" t="s">
        <v>7379</v>
      </c>
      <c r="C2152" s="1" t="s">
        <v>7307</v>
      </c>
      <c r="D2152" s="1" t="s">
        <v>7380</v>
      </c>
      <c r="E2152" s="2">
        <v>37669.0</v>
      </c>
      <c r="F2152" s="1" t="s">
        <v>16</v>
      </c>
      <c r="G2152" s="1" t="s">
        <v>17</v>
      </c>
      <c r="H2152" s="1" t="s">
        <v>18</v>
      </c>
      <c r="I2152" s="3">
        <f>+2250748086949</f>
        <v>2250748086949</v>
      </c>
      <c r="J2152" s="3">
        <f>+2250707928420</f>
        <v>2250707928420</v>
      </c>
      <c r="K2152" s="1" t="s">
        <v>19</v>
      </c>
      <c r="L2152" s="4" t="s">
        <v>7381</v>
      </c>
    </row>
    <row r="2153">
      <c r="A2153" s="1" t="s">
        <v>12</v>
      </c>
      <c r="B2153" s="1" t="s">
        <v>7382</v>
      </c>
      <c r="C2153" s="1" t="s">
        <v>7307</v>
      </c>
      <c r="D2153" s="1" t="s">
        <v>7383</v>
      </c>
      <c r="E2153" s="5">
        <v>37985.0</v>
      </c>
      <c r="F2153" s="1" t="s">
        <v>92</v>
      </c>
      <c r="G2153" s="1" t="s">
        <v>31</v>
      </c>
      <c r="H2153" s="1" t="s">
        <v>32</v>
      </c>
      <c r="I2153" s="3">
        <f>+2250759339866</f>
        <v>2250759339866</v>
      </c>
      <c r="J2153" s="3">
        <f>+2250709707216</f>
        <v>2250709707216</v>
      </c>
      <c r="K2153" s="1" t="s">
        <v>19</v>
      </c>
      <c r="L2153" s="4" t="s">
        <v>7384</v>
      </c>
    </row>
    <row r="2154">
      <c r="A2154" s="1" t="s">
        <v>12</v>
      </c>
      <c r="B2154" s="1" t="s">
        <v>7385</v>
      </c>
      <c r="C2154" s="1" t="s">
        <v>7307</v>
      </c>
      <c r="D2154" s="1" t="s">
        <v>7386</v>
      </c>
      <c r="E2154" s="2">
        <v>37728.0</v>
      </c>
      <c r="F2154" s="1" t="s">
        <v>48</v>
      </c>
      <c r="G2154" s="1" t="s">
        <v>31</v>
      </c>
      <c r="H2154" s="1" t="s">
        <v>32</v>
      </c>
      <c r="I2154" s="3">
        <f>+2250705190581</f>
        <v>2250705190581</v>
      </c>
      <c r="J2154" s="3">
        <f>+2250757879711</f>
        <v>2250757879711</v>
      </c>
      <c r="K2154" s="1" t="s">
        <v>19</v>
      </c>
      <c r="L2154" s="4" t="s">
        <v>7387</v>
      </c>
    </row>
    <row r="2155">
      <c r="A2155" s="1" t="s">
        <v>12</v>
      </c>
      <c r="B2155" s="1" t="s">
        <v>7388</v>
      </c>
      <c r="C2155" s="1" t="s">
        <v>7307</v>
      </c>
      <c r="D2155" s="1" t="s">
        <v>7389</v>
      </c>
      <c r="E2155" s="2">
        <v>37297.0</v>
      </c>
      <c r="F2155" s="1" t="s">
        <v>24</v>
      </c>
      <c r="G2155" s="1" t="s">
        <v>17</v>
      </c>
      <c r="H2155" s="1" t="s">
        <v>18</v>
      </c>
      <c r="I2155" s="3">
        <f>+2250702507179</f>
        <v>2250702507179</v>
      </c>
      <c r="J2155" s="3">
        <f>+2250709626069</f>
        <v>2250709626069</v>
      </c>
      <c r="K2155" s="1" t="s">
        <v>19</v>
      </c>
      <c r="L2155" s="4" t="s">
        <v>7390</v>
      </c>
    </row>
    <row r="2156">
      <c r="A2156" s="1" t="s">
        <v>12</v>
      </c>
      <c r="B2156" s="1" t="s">
        <v>7391</v>
      </c>
      <c r="C2156" s="1" t="s">
        <v>7307</v>
      </c>
      <c r="D2156" s="1" t="s">
        <v>7392</v>
      </c>
      <c r="E2156" s="2">
        <v>36983.0</v>
      </c>
      <c r="F2156" s="1" t="s">
        <v>97</v>
      </c>
      <c r="G2156" s="1" t="s">
        <v>82</v>
      </c>
      <c r="H2156" s="1" t="s">
        <v>18</v>
      </c>
      <c r="I2156" s="3">
        <f>+2250767512449</f>
        <v>2250767512449</v>
      </c>
      <c r="J2156" s="3">
        <f>+2250140606921</f>
        <v>2250140606921</v>
      </c>
      <c r="K2156" s="1" t="s">
        <v>19</v>
      </c>
      <c r="L2156" s="4" t="s">
        <v>7393</v>
      </c>
    </row>
    <row r="2157">
      <c r="A2157" s="1" t="s">
        <v>12</v>
      </c>
      <c r="B2157" s="1" t="s">
        <v>7394</v>
      </c>
      <c r="C2157" s="1" t="s">
        <v>7307</v>
      </c>
      <c r="D2157" s="1" t="s">
        <v>7395</v>
      </c>
      <c r="E2157" s="2">
        <v>38097.0</v>
      </c>
      <c r="F2157" s="1" t="s">
        <v>138</v>
      </c>
      <c r="G2157" s="1" t="s">
        <v>31</v>
      </c>
      <c r="H2157" s="1" t="s">
        <v>32</v>
      </c>
      <c r="I2157" s="3">
        <f>+2250799668096</f>
        <v>2250799668096</v>
      </c>
      <c r="J2157" s="3">
        <f>+2250707286914</f>
        <v>2250707286914</v>
      </c>
      <c r="K2157" s="1" t="s">
        <v>19</v>
      </c>
      <c r="L2157" s="4" t="s">
        <v>7396</v>
      </c>
    </row>
    <row r="2158">
      <c r="A2158" s="1" t="s">
        <v>12</v>
      </c>
      <c r="B2158" s="1" t="s">
        <v>7397</v>
      </c>
      <c r="C2158" s="1" t="s">
        <v>7307</v>
      </c>
      <c r="D2158" s="1" t="s">
        <v>7398</v>
      </c>
      <c r="E2158" s="5">
        <v>37555.0</v>
      </c>
      <c r="F2158" s="1" t="s">
        <v>16</v>
      </c>
      <c r="G2158" s="1" t="s">
        <v>82</v>
      </c>
      <c r="H2158" s="1" t="s">
        <v>18</v>
      </c>
      <c r="I2158" s="3">
        <f>+2250584796325</f>
        <v>2250584796325</v>
      </c>
      <c r="J2158" s="3">
        <f>+2250757534013</f>
        <v>2250757534013</v>
      </c>
      <c r="K2158" s="1" t="s">
        <v>19</v>
      </c>
      <c r="L2158" s="4" t="s">
        <v>7399</v>
      </c>
    </row>
    <row r="2159">
      <c r="A2159" s="1" t="s">
        <v>12</v>
      </c>
      <c r="B2159" s="1" t="s">
        <v>7400</v>
      </c>
      <c r="C2159" s="1" t="s">
        <v>7307</v>
      </c>
      <c r="D2159" s="1" t="s">
        <v>7401</v>
      </c>
      <c r="E2159" s="5">
        <v>39010.0</v>
      </c>
      <c r="F2159" s="1" t="s">
        <v>101</v>
      </c>
      <c r="G2159" s="1" t="s">
        <v>31</v>
      </c>
      <c r="H2159" s="1" t="s">
        <v>32</v>
      </c>
      <c r="I2159" s="3">
        <f>+2250798123338</f>
        <v>2250798123338</v>
      </c>
      <c r="J2159" s="3">
        <f>+2250748545436</f>
        <v>2250748545436</v>
      </c>
      <c r="K2159" s="1" t="s">
        <v>19</v>
      </c>
      <c r="L2159" s="4" t="s">
        <v>7402</v>
      </c>
    </row>
    <row r="2160">
      <c r="A2160" s="1" t="s">
        <v>12</v>
      </c>
      <c r="B2160" s="1" t="s">
        <v>7403</v>
      </c>
      <c r="C2160" s="1" t="s">
        <v>7307</v>
      </c>
      <c r="D2160" s="1" t="s">
        <v>7404</v>
      </c>
      <c r="E2160" s="2">
        <v>37769.0</v>
      </c>
      <c r="F2160" s="1" t="s">
        <v>138</v>
      </c>
      <c r="G2160" s="1" t="s">
        <v>31</v>
      </c>
      <c r="H2160" s="1" t="s">
        <v>32</v>
      </c>
      <c r="I2160" s="3">
        <f>+2250778216756</f>
        <v>2250778216756</v>
      </c>
      <c r="J2160" s="3">
        <f>+2250102786077</f>
        <v>2250102786077</v>
      </c>
      <c r="K2160" s="1" t="s">
        <v>19</v>
      </c>
      <c r="L2160" s="4" t="s">
        <v>7405</v>
      </c>
    </row>
    <row r="2161">
      <c r="A2161" s="1" t="s">
        <v>12</v>
      </c>
      <c r="B2161" s="1" t="s">
        <v>7406</v>
      </c>
      <c r="C2161" s="1" t="s">
        <v>7307</v>
      </c>
      <c r="D2161" s="1" t="s">
        <v>7407</v>
      </c>
      <c r="E2161" s="2">
        <v>38138.0</v>
      </c>
      <c r="F2161" s="1" t="s">
        <v>30</v>
      </c>
      <c r="G2161" s="1" t="s">
        <v>76</v>
      </c>
      <c r="H2161" s="1" t="s">
        <v>32</v>
      </c>
      <c r="I2161" s="3">
        <f>+2250768807081</f>
        <v>2250768807081</v>
      </c>
      <c r="J2161" s="3">
        <f>+2250708903716</f>
        <v>2250708903716</v>
      </c>
      <c r="K2161" s="1" t="s">
        <v>19</v>
      </c>
      <c r="L2161" s="4" t="s">
        <v>7408</v>
      </c>
    </row>
    <row r="2162">
      <c r="A2162" s="1" t="s">
        <v>12</v>
      </c>
      <c r="B2162" s="1" t="s">
        <v>7409</v>
      </c>
      <c r="C2162" s="1" t="s">
        <v>7307</v>
      </c>
      <c r="D2162" s="1" t="s">
        <v>7410</v>
      </c>
      <c r="E2162" s="2">
        <v>38988.0</v>
      </c>
      <c r="F2162" s="1" t="s">
        <v>48</v>
      </c>
      <c r="G2162" s="1" t="s">
        <v>76</v>
      </c>
      <c r="H2162" s="1" t="s">
        <v>32</v>
      </c>
      <c r="I2162" s="3">
        <f>+2250768326518</f>
        <v>2250768326518</v>
      </c>
      <c r="J2162" s="3">
        <f>+2250708309654</f>
        <v>2250708309654</v>
      </c>
      <c r="K2162" s="1" t="s">
        <v>19</v>
      </c>
      <c r="L2162" s="4" t="s">
        <v>7411</v>
      </c>
    </row>
    <row r="2163">
      <c r="A2163" s="1" t="s">
        <v>12</v>
      </c>
      <c r="B2163" s="1" t="s">
        <v>7412</v>
      </c>
      <c r="C2163" s="1" t="s">
        <v>7307</v>
      </c>
      <c r="D2163" s="1" t="s">
        <v>7413</v>
      </c>
      <c r="E2163" s="5">
        <v>37178.0</v>
      </c>
      <c r="F2163" s="1" t="s">
        <v>16</v>
      </c>
      <c r="G2163" s="1" t="s">
        <v>17</v>
      </c>
      <c r="H2163" s="1" t="s">
        <v>18</v>
      </c>
      <c r="I2163" s="3">
        <f>+2250584897189</f>
        <v>2250584897189</v>
      </c>
      <c r="J2163" s="3">
        <f>+2250707330930</f>
        <v>2250707330930</v>
      </c>
      <c r="K2163" s="1" t="s">
        <v>19</v>
      </c>
      <c r="L2163" s="4" t="s">
        <v>7414</v>
      </c>
    </row>
    <row r="2164">
      <c r="A2164" s="1" t="s">
        <v>12</v>
      </c>
      <c r="B2164" s="1" t="s">
        <v>7415</v>
      </c>
      <c r="C2164" s="1" t="s">
        <v>7307</v>
      </c>
      <c r="D2164" s="1" t="s">
        <v>7416</v>
      </c>
      <c r="E2164" s="2">
        <v>38122.0</v>
      </c>
      <c r="F2164" s="1" t="s">
        <v>16</v>
      </c>
      <c r="G2164" s="1" t="s">
        <v>25</v>
      </c>
      <c r="H2164" s="1" t="s">
        <v>18</v>
      </c>
      <c r="I2164" s="3">
        <f>+2250140818109</f>
        <v>2250140818109</v>
      </c>
      <c r="J2164" s="3">
        <f>+2250140595949</f>
        <v>2250140595949</v>
      </c>
      <c r="K2164" s="1" t="s">
        <v>19</v>
      </c>
      <c r="L2164" s="4" t="s">
        <v>7417</v>
      </c>
    </row>
    <row r="2165">
      <c r="A2165" s="1" t="s">
        <v>12</v>
      </c>
      <c r="B2165" s="1" t="s">
        <v>7418</v>
      </c>
      <c r="C2165" s="1" t="s">
        <v>7307</v>
      </c>
      <c r="D2165" s="1" t="s">
        <v>7419</v>
      </c>
      <c r="E2165" s="2">
        <v>37128.0</v>
      </c>
      <c r="F2165" s="1" t="s">
        <v>75</v>
      </c>
      <c r="G2165" s="1" t="s">
        <v>31</v>
      </c>
      <c r="H2165" s="1" t="s">
        <v>32</v>
      </c>
      <c r="I2165" s="3">
        <f>+2250749547825</f>
        <v>2250749547825</v>
      </c>
      <c r="J2165" s="3">
        <f>+2250748137965</f>
        <v>2250748137965</v>
      </c>
      <c r="K2165" s="1" t="s">
        <v>19</v>
      </c>
      <c r="L2165" s="4" t="s">
        <v>7420</v>
      </c>
    </row>
    <row r="2166">
      <c r="A2166" s="1" t="s">
        <v>12</v>
      </c>
      <c r="B2166" s="1" t="s">
        <v>7421</v>
      </c>
      <c r="C2166" s="1" t="s">
        <v>7307</v>
      </c>
      <c r="D2166" s="1" t="s">
        <v>7422</v>
      </c>
      <c r="E2166" s="2">
        <v>37441.0</v>
      </c>
      <c r="F2166" s="1" t="s">
        <v>62</v>
      </c>
      <c r="G2166" s="1" t="s">
        <v>17</v>
      </c>
      <c r="H2166" s="1" t="s">
        <v>18</v>
      </c>
      <c r="I2166" s="3">
        <f t="shared" ref="I2166:J2166" si="63">+2250777754301</f>
        <v>2250777754301</v>
      </c>
      <c r="J2166" s="3">
        <f t="shared" si="63"/>
        <v>2250777754301</v>
      </c>
      <c r="K2166" s="1" t="s">
        <v>19</v>
      </c>
      <c r="L2166" s="4" t="s">
        <v>7423</v>
      </c>
    </row>
    <row r="2167">
      <c r="A2167" s="1" t="s">
        <v>12</v>
      </c>
      <c r="B2167" s="1" t="s">
        <v>7424</v>
      </c>
      <c r="C2167" s="1" t="s">
        <v>7307</v>
      </c>
      <c r="D2167" s="1" t="s">
        <v>7425</v>
      </c>
      <c r="E2167" s="2">
        <v>37622.0</v>
      </c>
      <c r="F2167" s="1" t="s">
        <v>16</v>
      </c>
      <c r="G2167" s="1" t="s">
        <v>25</v>
      </c>
      <c r="H2167" s="1" t="s">
        <v>18</v>
      </c>
      <c r="I2167" s="3">
        <f>+2250544227840</f>
        <v>2250544227840</v>
      </c>
      <c r="J2167" s="3">
        <f>+2250707636928</f>
        <v>2250707636928</v>
      </c>
      <c r="K2167" s="1" t="s">
        <v>19</v>
      </c>
      <c r="L2167" s="4" t="s">
        <v>7426</v>
      </c>
    </row>
    <row r="2168">
      <c r="A2168" s="1" t="s">
        <v>12</v>
      </c>
      <c r="B2168" s="1" t="s">
        <v>7427</v>
      </c>
      <c r="C2168" s="1" t="s">
        <v>7307</v>
      </c>
      <c r="D2168" s="1" t="s">
        <v>7428</v>
      </c>
      <c r="E2168" s="2">
        <v>36529.0</v>
      </c>
      <c r="F2168" s="1" t="s">
        <v>351</v>
      </c>
      <c r="G2168" s="1" t="s">
        <v>31</v>
      </c>
      <c r="H2168" s="1" t="s">
        <v>32</v>
      </c>
      <c r="I2168" s="3">
        <f>+2250749969748</f>
        <v>2250749969748</v>
      </c>
      <c r="J2168" s="3">
        <f>+2250787039798</f>
        <v>2250787039798</v>
      </c>
      <c r="K2168" s="1" t="s">
        <v>19</v>
      </c>
      <c r="L2168" s="4" t="s">
        <v>7429</v>
      </c>
    </row>
    <row r="2169">
      <c r="A2169" s="1" t="s">
        <v>12</v>
      </c>
      <c r="B2169" s="1" t="s">
        <v>7430</v>
      </c>
      <c r="C2169" s="1" t="s">
        <v>7307</v>
      </c>
      <c r="D2169" s="1" t="s">
        <v>7431</v>
      </c>
      <c r="E2169" s="5">
        <v>37951.0</v>
      </c>
      <c r="F2169" s="1" t="s">
        <v>53</v>
      </c>
      <c r="G2169" s="1" t="s">
        <v>17</v>
      </c>
      <c r="H2169" s="1" t="s">
        <v>18</v>
      </c>
      <c r="I2169" s="3">
        <f>+2250101609888</f>
        <v>2250101609888</v>
      </c>
      <c r="J2169" s="3">
        <f>+2250701122321</f>
        <v>2250701122321</v>
      </c>
      <c r="K2169" s="1" t="s">
        <v>19</v>
      </c>
      <c r="L2169" s="4" t="s">
        <v>7432</v>
      </c>
    </row>
    <row r="2170">
      <c r="A2170" s="1" t="s">
        <v>12</v>
      </c>
      <c r="B2170" s="1" t="s">
        <v>7433</v>
      </c>
      <c r="C2170" s="1" t="s">
        <v>7307</v>
      </c>
      <c r="D2170" s="1" t="s">
        <v>7434</v>
      </c>
      <c r="E2170" s="5">
        <v>38652.0</v>
      </c>
      <c r="F2170" s="1" t="s">
        <v>62</v>
      </c>
      <c r="G2170" s="1" t="s">
        <v>17</v>
      </c>
      <c r="H2170" s="1" t="s">
        <v>18</v>
      </c>
      <c r="I2170" s="3">
        <f>+2250702771240</f>
        <v>2250702771240</v>
      </c>
      <c r="J2170" s="3">
        <f>+2250708043122</f>
        <v>2250708043122</v>
      </c>
      <c r="K2170" s="1" t="s">
        <v>19</v>
      </c>
      <c r="L2170" s="4" t="s">
        <v>7435</v>
      </c>
    </row>
    <row r="2171">
      <c r="A2171" s="1" t="s">
        <v>12</v>
      </c>
      <c r="B2171" s="1" t="s">
        <v>7436</v>
      </c>
      <c r="C2171" s="1" t="s">
        <v>7307</v>
      </c>
      <c r="D2171" s="1" t="s">
        <v>7437</v>
      </c>
      <c r="E2171" s="2">
        <v>37433.0</v>
      </c>
      <c r="F2171" s="1" t="s">
        <v>16</v>
      </c>
      <c r="G2171" s="1" t="s">
        <v>25</v>
      </c>
      <c r="H2171" s="1" t="s">
        <v>18</v>
      </c>
      <c r="I2171" s="3">
        <f>+2250153034676</f>
        <v>2250153034676</v>
      </c>
      <c r="J2171" s="3">
        <f>+2250707466615</f>
        <v>2250707466615</v>
      </c>
      <c r="K2171" s="1" t="s">
        <v>19</v>
      </c>
      <c r="L2171" s="4" t="s">
        <v>7438</v>
      </c>
    </row>
    <row r="2172">
      <c r="A2172" s="1" t="s">
        <v>12</v>
      </c>
      <c r="B2172" s="1" t="s">
        <v>7439</v>
      </c>
      <c r="C2172" s="1" t="s">
        <v>7307</v>
      </c>
      <c r="D2172" s="1" t="s">
        <v>7440</v>
      </c>
      <c r="E2172" s="2">
        <v>38537.0</v>
      </c>
      <c r="F2172" s="1" t="s">
        <v>53</v>
      </c>
      <c r="G2172" s="1" t="s">
        <v>17</v>
      </c>
      <c r="H2172" s="1" t="s">
        <v>18</v>
      </c>
      <c r="I2172" s="3">
        <f>+2250102287953</f>
        <v>2250102287953</v>
      </c>
      <c r="J2172" s="3">
        <f>+2250141704717</f>
        <v>2250141704717</v>
      </c>
      <c r="K2172" s="1" t="s">
        <v>19</v>
      </c>
      <c r="L2172" s="4" t="s">
        <v>7441</v>
      </c>
    </row>
    <row r="2173">
      <c r="A2173" s="1" t="s">
        <v>12</v>
      </c>
      <c r="B2173" s="1" t="s">
        <v>7442</v>
      </c>
      <c r="C2173" s="1" t="s">
        <v>7307</v>
      </c>
      <c r="D2173" s="1" t="s">
        <v>7443</v>
      </c>
      <c r="E2173" s="5">
        <v>38341.0</v>
      </c>
      <c r="F2173" s="1" t="s">
        <v>62</v>
      </c>
      <c r="G2173" s="1" t="s">
        <v>17</v>
      </c>
      <c r="H2173" s="1" t="s">
        <v>18</v>
      </c>
      <c r="I2173" s="3">
        <f>+2250700754783</f>
        <v>2250700754783</v>
      </c>
      <c r="J2173" s="3">
        <f>+2250777447554</f>
        <v>2250777447554</v>
      </c>
      <c r="K2173" s="1" t="s">
        <v>19</v>
      </c>
      <c r="L2173" s="4" t="s">
        <v>7444</v>
      </c>
    </row>
    <row r="2174">
      <c r="A2174" s="1" t="s">
        <v>12</v>
      </c>
      <c r="B2174" s="1" t="s">
        <v>7445</v>
      </c>
      <c r="C2174" s="1" t="s">
        <v>7307</v>
      </c>
      <c r="D2174" s="1" t="s">
        <v>7446</v>
      </c>
      <c r="E2174" s="5">
        <v>37210.0</v>
      </c>
      <c r="F2174" s="1" t="s">
        <v>75</v>
      </c>
      <c r="G2174" s="1" t="s">
        <v>31</v>
      </c>
      <c r="H2174" s="1" t="s">
        <v>32</v>
      </c>
      <c r="I2174" s="3">
        <f>+2250565335711</f>
        <v>2250565335711</v>
      </c>
      <c r="J2174" s="3">
        <f>+2250708112922</f>
        <v>2250708112922</v>
      </c>
      <c r="K2174" s="1" t="s">
        <v>19</v>
      </c>
      <c r="L2174" s="4" t="s">
        <v>7447</v>
      </c>
    </row>
    <row r="2175">
      <c r="A2175" s="1" t="s">
        <v>12</v>
      </c>
      <c r="B2175" s="1" t="s">
        <v>7448</v>
      </c>
      <c r="C2175" s="1" t="s">
        <v>7307</v>
      </c>
      <c r="D2175" s="1" t="s">
        <v>7449</v>
      </c>
      <c r="E2175" s="2">
        <v>37852.0</v>
      </c>
      <c r="F2175" s="1" t="s">
        <v>62</v>
      </c>
      <c r="G2175" s="1" t="s">
        <v>25</v>
      </c>
      <c r="H2175" s="1" t="s">
        <v>18</v>
      </c>
      <c r="I2175" s="3">
        <f>+2250778718695</f>
        <v>2250778718695</v>
      </c>
      <c r="J2175" s="3">
        <f>+2250707074652</f>
        <v>2250707074652</v>
      </c>
      <c r="K2175" s="1" t="s">
        <v>19</v>
      </c>
      <c r="L2175" s="4" t="s">
        <v>7450</v>
      </c>
    </row>
    <row r="2176">
      <c r="A2176" s="1" t="s">
        <v>12</v>
      </c>
      <c r="B2176" s="1" t="s">
        <v>7451</v>
      </c>
      <c r="C2176" s="1" t="s">
        <v>7307</v>
      </c>
      <c r="D2176" s="1" t="s">
        <v>7452</v>
      </c>
      <c r="E2176" s="2">
        <v>38616.0</v>
      </c>
      <c r="F2176" s="1" t="s">
        <v>101</v>
      </c>
      <c r="G2176" s="1" t="s">
        <v>76</v>
      </c>
      <c r="H2176" s="1" t="s">
        <v>32</v>
      </c>
      <c r="I2176" s="3">
        <f>+2250544373291</f>
        <v>2250544373291</v>
      </c>
      <c r="J2176" s="3">
        <f>+2250153466584</f>
        <v>2250153466584</v>
      </c>
      <c r="K2176" s="1" t="s">
        <v>19</v>
      </c>
      <c r="L2176" s="4" t="s">
        <v>7453</v>
      </c>
    </row>
    <row r="2177">
      <c r="A2177" s="1" t="s">
        <v>12</v>
      </c>
      <c r="B2177" s="1" t="s">
        <v>7454</v>
      </c>
      <c r="C2177" s="1" t="s">
        <v>7307</v>
      </c>
      <c r="D2177" s="1" t="s">
        <v>7455</v>
      </c>
      <c r="E2177" s="5">
        <v>38334.0</v>
      </c>
      <c r="F2177" s="1" t="s">
        <v>24</v>
      </c>
      <c r="G2177" s="1" t="s">
        <v>17</v>
      </c>
      <c r="H2177" s="1" t="s">
        <v>18</v>
      </c>
      <c r="I2177" s="3">
        <f>+2250153237831</f>
        <v>2250153237831</v>
      </c>
      <c r="J2177" s="3">
        <f>+2250708268759</f>
        <v>2250708268759</v>
      </c>
      <c r="K2177" s="1" t="s">
        <v>19</v>
      </c>
      <c r="L2177" s="4" t="s">
        <v>7456</v>
      </c>
    </row>
    <row r="2178">
      <c r="A2178" s="1" t="s">
        <v>12</v>
      </c>
      <c r="B2178" s="1" t="s">
        <v>7457</v>
      </c>
      <c r="C2178" s="1" t="s">
        <v>7307</v>
      </c>
      <c r="D2178" s="1" t="s">
        <v>7458</v>
      </c>
      <c r="E2178" s="5">
        <v>36886.0</v>
      </c>
      <c r="F2178" s="1" t="s">
        <v>101</v>
      </c>
      <c r="G2178" s="1" t="s">
        <v>31</v>
      </c>
      <c r="H2178" s="1" t="s">
        <v>32</v>
      </c>
      <c r="I2178" s="3">
        <f>+2250758892229</f>
        <v>2250758892229</v>
      </c>
      <c r="J2178" s="3">
        <f>+2250707121250</f>
        <v>2250707121250</v>
      </c>
      <c r="K2178" s="1" t="s">
        <v>19</v>
      </c>
      <c r="L2178" s="4" t="s">
        <v>7459</v>
      </c>
    </row>
    <row r="2179">
      <c r="A2179" s="1" t="s">
        <v>12</v>
      </c>
      <c r="B2179" s="1" t="s">
        <v>7460</v>
      </c>
      <c r="C2179" s="1" t="s">
        <v>7307</v>
      </c>
      <c r="D2179" s="1" t="s">
        <v>7461</v>
      </c>
      <c r="E2179" s="2">
        <v>38005.0</v>
      </c>
      <c r="F2179" s="1" t="s">
        <v>16</v>
      </c>
      <c r="G2179" s="1" t="s">
        <v>17</v>
      </c>
      <c r="H2179" s="1" t="s">
        <v>18</v>
      </c>
      <c r="I2179" s="3">
        <f>+2250143993815</f>
        <v>2250143993815</v>
      </c>
      <c r="J2179" s="3">
        <f>+2250101121297</f>
        <v>2250101121297</v>
      </c>
      <c r="K2179" s="1" t="s">
        <v>19</v>
      </c>
      <c r="L2179" s="4" t="s">
        <v>7462</v>
      </c>
    </row>
    <row r="2180">
      <c r="A2180" s="1" t="s">
        <v>12</v>
      </c>
      <c r="B2180" s="1" t="s">
        <v>7463</v>
      </c>
      <c r="C2180" s="1" t="s">
        <v>7307</v>
      </c>
      <c r="D2180" s="1" t="s">
        <v>7464</v>
      </c>
      <c r="E2180" s="2">
        <v>39172.0</v>
      </c>
      <c r="F2180" s="1" t="s">
        <v>70</v>
      </c>
      <c r="G2180" s="1" t="s">
        <v>76</v>
      </c>
      <c r="H2180" s="1" t="s">
        <v>32</v>
      </c>
      <c r="I2180" s="3">
        <f>+225015075978</f>
        <v>225015075978</v>
      </c>
      <c r="J2180" s="3">
        <f>+2250707070784</f>
        <v>2250707070784</v>
      </c>
      <c r="K2180" s="1" t="s">
        <v>19</v>
      </c>
      <c r="L2180" s="4" t="s">
        <v>7465</v>
      </c>
    </row>
    <row r="2181">
      <c r="A2181" s="1" t="s">
        <v>12</v>
      </c>
      <c r="B2181" s="1" t="s">
        <v>7466</v>
      </c>
      <c r="C2181" s="1" t="s">
        <v>7307</v>
      </c>
      <c r="D2181" s="1" t="s">
        <v>7467</v>
      </c>
      <c r="E2181" s="2">
        <v>38087.0</v>
      </c>
      <c r="F2181" s="1" t="s">
        <v>155</v>
      </c>
      <c r="G2181" s="1" t="s">
        <v>76</v>
      </c>
      <c r="H2181" s="1" t="s">
        <v>32</v>
      </c>
      <c r="I2181" s="3">
        <f>+2250565468260</f>
        <v>2250565468260</v>
      </c>
      <c r="J2181" s="3">
        <f>+2250708035105</f>
        <v>2250708035105</v>
      </c>
      <c r="K2181" s="1" t="s">
        <v>19</v>
      </c>
      <c r="L2181" s="4" t="s">
        <v>7468</v>
      </c>
    </row>
    <row r="2182">
      <c r="A2182" s="1" t="s">
        <v>12</v>
      </c>
      <c r="B2182" s="1" t="s">
        <v>7469</v>
      </c>
      <c r="C2182" s="1" t="s">
        <v>7307</v>
      </c>
      <c r="D2182" s="1" t="s">
        <v>7470</v>
      </c>
      <c r="E2182" s="2">
        <v>36687.0</v>
      </c>
      <c r="F2182" s="1" t="s">
        <v>92</v>
      </c>
      <c r="G2182" s="1" t="s">
        <v>76</v>
      </c>
      <c r="H2182" s="1" t="s">
        <v>32</v>
      </c>
      <c r="I2182" s="3">
        <f>+2250778191409</f>
        <v>2250778191409</v>
      </c>
      <c r="J2182" s="3">
        <f>+2250757684745</f>
        <v>2250757684745</v>
      </c>
      <c r="K2182" s="1" t="s">
        <v>19</v>
      </c>
      <c r="L2182" s="4" t="s">
        <v>7471</v>
      </c>
    </row>
    <row r="2183">
      <c r="A2183" s="1" t="s">
        <v>12</v>
      </c>
      <c r="B2183" s="1" t="s">
        <v>7472</v>
      </c>
      <c r="C2183" s="1" t="s">
        <v>7307</v>
      </c>
      <c r="D2183" s="1" t="s">
        <v>7473</v>
      </c>
      <c r="E2183" s="5">
        <v>37913.0</v>
      </c>
      <c r="F2183" s="1" t="s">
        <v>48</v>
      </c>
      <c r="G2183" s="1" t="s">
        <v>76</v>
      </c>
      <c r="H2183" s="1" t="s">
        <v>32</v>
      </c>
      <c r="I2183" s="3">
        <f>+2250708091743</f>
        <v>2250708091743</v>
      </c>
      <c r="J2183" s="3">
        <f>+2250505219106</f>
        <v>2250505219106</v>
      </c>
      <c r="K2183" s="1" t="s">
        <v>19</v>
      </c>
      <c r="L2183" s="4" t="s">
        <v>7474</v>
      </c>
    </row>
    <row r="2184">
      <c r="A2184" s="1" t="s">
        <v>12</v>
      </c>
      <c r="B2184" s="1" t="s">
        <v>7475</v>
      </c>
      <c r="C2184" s="1" t="s">
        <v>7307</v>
      </c>
      <c r="D2184" s="1" t="s">
        <v>7476</v>
      </c>
      <c r="E2184" s="2">
        <v>38558.0</v>
      </c>
      <c r="F2184" s="1" t="s">
        <v>101</v>
      </c>
      <c r="G2184" s="1" t="s">
        <v>76</v>
      </c>
      <c r="H2184" s="1" t="s">
        <v>32</v>
      </c>
      <c r="I2184" s="3">
        <f>+2250546531824</f>
        <v>2250546531824</v>
      </c>
      <c r="J2184" s="3">
        <f>+2250787680874</f>
        <v>2250787680874</v>
      </c>
      <c r="K2184" s="1" t="s">
        <v>19</v>
      </c>
      <c r="L2184" s="4" t="s">
        <v>7477</v>
      </c>
    </row>
    <row r="2185">
      <c r="A2185" s="1" t="s">
        <v>12</v>
      </c>
      <c r="B2185" s="1" t="s">
        <v>7478</v>
      </c>
      <c r="C2185" s="1" t="s">
        <v>7307</v>
      </c>
      <c r="D2185" s="1" t="s">
        <v>7479</v>
      </c>
      <c r="E2185" s="2">
        <v>37750.0</v>
      </c>
      <c r="F2185" s="1" t="s">
        <v>92</v>
      </c>
      <c r="G2185" s="1" t="s">
        <v>76</v>
      </c>
      <c r="H2185" s="1" t="s">
        <v>32</v>
      </c>
      <c r="I2185" s="3">
        <f>+2250564939005</f>
        <v>2250564939005</v>
      </c>
      <c r="J2185" s="3">
        <f>+2250585852058</f>
        <v>2250585852058</v>
      </c>
      <c r="K2185" s="1" t="s">
        <v>19</v>
      </c>
      <c r="L2185" s="4" t="s">
        <v>7480</v>
      </c>
    </row>
    <row r="2186">
      <c r="A2186" s="1" t="s">
        <v>12</v>
      </c>
      <c r="B2186" s="1" t="s">
        <v>7481</v>
      </c>
      <c r="C2186" s="1" t="s">
        <v>7307</v>
      </c>
      <c r="D2186" s="1" t="s">
        <v>7482</v>
      </c>
      <c r="E2186" s="2">
        <v>37566.0</v>
      </c>
      <c r="F2186" s="1" t="s">
        <v>138</v>
      </c>
      <c r="G2186" s="1" t="s">
        <v>31</v>
      </c>
      <c r="H2186" s="1" t="s">
        <v>32</v>
      </c>
      <c r="I2186" s="3">
        <f>+2250546706018</f>
        <v>2250546706018</v>
      </c>
      <c r="J2186" s="3">
        <f>+2250103295798</f>
        <v>2250103295798</v>
      </c>
      <c r="K2186" s="1" t="s">
        <v>19</v>
      </c>
      <c r="L2186" s="4" t="s">
        <v>7483</v>
      </c>
    </row>
    <row r="2187">
      <c r="A2187" s="1" t="s">
        <v>12</v>
      </c>
      <c r="B2187" s="1" t="s">
        <v>7484</v>
      </c>
      <c r="C2187" s="1" t="s">
        <v>7307</v>
      </c>
      <c r="D2187" s="1" t="s">
        <v>7485</v>
      </c>
      <c r="E2187" s="2">
        <v>37926.0</v>
      </c>
      <c r="F2187" s="1" t="s">
        <v>16</v>
      </c>
      <c r="G2187" s="1" t="s">
        <v>82</v>
      </c>
      <c r="H2187" s="1" t="s">
        <v>18</v>
      </c>
      <c r="I2187" s="3">
        <f>+2250102926533</f>
        <v>2250102926533</v>
      </c>
      <c r="J2187" s="3">
        <f>+2250709430959</f>
        <v>2250709430959</v>
      </c>
      <c r="K2187" s="1" t="s">
        <v>19</v>
      </c>
      <c r="L2187" s="4" t="s">
        <v>7486</v>
      </c>
    </row>
    <row r="2188">
      <c r="A2188" s="1" t="s">
        <v>12</v>
      </c>
      <c r="B2188" s="1" t="s">
        <v>7487</v>
      </c>
      <c r="C2188" s="1" t="s">
        <v>7307</v>
      </c>
      <c r="D2188" s="1" t="s">
        <v>7488</v>
      </c>
      <c r="E2188" s="2">
        <v>37844.0</v>
      </c>
      <c r="F2188" s="1" t="s">
        <v>48</v>
      </c>
      <c r="G2188" s="1" t="s">
        <v>76</v>
      </c>
      <c r="H2188" s="1" t="s">
        <v>32</v>
      </c>
      <c r="I2188" s="3">
        <f t="shared" ref="I2188:J2188" si="64">+2250544806105</f>
        <v>2250544806105</v>
      </c>
      <c r="J2188" s="3">
        <f t="shared" si="64"/>
        <v>2250544806105</v>
      </c>
      <c r="K2188" s="1" t="s">
        <v>19</v>
      </c>
      <c r="L2188" s="4" t="s">
        <v>7489</v>
      </c>
    </row>
    <row r="2189">
      <c r="A2189" s="1" t="s">
        <v>12</v>
      </c>
      <c r="B2189" s="1" t="s">
        <v>7490</v>
      </c>
      <c r="C2189" s="1" t="s">
        <v>7307</v>
      </c>
      <c r="D2189" s="1" t="s">
        <v>7491</v>
      </c>
      <c r="E2189" s="2">
        <v>36789.0</v>
      </c>
      <c r="F2189" s="1" t="s">
        <v>16</v>
      </c>
      <c r="G2189" s="1" t="s">
        <v>17</v>
      </c>
      <c r="H2189" s="1" t="s">
        <v>18</v>
      </c>
      <c r="I2189" s="3">
        <f>+2250767469914</f>
        <v>2250767469914</v>
      </c>
      <c r="J2189" s="3">
        <f>+2250777357573</f>
        <v>2250777357573</v>
      </c>
      <c r="K2189" s="1" t="s">
        <v>19</v>
      </c>
      <c r="L2189" s="4" t="s">
        <v>7492</v>
      </c>
    </row>
    <row r="2190">
      <c r="A2190" s="1" t="s">
        <v>12</v>
      </c>
      <c r="B2190" s="1" t="s">
        <v>7493</v>
      </c>
      <c r="C2190" s="1" t="s">
        <v>7307</v>
      </c>
      <c r="D2190" s="1" t="s">
        <v>7494</v>
      </c>
      <c r="E2190" s="2">
        <v>37101.0</v>
      </c>
      <c r="F2190" s="1" t="s">
        <v>586</v>
      </c>
      <c r="G2190" s="1" t="s">
        <v>82</v>
      </c>
      <c r="H2190" s="1" t="s">
        <v>18</v>
      </c>
      <c r="I2190" s="3">
        <f t="shared" ref="I2190:J2190" si="65">+2250709718079</f>
        <v>2250709718079</v>
      </c>
      <c r="J2190" s="3">
        <f t="shared" si="65"/>
        <v>2250709718079</v>
      </c>
      <c r="K2190" s="1" t="s">
        <v>19</v>
      </c>
      <c r="L2190" s="4" t="s">
        <v>7495</v>
      </c>
    </row>
    <row r="2191">
      <c r="A2191" s="1" t="s">
        <v>12</v>
      </c>
      <c r="B2191" s="1" t="s">
        <v>7496</v>
      </c>
      <c r="C2191" s="1" t="s">
        <v>7307</v>
      </c>
      <c r="D2191" s="1" t="s">
        <v>7497</v>
      </c>
      <c r="E2191" s="2">
        <v>38073.0</v>
      </c>
      <c r="F2191" s="1" t="s">
        <v>53</v>
      </c>
      <c r="G2191" s="1" t="s">
        <v>25</v>
      </c>
      <c r="H2191" s="1" t="s">
        <v>18</v>
      </c>
      <c r="I2191" s="3">
        <f>+2250778251086</f>
        <v>2250778251086</v>
      </c>
      <c r="J2191" s="3">
        <f>+2250709133584</f>
        <v>2250709133584</v>
      </c>
      <c r="K2191" s="1" t="s">
        <v>19</v>
      </c>
      <c r="L2191" s="4" t="s">
        <v>7498</v>
      </c>
    </row>
    <row r="2192">
      <c r="A2192" s="1" t="s">
        <v>12</v>
      </c>
      <c r="B2192" s="1" t="s">
        <v>7499</v>
      </c>
      <c r="C2192" s="1" t="s">
        <v>7307</v>
      </c>
      <c r="D2192" s="1" t="s">
        <v>7500</v>
      </c>
      <c r="E2192" s="5">
        <v>37910.0</v>
      </c>
      <c r="F2192" s="1" t="s">
        <v>570</v>
      </c>
      <c r="G2192" s="1" t="s">
        <v>82</v>
      </c>
      <c r="H2192" s="1" t="s">
        <v>18</v>
      </c>
      <c r="I2192" s="3">
        <f>+2250777046028</f>
        <v>2250777046028</v>
      </c>
      <c r="J2192" s="3">
        <f>+2250709498493</f>
        <v>2250709498493</v>
      </c>
      <c r="K2192" s="1" t="s">
        <v>19</v>
      </c>
      <c r="L2192" s="4" t="s">
        <v>7501</v>
      </c>
    </row>
    <row r="2193">
      <c r="A2193" s="1" t="s">
        <v>12</v>
      </c>
      <c r="B2193" s="1" t="s">
        <v>7502</v>
      </c>
      <c r="C2193" s="1" t="s">
        <v>7307</v>
      </c>
      <c r="D2193" s="1" t="s">
        <v>7503</v>
      </c>
      <c r="E2193" s="2">
        <v>38543.0</v>
      </c>
      <c r="F2193" s="1" t="s">
        <v>48</v>
      </c>
      <c r="G2193" s="1" t="s">
        <v>31</v>
      </c>
      <c r="H2193" s="1" t="s">
        <v>32</v>
      </c>
      <c r="I2193" s="3">
        <f>+2250787482429</f>
        <v>2250787482429</v>
      </c>
      <c r="J2193" s="3">
        <f>+2250505465384</f>
        <v>2250505465384</v>
      </c>
      <c r="K2193" s="1" t="s">
        <v>19</v>
      </c>
      <c r="L2193" s="4" t="s">
        <v>7504</v>
      </c>
    </row>
    <row r="2194">
      <c r="A2194" s="1" t="s">
        <v>12</v>
      </c>
      <c r="B2194" s="1" t="s">
        <v>7505</v>
      </c>
      <c r="C2194" s="1" t="s">
        <v>7307</v>
      </c>
      <c r="D2194" s="1" t="s">
        <v>7506</v>
      </c>
      <c r="E2194" s="2">
        <v>38151.0</v>
      </c>
      <c r="F2194" s="1" t="s">
        <v>70</v>
      </c>
      <c r="G2194" s="1" t="s">
        <v>31</v>
      </c>
      <c r="H2194" s="1" t="s">
        <v>32</v>
      </c>
      <c r="I2194" s="3">
        <f>+2250152529500</f>
        <v>2250152529500</v>
      </c>
      <c r="J2194" s="3">
        <f>+2250707987319</f>
        <v>2250707987319</v>
      </c>
      <c r="K2194" s="1" t="s">
        <v>19</v>
      </c>
      <c r="L2194" s="4" t="s">
        <v>7507</v>
      </c>
    </row>
    <row r="2195">
      <c r="A2195" s="1" t="s">
        <v>12</v>
      </c>
      <c r="B2195" s="1" t="s">
        <v>7508</v>
      </c>
      <c r="C2195" s="1" t="s">
        <v>7307</v>
      </c>
      <c r="D2195" s="1" t="s">
        <v>7509</v>
      </c>
      <c r="E2195" s="2">
        <v>38399.0</v>
      </c>
      <c r="F2195" s="1" t="s">
        <v>30</v>
      </c>
      <c r="G2195" s="1" t="s">
        <v>31</v>
      </c>
      <c r="H2195" s="1" t="s">
        <v>32</v>
      </c>
      <c r="I2195" s="3">
        <f>+2250142065539</f>
        <v>2250142065539</v>
      </c>
      <c r="J2195" s="3">
        <f>+2250707293942</f>
        <v>2250707293942</v>
      </c>
      <c r="K2195" s="1" t="s">
        <v>19</v>
      </c>
      <c r="L2195" s="4" t="s">
        <v>7510</v>
      </c>
    </row>
    <row r="2196">
      <c r="A2196" s="1" t="s">
        <v>12</v>
      </c>
      <c r="B2196" s="1" t="s">
        <v>7511</v>
      </c>
      <c r="C2196" s="1" t="s">
        <v>7307</v>
      </c>
      <c r="D2196" s="1" t="s">
        <v>7512</v>
      </c>
      <c r="E2196" s="2">
        <v>37155.0</v>
      </c>
      <c r="F2196" s="1" t="s">
        <v>155</v>
      </c>
      <c r="G2196" s="1" t="s">
        <v>31</v>
      </c>
      <c r="H2196" s="1" t="s">
        <v>32</v>
      </c>
      <c r="I2196" s="3">
        <f>+2250565196820</f>
        <v>2250565196820</v>
      </c>
      <c r="J2196" s="3">
        <f>+2250140595983</f>
        <v>2250140595983</v>
      </c>
      <c r="K2196" s="1" t="s">
        <v>19</v>
      </c>
      <c r="L2196" s="4" t="s">
        <v>7513</v>
      </c>
    </row>
    <row r="2197">
      <c r="A2197" s="1" t="s">
        <v>12</v>
      </c>
      <c r="B2197" s="1" t="s">
        <v>7514</v>
      </c>
      <c r="C2197" s="1" t="s">
        <v>7515</v>
      </c>
      <c r="D2197" s="1" t="s">
        <v>7516</v>
      </c>
      <c r="E2197" s="2">
        <v>37716.0</v>
      </c>
      <c r="F2197" s="1" t="s">
        <v>81</v>
      </c>
      <c r="G2197" s="1" t="s">
        <v>82</v>
      </c>
      <c r="H2197" s="1" t="s">
        <v>18</v>
      </c>
      <c r="I2197" s="3">
        <f>+2250101696780</f>
        <v>2250101696780</v>
      </c>
      <c r="J2197" s="3">
        <f>+2250707943608</f>
        <v>2250707943608</v>
      </c>
      <c r="K2197" s="1" t="s">
        <v>19</v>
      </c>
      <c r="L2197" s="4" t="s">
        <v>7517</v>
      </c>
    </row>
    <row r="2198">
      <c r="A2198" s="1" t="s">
        <v>12</v>
      </c>
      <c r="B2198" s="1" t="s">
        <v>7518</v>
      </c>
      <c r="C2198" s="1" t="s">
        <v>7519</v>
      </c>
      <c r="D2198" s="1" t="s">
        <v>7520</v>
      </c>
      <c r="E2198" s="2">
        <v>38132.0</v>
      </c>
      <c r="F2198" s="1" t="s">
        <v>62</v>
      </c>
      <c r="G2198" s="1" t="s">
        <v>17</v>
      </c>
      <c r="H2198" s="1" t="s">
        <v>18</v>
      </c>
      <c r="I2198" s="3">
        <f>+2250711695638</f>
        <v>2250711695638</v>
      </c>
      <c r="J2198" s="3">
        <f>+2250505341909</f>
        <v>2250505341909</v>
      </c>
      <c r="K2198" s="1" t="s">
        <v>19</v>
      </c>
      <c r="L2198" s="4" t="s">
        <v>7521</v>
      </c>
    </row>
    <row r="2199">
      <c r="A2199" s="1" t="s">
        <v>12</v>
      </c>
      <c r="B2199" s="1" t="s">
        <v>7522</v>
      </c>
      <c r="C2199" s="1" t="s">
        <v>7519</v>
      </c>
      <c r="D2199" s="1" t="s">
        <v>7523</v>
      </c>
      <c r="E2199" s="2">
        <v>38510.0</v>
      </c>
      <c r="F2199" s="1" t="s">
        <v>138</v>
      </c>
      <c r="G2199" s="1" t="s">
        <v>76</v>
      </c>
      <c r="H2199" s="1" t="s">
        <v>32</v>
      </c>
      <c r="I2199" s="3">
        <f>+2250556715713</f>
        <v>2250556715713</v>
      </c>
      <c r="J2199" s="3">
        <f>+2250757952708</f>
        <v>2250757952708</v>
      </c>
      <c r="K2199" s="1" t="s">
        <v>19</v>
      </c>
      <c r="L2199" s="4" t="s">
        <v>7524</v>
      </c>
    </row>
    <row r="2200">
      <c r="A2200" s="1" t="s">
        <v>12</v>
      </c>
      <c r="B2200" s="1" t="s">
        <v>7525</v>
      </c>
      <c r="C2200" s="1" t="s">
        <v>7519</v>
      </c>
      <c r="D2200" s="1" t="s">
        <v>7526</v>
      </c>
      <c r="E2200" s="2">
        <v>37302.0</v>
      </c>
      <c r="F2200" s="1" t="s">
        <v>16</v>
      </c>
      <c r="G2200" s="1" t="s">
        <v>17</v>
      </c>
      <c r="H2200" s="1" t="s">
        <v>18</v>
      </c>
      <c r="I2200" s="3">
        <f>+2250102667395</f>
        <v>2250102667395</v>
      </c>
      <c r="J2200" s="3">
        <f>+2250707633906</f>
        <v>2250707633906</v>
      </c>
      <c r="K2200" s="1" t="s">
        <v>19</v>
      </c>
      <c r="L2200" s="4" t="s">
        <v>7527</v>
      </c>
    </row>
    <row r="2201">
      <c r="A2201" s="1" t="s">
        <v>12</v>
      </c>
      <c r="B2201" s="1" t="s">
        <v>7528</v>
      </c>
      <c r="C2201" s="1" t="s">
        <v>7519</v>
      </c>
      <c r="D2201" s="1" t="s">
        <v>7529</v>
      </c>
      <c r="E2201" s="2">
        <v>37401.0</v>
      </c>
      <c r="F2201" s="1" t="s">
        <v>101</v>
      </c>
      <c r="G2201" s="1" t="s">
        <v>31</v>
      </c>
      <c r="H2201" s="1" t="s">
        <v>32</v>
      </c>
      <c r="I2201" s="3">
        <f>+2250759009355</f>
        <v>2250759009355</v>
      </c>
      <c r="J2201" s="3">
        <f>+2250708580836</f>
        <v>2250708580836</v>
      </c>
      <c r="K2201" s="1" t="s">
        <v>19</v>
      </c>
      <c r="L2201" s="4" t="s">
        <v>7530</v>
      </c>
    </row>
    <row r="2202">
      <c r="A2202" s="1" t="s">
        <v>12</v>
      </c>
      <c r="B2202" s="1" t="s">
        <v>7531</v>
      </c>
      <c r="C2202" s="1" t="s">
        <v>7519</v>
      </c>
      <c r="D2202" s="1" t="s">
        <v>7532</v>
      </c>
      <c r="E2202" s="2">
        <v>38605.0</v>
      </c>
      <c r="F2202" s="1" t="s">
        <v>48</v>
      </c>
      <c r="G2202" s="1" t="s">
        <v>76</v>
      </c>
      <c r="H2202" s="1" t="s">
        <v>32</v>
      </c>
      <c r="I2202" s="3">
        <f>+2250768997750</f>
        <v>2250768997750</v>
      </c>
      <c r="J2202" s="3">
        <f>+2250748652762</f>
        <v>2250748652762</v>
      </c>
      <c r="K2202" s="1" t="s">
        <v>19</v>
      </c>
      <c r="L2202" s="4" t="s">
        <v>7533</v>
      </c>
    </row>
    <row r="2203">
      <c r="A2203" s="1" t="s">
        <v>12</v>
      </c>
      <c r="B2203" s="1" t="s">
        <v>7534</v>
      </c>
      <c r="C2203" s="1" t="s">
        <v>7519</v>
      </c>
      <c r="D2203" s="1" t="s">
        <v>7535</v>
      </c>
      <c r="E2203" s="5">
        <v>36480.0</v>
      </c>
      <c r="F2203" s="1" t="s">
        <v>167</v>
      </c>
      <c r="G2203" s="1" t="s">
        <v>17</v>
      </c>
      <c r="H2203" s="1" t="s">
        <v>18</v>
      </c>
      <c r="I2203" s="3">
        <f>+2250757412047</f>
        <v>2250757412047</v>
      </c>
      <c r="J2203" s="3">
        <f>+2250799501986</f>
        <v>2250799501986</v>
      </c>
      <c r="K2203" s="1" t="s">
        <v>19</v>
      </c>
      <c r="L2203" s="4" t="s">
        <v>7536</v>
      </c>
    </row>
    <row r="2204">
      <c r="A2204" s="1" t="s">
        <v>12</v>
      </c>
      <c r="B2204" s="1" t="s">
        <v>7537</v>
      </c>
      <c r="C2204" s="1" t="s">
        <v>7519</v>
      </c>
      <c r="D2204" s="1" t="s">
        <v>7538</v>
      </c>
      <c r="E2204" s="2">
        <v>37151.0</v>
      </c>
      <c r="F2204" s="1" t="s">
        <v>351</v>
      </c>
      <c r="G2204" s="1" t="s">
        <v>31</v>
      </c>
      <c r="H2204" s="1" t="s">
        <v>32</v>
      </c>
      <c r="I2204" s="3">
        <f>+2250545480233</f>
        <v>2250545480233</v>
      </c>
      <c r="J2204" s="3">
        <f>+2250708720531</f>
        <v>2250708720531</v>
      </c>
      <c r="K2204" s="1" t="s">
        <v>19</v>
      </c>
      <c r="L2204" s="4" t="s">
        <v>7539</v>
      </c>
    </row>
    <row r="2205">
      <c r="A2205" s="1" t="s">
        <v>12</v>
      </c>
      <c r="B2205" s="1" t="s">
        <v>7540</v>
      </c>
      <c r="C2205" s="1" t="s">
        <v>7519</v>
      </c>
      <c r="D2205" s="1" t="s">
        <v>7541</v>
      </c>
      <c r="E2205" s="2">
        <v>38534.0</v>
      </c>
      <c r="F2205" s="1" t="s">
        <v>53</v>
      </c>
      <c r="G2205" s="1" t="s">
        <v>25</v>
      </c>
      <c r="H2205" s="1" t="s">
        <v>18</v>
      </c>
      <c r="I2205" s="3">
        <f>+2250758700751</f>
        <v>2250758700751</v>
      </c>
      <c r="J2205" s="3">
        <f>+2250153949108</f>
        <v>2250153949108</v>
      </c>
      <c r="K2205" s="1" t="s">
        <v>19</v>
      </c>
      <c r="L2205" s="4" t="s">
        <v>7542</v>
      </c>
    </row>
    <row r="2206">
      <c r="A2206" s="1" t="s">
        <v>12</v>
      </c>
      <c r="B2206" s="1" t="s">
        <v>7543</v>
      </c>
      <c r="C2206" s="1" t="s">
        <v>7519</v>
      </c>
      <c r="D2206" s="1" t="s">
        <v>7544</v>
      </c>
      <c r="E2206" s="2">
        <v>38561.0</v>
      </c>
      <c r="F2206" s="1" t="s">
        <v>53</v>
      </c>
      <c r="G2206" s="1" t="s">
        <v>25</v>
      </c>
      <c r="H2206" s="1" t="s">
        <v>18</v>
      </c>
      <c r="I2206" s="3">
        <f>+2250544977265</f>
        <v>2250544977265</v>
      </c>
      <c r="J2206" s="3">
        <f>+2250101077519</f>
        <v>2250101077519</v>
      </c>
      <c r="K2206" s="1" t="s">
        <v>19</v>
      </c>
      <c r="L2206" s="4" t="s">
        <v>7545</v>
      </c>
    </row>
    <row r="2207">
      <c r="A2207" s="1" t="s">
        <v>12</v>
      </c>
      <c r="B2207" s="1" t="s">
        <v>7546</v>
      </c>
      <c r="C2207" s="1" t="s">
        <v>7519</v>
      </c>
      <c r="D2207" s="1" t="s">
        <v>7547</v>
      </c>
      <c r="E2207" s="5">
        <v>38284.0</v>
      </c>
      <c r="F2207" s="1" t="s">
        <v>62</v>
      </c>
      <c r="G2207" s="1" t="s">
        <v>17</v>
      </c>
      <c r="H2207" s="1" t="s">
        <v>18</v>
      </c>
      <c r="I2207" s="3">
        <f>+2250150239572</f>
        <v>2250150239572</v>
      </c>
      <c r="J2207" s="3">
        <f>+2250757469434</f>
        <v>2250757469434</v>
      </c>
      <c r="K2207" s="1" t="s">
        <v>19</v>
      </c>
      <c r="L2207" s="4" t="s">
        <v>7548</v>
      </c>
    </row>
    <row r="2208">
      <c r="A2208" s="1" t="s">
        <v>12</v>
      </c>
      <c r="B2208" s="1" t="s">
        <v>7549</v>
      </c>
      <c r="C2208" s="1" t="s">
        <v>7519</v>
      </c>
      <c r="D2208" s="1" t="s">
        <v>7550</v>
      </c>
      <c r="E2208" s="2">
        <v>38869.0</v>
      </c>
      <c r="F2208" s="1" t="s">
        <v>48</v>
      </c>
      <c r="G2208" s="1" t="s">
        <v>76</v>
      </c>
      <c r="H2208" s="1" t="s">
        <v>32</v>
      </c>
      <c r="I2208" s="3">
        <f>+2250798017680</f>
        <v>2250798017680</v>
      </c>
      <c r="J2208" s="3">
        <f>+2250778582240</f>
        <v>2250778582240</v>
      </c>
      <c r="K2208" s="1" t="s">
        <v>19</v>
      </c>
      <c r="L2208" s="4" t="s">
        <v>7551</v>
      </c>
    </row>
    <row r="2209">
      <c r="A2209" s="1" t="s">
        <v>12</v>
      </c>
      <c r="B2209" s="1" t="s">
        <v>7552</v>
      </c>
      <c r="C2209" s="1" t="s">
        <v>7519</v>
      </c>
      <c r="D2209" s="1" t="s">
        <v>7553</v>
      </c>
      <c r="E2209" s="2">
        <v>38054.0</v>
      </c>
      <c r="F2209" s="1" t="s">
        <v>75</v>
      </c>
      <c r="G2209" s="1" t="s">
        <v>76</v>
      </c>
      <c r="H2209" s="1" t="s">
        <v>32</v>
      </c>
      <c r="I2209" s="3">
        <f>+2250160398698</f>
        <v>2250160398698</v>
      </c>
      <c r="J2209" s="3">
        <f>+2250102626815</f>
        <v>2250102626815</v>
      </c>
      <c r="K2209" s="1" t="s">
        <v>19</v>
      </c>
      <c r="L2209" s="4" t="s">
        <v>7554</v>
      </c>
    </row>
    <row r="2210">
      <c r="A2210" s="1" t="s">
        <v>12</v>
      </c>
      <c r="B2210" s="1" t="s">
        <v>7555</v>
      </c>
      <c r="C2210" s="1" t="s">
        <v>7519</v>
      </c>
      <c r="D2210" s="1" t="s">
        <v>7556</v>
      </c>
      <c r="E2210" s="2">
        <v>38243.0</v>
      </c>
      <c r="F2210" s="1" t="s">
        <v>16</v>
      </c>
      <c r="G2210" s="1" t="s">
        <v>25</v>
      </c>
      <c r="H2210" s="1" t="s">
        <v>18</v>
      </c>
      <c r="I2210" s="3">
        <f>+2250768934163</f>
        <v>2250768934163</v>
      </c>
      <c r="J2210" s="3">
        <f>+2250777770249</f>
        <v>2250777770249</v>
      </c>
      <c r="K2210" s="1" t="s">
        <v>19</v>
      </c>
      <c r="L2210" s="4" t="s">
        <v>7557</v>
      </c>
    </row>
    <row r="2211">
      <c r="A2211" s="1" t="s">
        <v>12</v>
      </c>
      <c r="B2211" s="1" t="s">
        <v>7558</v>
      </c>
      <c r="C2211" s="1" t="s">
        <v>7519</v>
      </c>
      <c r="D2211" s="1" t="s">
        <v>7559</v>
      </c>
      <c r="E2211" s="2">
        <v>38528.0</v>
      </c>
      <c r="F2211" s="1" t="s">
        <v>16</v>
      </c>
      <c r="G2211" s="1" t="s">
        <v>25</v>
      </c>
      <c r="H2211" s="1" t="s">
        <v>18</v>
      </c>
      <c r="I2211" s="3">
        <f>+2250143149010</f>
        <v>2250143149010</v>
      </c>
      <c r="J2211" s="3">
        <f>+2250709262234</f>
        <v>2250709262234</v>
      </c>
      <c r="K2211" s="1" t="s">
        <v>19</v>
      </c>
      <c r="L2211" s="4" t="s">
        <v>7560</v>
      </c>
    </row>
    <row r="2212">
      <c r="A2212" s="1" t="s">
        <v>12</v>
      </c>
      <c r="B2212" s="1" t="s">
        <v>7561</v>
      </c>
      <c r="C2212" s="1" t="s">
        <v>7519</v>
      </c>
      <c r="D2212" s="1" t="s">
        <v>7562</v>
      </c>
      <c r="E2212" s="2">
        <v>37485.0</v>
      </c>
      <c r="F2212" s="1" t="s">
        <v>53</v>
      </c>
      <c r="G2212" s="1" t="s">
        <v>17</v>
      </c>
      <c r="H2212" s="1" t="s">
        <v>18</v>
      </c>
      <c r="I2212" s="3">
        <f>+2250102241523</f>
        <v>2250102241523</v>
      </c>
      <c r="J2212" s="3">
        <f>+2250708322827</f>
        <v>2250708322827</v>
      </c>
      <c r="K2212" s="1" t="s">
        <v>19</v>
      </c>
      <c r="L2212" s="4" t="s">
        <v>7563</v>
      </c>
    </row>
    <row r="2213">
      <c r="A2213" s="1" t="s">
        <v>12</v>
      </c>
      <c r="B2213" s="1" t="s">
        <v>7564</v>
      </c>
      <c r="C2213" s="1" t="s">
        <v>7519</v>
      </c>
      <c r="D2213" s="1" t="s">
        <v>7565</v>
      </c>
      <c r="E2213" s="2">
        <v>37093.0</v>
      </c>
      <c r="F2213" s="1" t="s">
        <v>62</v>
      </c>
      <c r="G2213" s="1" t="s">
        <v>17</v>
      </c>
      <c r="H2213" s="1" t="s">
        <v>18</v>
      </c>
      <c r="I2213" s="3">
        <f>+2250171973704</f>
        <v>2250171973704</v>
      </c>
      <c r="J2213" s="3">
        <f>+2250749056080</f>
        <v>2250749056080</v>
      </c>
      <c r="K2213" s="1" t="s">
        <v>19</v>
      </c>
      <c r="L2213" s="4" t="s">
        <v>7566</v>
      </c>
    </row>
    <row r="2214">
      <c r="A2214" s="1" t="s">
        <v>12</v>
      </c>
      <c r="B2214" s="1" t="s">
        <v>7567</v>
      </c>
      <c r="C2214" s="1" t="s">
        <v>7519</v>
      </c>
      <c r="D2214" s="1" t="s">
        <v>7568</v>
      </c>
      <c r="E2214" s="2">
        <v>38507.0</v>
      </c>
      <c r="F2214" s="1" t="s">
        <v>53</v>
      </c>
      <c r="G2214" s="1" t="s">
        <v>25</v>
      </c>
      <c r="H2214" s="1" t="s">
        <v>18</v>
      </c>
      <c r="I2214" s="3">
        <f>+2250575016402</f>
        <v>2250575016402</v>
      </c>
      <c r="J2214" s="3">
        <f>+2250787777158</f>
        <v>2250787777158</v>
      </c>
      <c r="K2214" s="1" t="s">
        <v>19</v>
      </c>
      <c r="L2214" s="4" t="s">
        <v>7569</v>
      </c>
    </row>
    <row r="2215">
      <c r="A2215" s="1" t="s">
        <v>12</v>
      </c>
      <c r="B2215" s="1" t="s">
        <v>7570</v>
      </c>
      <c r="C2215" s="1" t="s">
        <v>7519</v>
      </c>
      <c r="D2215" s="1" t="s">
        <v>7571</v>
      </c>
      <c r="E2215" s="2">
        <v>37164.0</v>
      </c>
      <c r="F2215" s="1" t="s">
        <v>155</v>
      </c>
      <c r="G2215" s="1" t="s">
        <v>82</v>
      </c>
      <c r="H2215" s="1" t="s">
        <v>18</v>
      </c>
      <c r="I2215" s="3">
        <f>+2250748226000</f>
        <v>2250748226000</v>
      </c>
      <c r="J2215" s="3">
        <f>+2250555019527</f>
        <v>2250555019527</v>
      </c>
      <c r="K2215" s="1" t="s">
        <v>19</v>
      </c>
      <c r="L2215" s="4" t="s">
        <v>7572</v>
      </c>
    </row>
    <row r="2216">
      <c r="A2216" s="1" t="s">
        <v>12</v>
      </c>
      <c r="B2216" s="1" t="s">
        <v>7573</v>
      </c>
      <c r="C2216" s="1" t="s">
        <v>7519</v>
      </c>
      <c r="D2216" s="1" t="s">
        <v>7574</v>
      </c>
      <c r="E2216" s="2">
        <v>38241.0</v>
      </c>
      <c r="F2216" s="1" t="s">
        <v>53</v>
      </c>
      <c r="G2216" s="1" t="s">
        <v>25</v>
      </c>
      <c r="H2216" s="1" t="s">
        <v>18</v>
      </c>
      <c r="I2216" s="3">
        <f>+2250566695490</f>
        <v>2250566695490</v>
      </c>
      <c r="J2216" s="3">
        <f>+2250767309769</f>
        <v>2250767309769</v>
      </c>
      <c r="K2216" s="1" t="s">
        <v>19</v>
      </c>
      <c r="L2216" s="4" t="s">
        <v>7575</v>
      </c>
    </row>
    <row r="2217">
      <c r="A2217" s="1" t="s">
        <v>12</v>
      </c>
      <c r="B2217" s="1" t="s">
        <v>7576</v>
      </c>
      <c r="C2217" s="1" t="s">
        <v>7519</v>
      </c>
      <c r="D2217" s="1" t="s">
        <v>7577</v>
      </c>
      <c r="E2217" s="2">
        <v>37531.0</v>
      </c>
      <c r="F2217" s="1" t="s">
        <v>53</v>
      </c>
      <c r="G2217" s="1" t="s">
        <v>17</v>
      </c>
      <c r="H2217" s="1" t="s">
        <v>18</v>
      </c>
      <c r="I2217" s="3">
        <f>+2250555146584</f>
        <v>2250555146584</v>
      </c>
      <c r="J2217" s="3">
        <f>+2250709828293</f>
        <v>2250709828293</v>
      </c>
      <c r="K2217" s="1" t="s">
        <v>19</v>
      </c>
      <c r="L2217" s="4" t="s">
        <v>7578</v>
      </c>
    </row>
    <row r="2218">
      <c r="A2218" s="1" t="s">
        <v>12</v>
      </c>
      <c r="B2218" s="1" t="s">
        <v>7579</v>
      </c>
      <c r="C2218" s="1" t="s">
        <v>7519</v>
      </c>
      <c r="D2218" s="1" t="s">
        <v>7580</v>
      </c>
      <c r="E2218" s="5">
        <v>37608.0</v>
      </c>
      <c r="F2218" s="1" t="s">
        <v>75</v>
      </c>
      <c r="G2218" s="1" t="s">
        <v>31</v>
      </c>
      <c r="H2218" s="1" t="s">
        <v>32</v>
      </c>
      <c r="I2218" s="3">
        <f>+2250768802573</f>
        <v>2250768802573</v>
      </c>
      <c r="J2218" s="3">
        <f>+2250707364605</f>
        <v>2250707364605</v>
      </c>
      <c r="K2218" s="1" t="s">
        <v>19</v>
      </c>
      <c r="L2218" s="4" t="s">
        <v>7581</v>
      </c>
    </row>
    <row r="2219">
      <c r="A2219" s="1" t="s">
        <v>12</v>
      </c>
      <c r="B2219" s="1" t="s">
        <v>7582</v>
      </c>
      <c r="C2219" s="1" t="s">
        <v>7519</v>
      </c>
      <c r="D2219" s="1" t="s">
        <v>7583</v>
      </c>
      <c r="E2219" s="2">
        <v>36163.0</v>
      </c>
      <c r="F2219" s="1" t="s">
        <v>101</v>
      </c>
      <c r="G2219" s="1" t="s">
        <v>31</v>
      </c>
      <c r="H2219" s="1" t="s">
        <v>32</v>
      </c>
      <c r="I2219" s="3">
        <f>+2250574141539</f>
        <v>2250574141539</v>
      </c>
      <c r="J2219" s="3">
        <f>+2250505468083</f>
        <v>2250505468083</v>
      </c>
      <c r="K2219" s="1" t="s">
        <v>19</v>
      </c>
      <c r="L2219" s="4" t="s">
        <v>7584</v>
      </c>
    </row>
    <row r="2220">
      <c r="A2220" s="1" t="s">
        <v>12</v>
      </c>
      <c r="B2220" s="1" t="s">
        <v>7585</v>
      </c>
      <c r="C2220" s="1" t="s">
        <v>7519</v>
      </c>
      <c r="D2220" s="1" t="s">
        <v>7586</v>
      </c>
      <c r="E2220" s="5">
        <v>36155.0</v>
      </c>
      <c r="F2220" s="1" t="s">
        <v>167</v>
      </c>
      <c r="G2220" s="1" t="s">
        <v>17</v>
      </c>
      <c r="H2220" s="1" t="s">
        <v>18</v>
      </c>
      <c r="I2220" s="3">
        <f>+2250778406879</f>
        <v>2250778406879</v>
      </c>
      <c r="J2220" s="3">
        <f>+2250758557904</f>
        <v>2250758557904</v>
      </c>
      <c r="K2220" s="1" t="s">
        <v>19</v>
      </c>
      <c r="L2220" s="4" t="s">
        <v>7587</v>
      </c>
    </row>
    <row r="2221">
      <c r="A2221" s="1" t="s">
        <v>12</v>
      </c>
      <c r="B2221" s="1" t="s">
        <v>7588</v>
      </c>
      <c r="C2221" s="1" t="s">
        <v>7519</v>
      </c>
      <c r="D2221" s="1" t="s">
        <v>7589</v>
      </c>
      <c r="E2221" s="2">
        <v>36526.0</v>
      </c>
      <c r="F2221" s="1" t="s">
        <v>16</v>
      </c>
      <c r="G2221" s="1" t="s">
        <v>82</v>
      </c>
      <c r="H2221" s="1" t="s">
        <v>18</v>
      </c>
      <c r="I2221" s="3">
        <f>+2250768991391</f>
        <v>2250768991391</v>
      </c>
      <c r="J2221" s="3">
        <f>+2250707837474</f>
        <v>2250707837474</v>
      </c>
      <c r="K2221" s="1" t="s">
        <v>19</v>
      </c>
      <c r="L2221" s="4" t="s">
        <v>7590</v>
      </c>
    </row>
    <row r="2222">
      <c r="A2222" s="1" t="s">
        <v>12</v>
      </c>
      <c r="B2222" s="1" t="s">
        <v>7591</v>
      </c>
      <c r="C2222" s="1" t="s">
        <v>7519</v>
      </c>
      <c r="D2222" s="1" t="s">
        <v>7592</v>
      </c>
      <c r="E2222" s="2">
        <v>37783.0</v>
      </c>
      <c r="F2222" s="1" t="s">
        <v>101</v>
      </c>
      <c r="G2222" s="1" t="s">
        <v>76</v>
      </c>
      <c r="H2222" s="1" t="s">
        <v>32</v>
      </c>
      <c r="I2222" s="3">
        <f>+2250566967490</f>
        <v>2250566967490</v>
      </c>
      <c r="J2222" s="3">
        <f>+2250707544899</f>
        <v>2250707544899</v>
      </c>
      <c r="K2222" s="1" t="s">
        <v>19</v>
      </c>
      <c r="L2222" s="4" t="s">
        <v>7593</v>
      </c>
    </row>
    <row r="2223">
      <c r="A2223" s="1" t="s">
        <v>12</v>
      </c>
      <c r="B2223" s="1" t="s">
        <v>7594</v>
      </c>
      <c r="C2223" s="1" t="s">
        <v>7519</v>
      </c>
      <c r="D2223" s="1" t="s">
        <v>7595</v>
      </c>
      <c r="E2223" s="5">
        <v>36448.0</v>
      </c>
      <c r="F2223" s="1" t="s">
        <v>48</v>
      </c>
      <c r="G2223" s="1" t="s">
        <v>76</v>
      </c>
      <c r="H2223" s="1" t="s">
        <v>32</v>
      </c>
      <c r="I2223" s="3">
        <f>+2250768101384</f>
        <v>2250768101384</v>
      </c>
      <c r="J2223" s="3">
        <f>+2250709083819</f>
        <v>2250709083819</v>
      </c>
      <c r="K2223" s="1" t="s">
        <v>19</v>
      </c>
      <c r="L2223" s="4" t="s">
        <v>7596</v>
      </c>
    </row>
    <row r="2224">
      <c r="A2224" s="1" t="s">
        <v>12</v>
      </c>
      <c r="B2224" s="1" t="s">
        <v>7597</v>
      </c>
      <c r="C2224" s="1" t="s">
        <v>7519</v>
      </c>
      <c r="D2224" s="1" t="s">
        <v>7598</v>
      </c>
      <c r="E2224" s="2">
        <v>36322.0</v>
      </c>
      <c r="F2224" s="1" t="s">
        <v>37</v>
      </c>
      <c r="G2224" s="1" t="s">
        <v>82</v>
      </c>
      <c r="H2224" s="1" t="s">
        <v>18</v>
      </c>
      <c r="I2224" s="3">
        <f>+2250151062872</f>
        <v>2250151062872</v>
      </c>
      <c r="J2224" s="3">
        <f>+2250102330430</f>
        <v>2250102330430</v>
      </c>
      <c r="K2224" s="1" t="s">
        <v>19</v>
      </c>
      <c r="L2224" s="4" t="s">
        <v>7599</v>
      </c>
    </row>
    <row r="2225">
      <c r="A2225" s="1" t="s">
        <v>12</v>
      </c>
      <c r="B2225" s="1" t="s">
        <v>7600</v>
      </c>
      <c r="C2225" s="1" t="s">
        <v>7519</v>
      </c>
      <c r="D2225" s="1" t="s">
        <v>7601</v>
      </c>
      <c r="E2225" s="2">
        <v>36393.0</v>
      </c>
      <c r="F2225" s="1" t="s">
        <v>48</v>
      </c>
      <c r="G2225" s="1" t="s">
        <v>82</v>
      </c>
      <c r="H2225" s="1" t="s">
        <v>18</v>
      </c>
      <c r="I2225" s="3">
        <f>+2250777568539</f>
        <v>2250777568539</v>
      </c>
      <c r="J2225" s="3">
        <f>+2250711353211</f>
        <v>2250711353211</v>
      </c>
      <c r="K2225" s="1" t="s">
        <v>19</v>
      </c>
      <c r="L2225" s="4" t="s">
        <v>7602</v>
      </c>
    </row>
    <row r="2226">
      <c r="A2226" s="1" t="s">
        <v>12</v>
      </c>
      <c r="B2226" s="1" t="s">
        <v>7603</v>
      </c>
      <c r="C2226" s="1" t="s">
        <v>7519</v>
      </c>
      <c r="D2226" s="1" t="s">
        <v>7604</v>
      </c>
      <c r="E2226" s="5">
        <v>37971.0</v>
      </c>
      <c r="F2226" s="1" t="s">
        <v>138</v>
      </c>
      <c r="G2226" s="1" t="s">
        <v>31</v>
      </c>
      <c r="H2226" s="1" t="s">
        <v>32</v>
      </c>
      <c r="I2226" s="3">
        <f>+2250778204022</f>
        <v>2250778204022</v>
      </c>
      <c r="J2226" s="3">
        <f>+2250709566229</f>
        <v>2250709566229</v>
      </c>
      <c r="K2226" s="1" t="s">
        <v>19</v>
      </c>
      <c r="L2226" s="4" t="s">
        <v>7605</v>
      </c>
    </row>
    <row r="2227">
      <c r="A2227" s="1" t="s">
        <v>12</v>
      </c>
      <c r="B2227" s="1" t="s">
        <v>7606</v>
      </c>
      <c r="C2227" s="1" t="s">
        <v>7519</v>
      </c>
      <c r="D2227" s="1" t="s">
        <v>7607</v>
      </c>
      <c r="E2227" s="5">
        <v>37904.0</v>
      </c>
      <c r="F2227" s="1" t="s">
        <v>62</v>
      </c>
      <c r="G2227" s="1" t="s">
        <v>17</v>
      </c>
      <c r="H2227" s="1" t="s">
        <v>18</v>
      </c>
      <c r="I2227" s="3">
        <f>+2250759465627</f>
        <v>2250759465627</v>
      </c>
      <c r="J2227" s="3">
        <f>+2250747819619</f>
        <v>2250747819619</v>
      </c>
      <c r="K2227" s="1" t="s">
        <v>19</v>
      </c>
      <c r="L2227" s="4" t="s">
        <v>7608</v>
      </c>
    </row>
    <row r="2228">
      <c r="A2228" s="1" t="s">
        <v>12</v>
      </c>
      <c r="B2228" s="1" t="s">
        <v>7609</v>
      </c>
      <c r="C2228" s="1" t="s">
        <v>7519</v>
      </c>
      <c r="D2228" s="1" t="s">
        <v>7610</v>
      </c>
      <c r="E2228" s="5">
        <v>38290.0</v>
      </c>
      <c r="F2228" s="1" t="s">
        <v>138</v>
      </c>
      <c r="G2228" s="1" t="s">
        <v>76</v>
      </c>
      <c r="H2228" s="1" t="s">
        <v>32</v>
      </c>
      <c r="I2228" s="3">
        <f>+2250170923902</f>
        <v>2250170923902</v>
      </c>
      <c r="J2228" s="3">
        <f>+2250708008408</f>
        <v>2250708008408</v>
      </c>
      <c r="K2228" s="1" t="s">
        <v>19</v>
      </c>
      <c r="L2228" s="4" t="s">
        <v>7611</v>
      </c>
    </row>
    <row r="2229">
      <c r="A2229" s="1" t="s">
        <v>12</v>
      </c>
      <c r="B2229" s="1" t="s">
        <v>7612</v>
      </c>
      <c r="C2229" s="1" t="s">
        <v>7519</v>
      </c>
      <c r="D2229" s="1" t="s">
        <v>7613</v>
      </c>
      <c r="E2229" s="2">
        <v>37372.0</v>
      </c>
      <c r="F2229" s="1" t="s">
        <v>62</v>
      </c>
      <c r="G2229" s="1" t="s">
        <v>17</v>
      </c>
      <c r="H2229" s="1" t="s">
        <v>18</v>
      </c>
      <c r="I2229" s="3">
        <f>+2250565068407</f>
        <v>2250565068407</v>
      </c>
      <c r="J2229" s="3">
        <f>+2250545533963</f>
        <v>2250545533963</v>
      </c>
      <c r="K2229" s="1" t="s">
        <v>19</v>
      </c>
      <c r="L2229" s="4" t="s">
        <v>7614</v>
      </c>
    </row>
    <row r="2230">
      <c r="A2230" s="1" t="s">
        <v>12</v>
      </c>
      <c r="B2230" s="1" t="s">
        <v>7615</v>
      </c>
      <c r="C2230" s="1" t="s">
        <v>7519</v>
      </c>
      <c r="D2230" s="1" t="s">
        <v>7616</v>
      </c>
      <c r="E2230" s="2">
        <v>37738.0</v>
      </c>
      <c r="F2230" s="1" t="s">
        <v>7617</v>
      </c>
      <c r="G2230" s="1" t="s">
        <v>82</v>
      </c>
      <c r="H2230" s="1" t="s">
        <v>18</v>
      </c>
      <c r="I2230" s="3">
        <f>+2250777036519</f>
        <v>2250777036519</v>
      </c>
      <c r="J2230" s="3">
        <f>+2250153531602</f>
        <v>2250153531602</v>
      </c>
      <c r="K2230" s="1" t="s">
        <v>19</v>
      </c>
      <c r="L2230" s="4" t="s">
        <v>7618</v>
      </c>
    </row>
    <row r="2231">
      <c r="A2231" s="1" t="s">
        <v>12</v>
      </c>
      <c r="B2231" s="1" t="s">
        <v>7619</v>
      </c>
      <c r="C2231" s="1" t="s">
        <v>7519</v>
      </c>
      <c r="D2231" s="1" t="s">
        <v>7620</v>
      </c>
      <c r="E2231" s="2">
        <v>37826.0</v>
      </c>
      <c r="F2231" s="1" t="s">
        <v>62</v>
      </c>
      <c r="G2231" s="1" t="s">
        <v>17</v>
      </c>
      <c r="H2231" s="1" t="s">
        <v>18</v>
      </c>
      <c r="I2231" s="3">
        <f t="shared" ref="I2231:J2231" si="66">+2250798238762</f>
        <v>2250798238762</v>
      </c>
      <c r="J2231" s="3">
        <f t="shared" si="66"/>
        <v>2250798238762</v>
      </c>
      <c r="K2231" s="1" t="s">
        <v>19</v>
      </c>
      <c r="L2231" s="4" t="s">
        <v>7621</v>
      </c>
    </row>
    <row r="2232">
      <c r="A2232" s="1" t="s">
        <v>12</v>
      </c>
      <c r="B2232" s="1" t="s">
        <v>7622</v>
      </c>
      <c r="C2232" s="1" t="s">
        <v>7519</v>
      </c>
      <c r="D2232" s="1" t="s">
        <v>7623</v>
      </c>
      <c r="E2232" s="2">
        <v>37341.0</v>
      </c>
      <c r="F2232" s="1" t="s">
        <v>62</v>
      </c>
      <c r="G2232" s="1" t="s">
        <v>17</v>
      </c>
      <c r="H2232" s="1" t="s">
        <v>18</v>
      </c>
      <c r="I2232" s="3">
        <f>+2250777889851</f>
        <v>2250777889851</v>
      </c>
      <c r="J2232" s="3">
        <f>+2250500412887</f>
        <v>2250500412887</v>
      </c>
      <c r="K2232" s="1" t="s">
        <v>19</v>
      </c>
      <c r="L2232" s="4" t="s">
        <v>7624</v>
      </c>
    </row>
    <row r="2233">
      <c r="A2233" s="1" t="s">
        <v>12</v>
      </c>
      <c r="B2233" s="1" t="s">
        <v>7625</v>
      </c>
      <c r="C2233" s="1" t="s">
        <v>7519</v>
      </c>
      <c r="D2233" s="1" t="s">
        <v>4161</v>
      </c>
      <c r="E2233" s="2">
        <v>38525.0</v>
      </c>
      <c r="F2233" s="1" t="s">
        <v>16</v>
      </c>
      <c r="G2233" s="1" t="s">
        <v>17</v>
      </c>
      <c r="H2233" s="1" t="s">
        <v>18</v>
      </c>
      <c r="I2233" s="3">
        <f>+2250585670989</f>
        <v>2250585670989</v>
      </c>
      <c r="J2233" s="3">
        <f>+2250749316122</f>
        <v>2250749316122</v>
      </c>
      <c r="K2233" s="1" t="s">
        <v>19</v>
      </c>
      <c r="L2233" s="4" t="s">
        <v>7626</v>
      </c>
    </row>
    <row r="2234">
      <c r="A2234" s="1" t="s">
        <v>12</v>
      </c>
      <c r="B2234" s="1" t="s">
        <v>7627</v>
      </c>
      <c r="C2234" s="1" t="s">
        <v>7519</v>
      </c>
      <c r="D2234" s="1" t="s">
        <v>7628</v>
      </c>
      <c r="E2234" s="2">
        <v>36626.0</v>
      </c>
      <c r="F2234" s="1" t="s">
        <v>138</v>
      </c>
      <c r="G2234" s="1" t="s">
        <v>31</v>
      </c>
      <c r="H2234" s="1" t="s">
        <v>32</v>
      </c>
      <c r="I2234" s="3">
        <f>+2250798214868</f>
        <v>2250798214868</v>
      </c>
      <c r="J2234" s="3">
        <f>+2250708685352</f>
        <v>2250708685352</v>
      </c>
      <c r="K2234" s="1" t="s">
        <v>19</v>
      </c>
      <c r="L2234" s="4" t="s">
        <v>7629</v>
      </c>
    </row>
    <row r="2235">
      <c r="A2235" s="1" t="s">
        <v>12</v>
      </c>
      <c r="B2235" s="1" t="s">
        <v>7630</v>
      </c>
      <c r="C2235" s="1" t="s">
        <v>7519</v>
      </c>
      <c r="D2235" s="1" t="s">
        <v>7631</v>
      </c>
      <c r="E2235" s="2">
        <v>38506.0</v>
      </c>
      <c r="F2235" s="1" t="s">
        <v>30</v>
      </c>
      <c r="G2235" s="1" t="s">
        <v>76</v>
      </c>
      <c r="H2235" s="1" t="s">
        <v>32</v>
      </c>
      <c r="I2235" s="3">
        <f>+2250506033835</f>
        <v>2250506033835</v>
      </c>
      <c r="J2235" s="3">
        <f>+2250505002815</f>
        <v>2250505002815</v>
      </c>
      <c r="K2235" s="1" t="s">
        <v>19</v>
      </c>
      <c r="L2235" s="4" t="s">
        <v>7632</v>
      </c>
    </row>
    <row r="2236">
      <c r="A2236" s="1" t="s">
        <v>12</v>
      </c>
      <c r="B2236" s="1" t="s">
        <v>7633</v>
      </c>
      <c r="C2236" s="1" t="s">
        <v>7519</v>
      </c>
      <c r="D2236" s="1" t="s">
        <v>7634</v>
      </c>
      <c r="E2236" s="2">
        <v>38416.0</v>
      </c>
      <c r="F2236" s="1" t="s">
        <v>167</v>
      </c>
      <c r="G2236" s="1" t="s">
        <v>17</v>
      </c>
      <c r="H2236" s="1" t="s">
        <v>18</v>
      </c>
      <c r="I2236" s="3">
        <f>+2250171395759</f>
        <v>2250171395759</v>
      </c>
      <c r="J2236" s="3">
        <f>+2250708676723</f>
        <v>2250708676723</v>
      </c>
      <c r="K2236" s="1" t="s">
        <v>19</v>
      </c>
      <c r="L2236" s="4" t="s">
        <v>7635</v>
      </c>
    </row>
    <row r="2237">
      <c r="A2237" s="1" t="s">
        <v>12</v>
      </c>
      <c r="B2237" s="1" t="s">
        <v>7636</v>
      </c>
      <c r="C2237" s="1" t="s">
        <v>7519</v>
      </c>
      <c r="D2237" s="1" t="s">
        <v>7637</v>
      </c>
      <c r="E2237" s="5">
        <v>37251.0</v>
      </c>
      <c r="F2237" s="1" t="s">
        <v>288</v>
      </c>
      <c r="G2237" s="1" t="s">
        <v>31</v>
      </c>
      <c r="H2237" s="1" t="s">
        <v>32</v>
      </c>
      <c r="I2237" s="3">
        <f t="shared" ref="I2237:J2237" si="67">+2250749005328</f>
        <v>2250749005328</v>
      </c>
      <c r="J2237" s="3">
        <f t="shared" si="67"/>
        <v>2250749005328</v>
      </c>
      <c r="K2237" s="1" t="s">
        <v>19</v>
      </c>
      <c r="L2237" s="4" t="s">
        <v>7638</v>
      </c>
    </row>
    <row r="2238">
      <c r="A2238" s="1" t="s">
        <v>12</v>
      </c>
      <c r="B2238" s="1" t="s">
        <v>7639</v>
      </c>
      <c r="C2238" s="1" t="s">
        <v>7519</v>
      </c>
      <c r="D2238" s="1" t="s">
        <v>7640</v>
      </c>
      <c r="E2238" s="2">
        <v>36351.0</v>
      </c>
      <c r="F2238" s="1" t="s">
        <v>92</v>
      </c>
      <c r="G2238" s="1" t="s">
        <v>31</v>
      </c>
      <c r="H2238" s="1" t="s">
        <v>32</v>
      </c>
      <c r="I2238" s="3">
        <f>+2250703396960</f>
        <v>2250703396960</v>
      </c>
      <c r="J2238" s="3">
        <f>+2250709845724</f>
        <v>2250709845724</v>
      </c>
      <c r="K2238" s="1" t="s">
        <v>19</v>
      </c>
      <c r="L2238" s="4" t="s">
        <v>7641</v>
      </c>
    </row>
    <row r="2239">
      <c r="A2239" s="1" t="s">
        <v>12</v>
      </c>
      <c r="B2239" s="1" t="s">
        <v>7642</v>
      </c>
      <c r="C2239" s="1" t="s">
        <v>7519</v>
      </c>
      <c r="D2239" s="1" t="s">
        <v>7643</v>
      </c>
      <c r="E2239" s="2">
        <v>37745.0</v>
      </c>
      <c r="F2239" s="1" t="s">
        <v>92</v>
      </c>
      <c r="G2239" s="1" t="s">
        <v>76</v>
      </c>
      <c r="H2239" s="1" t="s">
        <v>32</v>
      </c>
      <c r="I2239" s="3">
        <f>+2250788376620</f>
        <v>2250788376620</v>
      </c>
      <c r="J2239" s="3">
        <f>+2250758335584</f>
        <v>2250758335584</v>
      </c>
      <c r="K2239" s="1" t="s">
        <v>19</v>
      </c>
      <c r="L2239" s="4" t="s">
        <v>7644</v>
      </c>
    </row>
    <row r="2240">
      <c r="A2240" s="1" t="s">
        <v>12</v>
      </c>
      <c r="B2240" s="1" t="s">
        <v>7645</v>
      </c>
      <c r="C2240" s="1" t="s">
        <v>7519</v>
      </c>
      <c r="D2240" s="1" t="s">
        <v>7646</v>
      </c>
      <c r="E2240" s="2">
        <v>37565.0</v>
      </c>
      <c r="F2240" s="1" t="s">
        <v>16</v>
      </c>
      <c r="G2240" s="1" t="s">
        <v>82</v>
      </c>
      <c r="H2240" s="1" t="s">
        <v>18</v>
      </c>
      <c r="I2240" s="3">
        <f>+2250799133341</f>
        <v>2250799133341</v>
      </c>
      <c r="J2240" s="3">
        <f>+2250747608069</f>
        <v>2250747608069</v>
      </c>
      <c r="K2240" s="1" t="s">
        <v>19</v>
      </c>
      <c r="L2240" s="4" t="s">
        <v>7647</v>
      </c>
    </row>
    <row r="2241">
      <c r="A2241" s="1" t="s">
        <v>12</v>
      </c>
      <c r="B2241" s="1" t="s">
        <v>7648</v>
      </c>
      <c r="C2241" s="1" t="s">
        <v>7519</v>
      </c>
      <c r="D2241" s="1" t="s">
        <v>7649</v>
      </c>
      <c r="E2241" s="2">
        <v>37761.0</v>
      </c>
      <c r="F2241" s="1" t="s">
        <v>155</v>
      </c>
      <c r="G2241" s="1" t="s">
        <v>82</v>
      </c>
      <c r="H2241" s="1" t="s">
        <v>18</v>
      </c>
      <c r="I2241" s="3">
        <f>+2250797977686</f>
        <v>2250797977686</v>
      </c>
      <c r="J2241" s="3">
        <f>+2250709869487</f>
        <v>2250709869487</v>
      </c>
      <c r="K2241" s="1" t="s">
        <v>19</v>
      </c>
      <c r="L2241" s="4" t="s">
        <v>7650</v>
      </c>
    </row>
    <row r="2242">
      <c r="A2242" s="1" t="s">
        <v>12</v>
      </c>
      <c r="B2242" s="1" t="s">
        <v>7651</v>
      </c>
      <c r="C2242" s="1" t="s">
        <v>7519</v>
      </c>
      <c r="D2242" s="1" t="s">
        <v>7652</v>
      </c>
      <c r="E2242" s="2">
        <v>38923.0</v>
      </c>
      <c r="F2242" s="1" t="s">
        <v>48</v>
      </c>
      <c r="G2242" s="1" t="s">
        <v>76</v>
      </c>
      <c r="H2242" s="1" t="s">
        <v>32</v>
      </c>
      <c r="I2242" s="3">
        <f>+2250502429857</f>
        <v>2250502429857</v>
      </c>
      <c r="J2242" s="3">
        <f>+2250566107270</f>
        <v>2250566107270</v>
      </c>
      <c r="K2242" s="1" t="s">
        <v>19</v>
      </c>
      <c r="L2242" s="4" t="s">
        <v>7653</v>
      </c>
    </row>
    <row r="2243">
      <c r="A2243" s="1" t="s">
        <v>12</v>
      </c>
      <c r="B2243" s="1" t="s">
        <v>7654</v>
      </c>
      <c r="C2243" s="1" t="s">
        <v>7519</v>
      </c>
      <c r="D2243" s="1" t="s">
        <v>7655</v>
      </c>
      <c r="E2243" s="2">
        <v>36006.0</v>
      </c>
      <c r="F2243" s="1" t="s">
        <v>24</v>
      </c>
      <c r="G2243" s="1" t="s">
        <v>25</v>
      </c>
      <c r="H2243" s="1" t="s">
        <v>18</v>
      </c>
      <c r="I2243" s="3">
        <f>+2250150252129</f>
        <v>2250150252129</v>
      </c>
      <c r="J2243" s="3">
        <f>+2250102749658</f>
        <v>2250102749658</v>
      </c>
      <c r="K2243" s="1" t="s">
        <v>19</v>
      </c>
      <c r="L2243" s="4" t="s">
        <v>7656</v>
      </c>
    </row>
    <row r="2244">
      <c r="A2244" s="1" t="s">
        <v>12</v>
      </c>
      <c r="B2244" s="1" t="s">
        <v>7657</v>
      </c>
      <c r="C2244" s="1" t="s">
        <v>7519</v>
      </c>
      <c r="D2244" s="1" t="s">
        <v>7658</v>
      </c>
      <c r="E2244" s="2">
        <v>38501.0</v>
      </c>
      <c r="F2244" s="1" t="s">
        <v>48</v>
      </c>
      <c r="G2244" s="1" t="s">
        <v>76</v>
      </c>
      <c r="H2244" s="1" t="s">
        <v>32</v>
      </c>
      <c r="I2244" s="3">
        <f>+2250150037331</f>
        <v>2250150037331</v>
      </c>
      <c r="J2244" s="3">
        <f>+2250707773766</f>
        <v>2250707773766</v>
      </c>
      <c r="K2244" s="1" t="s">
        <v>19</v>
      </c>
      <c r="L2244" s="4" t="s">
        <v>7659</v>
      </c>
    </row>
    <row r="2245">
      <c r="A2245" s="1" t="s">
        <v>12</v>
      </c>
      <c r="B2245" s="1" t="s">
        <v>7660</v>
      </c>
      <c r="C2245" s="1" t="s">
        <v>7519</v>
      </c>
      <c r="D2245" s="1" t="s">
        <v>7661</v>
      </c>
      <c r="E2245" s="2">
        <v>38850.0</v>
      </c>
      <c r="F2245" s="1" t="s">
        <v>62</v>
      </c>
      <c r="G2245" s="1" t="s">
        <v>25</v>
      </c>
      <c r="H2245" s="1" t="s">
        <v>18</v>
      </c>
      <c r="I2245" s="3">
        <f>+2250566598215</f>
        <v>2250566598215</v>
      </c>
      <c r="J2245" s="3">
        <f>+2250709661583</f>
        <v>2250709661583</v>
      </c>
      <c r="K2245" s="1" t="s">
        <v>19</v>
      </c>
      <c r="L2245" s="4" t="s">
        <v>7662</v>
      </c>
    </row>
    <row r="2246">
      <c r="A2246" s="1" t="s">
        <v>12</v>
      </c>
      <c r="B2246" s="1" t="s">
        <v>7663</v>
      </c>
      <c r="C2246" s="1" t="s">
        <v>7519</v>
      </c>
      <c r="D2246" s="1" t="s">
        <v>7664</v>
      </c>
      <c r="E2246" s="5">
        <v>37240.0</v>
      </c>
      <c r="F2246" s="1" t="s">
        <v>101</v>
      </c>
      <c r="G2246" s="1" t="s">
        <v>31</v>
      </c>
      <c r="H2246" s="1" t="s">
        <v>32</v>
      </c>
      <c r="I2246" s="3">
        <f>+2250759653317</f>
        <v>2250759653317</v>
      </c>
      <c r="J2246" s="3">
        <f>+2250140489400</f>
        <v>2250140489400</v>
      </c>
      <c r="K2246" s="1" t="s">
        <v>19</v>
      </c>
      <c r="L2246" s="4" t="s">
        <v>7665</v>
      </c>
    </row>
    <row r="2247">
      <c r="A2247" s="1" t="s">
        <v>12</v>
      </c>
      <c r="B2247" s="1" t="s">
        <v>7666</v>
      </c>
      <c r="C2247" s="1" t="s">
        <v>7519</v>
      </c>
      <c r="D2247" s="1" t="s">
        <v>7667</v>
      </c>
      <c r="E2247" s="2">
        <v>38180.0</v>
      </c>
      <c r="F2247" s="1" t="s">
        <v>30</v>
      </c>
      <c r="G2247" s="1" t="s">
        <v>76</v>
      </c>
      <c r="H2247" s="1" t="s">
        <v>32</v>
      </c>
      <c r="I2247" s="3">
        <f t="shared" ref="I2247:J2247" si="68">+2250768602565</f>
        <v>2250768602565</v>
      </c>
      <c r="J2247" s="3">
        <f t="shared" si="68"/>
        <v>2250768602565</v>
      </c>
      <c r="K2247" s="1" t="s">
        <v>19</v>
      </c>
      <c r="L2247" s="4" t="s">
        <v>7668</v>
      </c>
    </row>
    <row r="2248">
      <c r="A2248" s="1" t="s">
        <v>12</v>
      </c>
      <c r="B2248" s="1" t="s">
        <v>7669</v>
      </c>
      <c r="C2248" s="1" t="s">
        <v>7519</v>
      </c>
      <c r="D2248" s="1" t="s">
        <v>7670</v>
      </c>
      <c r="E2248" s="2">
        <v>37073.0</v>
      </c>
      <c r="F2248" s="1" t="s">
        <v>53</v>
      </c>
      <c r="G2248" s="1" t="s">
        <v>17</v>
      </c>
      <c r="H2248" s="1" t="s">
        <v>18</v>
      </c>
      <c r="I2248" s="3">
        <f>+2250789765282</f>
        <v>2250789765282</v>
      </c>
      <c r="J2248" s="3">
        <f>+2250707653774</f>
        <v>2250707653774</v>
      </c>
      <c r="K2248" s="1" t="s">
        <v>19</v>
      </c>
      <c r="L2248" s="4" t="s">
        <v>7671</v>
      </c>
    </row>
    <row r="2249">
      <c r="A2249" s="1" t="s">
        <v>12</v>
      </c>
      <c r="B2249" s="1" t="s">
        <v>7672</v>
      </c>
      <c r="C2249" s="1" t="s">
        <v>7519</v>
      </c>
      <c r="D2249" s="1" t="s">
        <v>7673</v>
      </c>
      <c r="E2249" s="2">
        <v>38158.0</v>
      </c>
      <c r="F2249" s="1" t="s">
        <v>53</v>
      </c>
      <c r="G2249" s="1" t="s">
        <v>25</v>
      </c>
      <c r="H2249" s="1" t="s">
        <v>18</v>
      </c>
      <c r="I2249" s="3">
        <f>+2250777137603</f>
        <v>2250777137603</v>
      </c>
      <c r="J2249" s="3">
        <f>+2250707142003</f>
        <v>2250707142003</v>
      </c>
      <c r="K2249" s="1" t="s">
        <v>19</v>
      </c>
      <c r="L2249" s="4" t="s">
        <v>7674</v>
      </c>
    </row>
    <row r="2250">
      <c r="A2250" s="1" t="s">
        <v>12</v>
      </c>
      <c r="B2250" s="1" t="s">
        <v>7675</v>
      </c>
      <c r="C2250" s="1" t="s">
        <v>7519</v>
      </c>
      <c r="D2250" s="1" t="s">
        <v>7676</v>
      </c>
      <c r="E2250" s="2">
        <v>38103.0</v>
      </c>
      <c r="F2250" s="1" t="s">
        <v>147</v>
      </c>
      <c r="G2250" s="1" t="s">
        <v>17</v>
      </c>
      <c r="H2250" s="1" t="s">
        <v>18</v>
      </c>
      <c r="I2250" s="3">
        <f>+2250779791298</f>
        <v>2250779791298</v>
      </c>
      <c r="J2250" s="3">
        <f>+2250758585485</f>
        <v>2250758585485</v>
      </c>
      <c r="K2250" s="1" t="s">
        <v>19</v>
      </c>
      <c r="L2250" s="4" t="s">
        <v>7677</v>
      </c>
    </row>
    <row r="2251">
      <c r="A2251" s="1" t="s">
        <v>12</v>
      </c>
      <c r="B2251" s="1" t="s">
        <v>7678</v>
      </c>
      <c r="C2251" s="1" t="s">
        <v>7519</v>
      </c>
      <c r="D2251" s="1" t="s">
        <v>7679</v>
      </c>
      <c r="E2251" s="2">
        <v>35984.0</v>
      </c>
      <c r="F2251" s="1" t="s">
        <v>62</v>
      </c>
      <c r="G2251" s="1" t="s">
        <v>25</v>
      </c>
      <c r="H2251" s="1" t="s">
        <v>18</v>
      </c>
      <c r="I2251" s="3">
        <f>+2250779373739</f>
        <v>2250779373739</v>
      </c>
      <c r="J2251" s="3">
        <f>+2250749966573</f>
        <v>2250749966573</v>
      </c>
      <c r="K2251" s="1" t="s">
        <v>19</v>
      </c>
      <c r="L2251" s="4" t="s">
        <v>7680</v>
      </c>
    </row>
    <row r="2252">
      <c r="A2252" s="1" t="s">
        <v>12</v>
      </c>
      <c r="B2252" s="1" t="s">
        <v>7681</v>
      </c>
      <c r="C2252" s="1" t="s">
        <v>7519</v>
      </c>
      <c r="D2252" s="1" t="s">
        <v>7682</v>
      </c>
      <c r="E2252" s="2">
        <v>38041.0</v>
      </c>
      <c r="F2252" s="1" t="s">
        <v>288</v>
      </c>
      <c r="G2252" s="1" t="s">
        <v>76</v>
      </c>
      <c r="H2252" s="1" t="s">
        <v>32</v>
      </c>
      <c r="I2252" s="3">
        <f>+2250788949637</f>
        <v>2250788949637</v>
      </c>
      <c r="J2252" s="3">
        <f>+2250707052589</f>
        <v>2250707052589</v>
      </c>
      <c r="K2252" s="1" t="s">
        <v>19</v>
      </c>
      <c r="L2252" s="4" t="s">
        <v>7683</v>
      </c>
    </row>
    <row r="2253">
      <c r="A2253" s="1" t="s">
        <v>12</v>
      </c>
      <c r="B2253" s="1" t="s">
        <v>7684</v>
      </c>
      <c r="C2253" s="1" t="s">
        <v>7519</v>
      </c>
      <c r="D2253" s="1" t="s">
        <v>7685</v>
      </c>
      <c r="E2253" s="2">
        <v>36059.0</v>
      </c>
      <c r="F2253" s="1" t="s">
        <v>167</v>
      </c>
      <c r="G2253" s="1" t="s">
        <v>17</v>
      </c>
      <c r="H2253" s="1" t="s">
        <v>18</v>
      </c>
      <c r="I2253" s="3">
        <f>+2250711628899</f>
        <v>2250711628899</v>
      </c>
      <c r="J2253" s="3">
        <f>+2250709207239</f>
        <v>2250709207239</v>
      </c>
      <c r="K2253" s="1" t="s">
        <v>19</v>
      </c>
      <c r="L2253" s="4" t="s">
        <v>7686</v>
      </c>
    </row>
    <row r="2254">
      <c r="A2254" s="1" t="s">
        <v>12</v>
      </c>
      <c r="B2254" s="1" t="s">
        <v>7687</v>
      </c>
      <c r="C2254" s="1" t="s">
        <v>7519</v>
      </c>
      <c r="D2254" s="1" t="s">
        <v>7688</v>
      </c>
      <c r="E2254" s="2">
        <v>37708.0</v>
      </c>
      <c r="F2254" s="1" t="s">
        <v>101</v>
      </c>
      <c r="G2254" s="1" t="s">
        <v>76</v>
      </c>
      <c r="H2254" s="1" t="s">
        <v>32</v>
      </c>
      <c r="I2254" s="3">
        <f>+2250757703053</f>
        <v>2250757703053</v>
      </c>
      <c r="J2254" s="3">
        <f>+2250141160279</f>
        <v>2250141160279</v>
      </c>
      <c r="K2254" s="1" t="s">
        <v>19</v>
      </c>
      <c r="L2254" s="4" t="s">
        <v>7689</v>
      </c>
    </row>
    <row r="2255">
      <c r="A2255" s="1" t="s">
        <v>12</v>
      </c>
      <c r="B2255" s="1" t="s">
        <v>7690</v>
      </c>
      <c r="C2255" s="1" t="s">
        <v>7519</v>
      </c>
      <c r="D2255" s="1" t="s">
        <v>7691</v>
      </c>
      <c r="E2255" s="2">
        <v>38189.0</v>
      </c>
      <c r="F2255" s="1" t="s">
        <v>138</v>
      </c>
      <c r="G2255" s="1" t="s">
        <v>76</v>
      </c>
      <c r="H2255" s="1" t="s">
        <v>32</v>
      </c>
      <c r="I2255" s="3">
        <f>+2250797133206</f>
        <v>2250797133206</v>
      </c>
      <c r="J2255" s="3">
        <f>+2250709772649</f>
        <v>2250709772649</v>
      </c>
      <c r="K2255" s="1" t="s">
        <v>19</v>
      </c>
      <c r="L2255" s="4" t="s">
        <v>7692</v>
      </c>
    </row>
    <row r="2256">
      <c r="A2256" s="1" t="s">
        <v>12</v>
      </c>
      <c r="B2256" s="1" t="s">
        <v>7693</v>
      </c>
      <c r="C2256" s="1" t="s">
        <v>7519</v>
      </c>
      <c r="D2256" s="1" t="s">
        <v>7694</v>
      </c>
      <c r="E2256" s="2">
        <v>37475.0</v>
      </c>
      <c r="F2256" s="1" t="s">
        <v>16</v>
      </c>
      <c r="G2256" s="1" t="s">
        <v>25</v>
      </c>
      <c r="H2256" s="1" t="s">
        <v>18</v>
      </c>
      <c r="I2256" s="3">
        <f>+2250700479363</f>
        <v>2250700479363</v>
      </c>
      <c r="J2256" s="3">
        <f>+2250708843920</f>
        <v>2250708843920</v>
      </c>
      <c r="K2256" s="1" t="s">
        <v>19</v>
      </c>
      <c r="L2256" s="4" t="s">
        <v>7695</v>
      </c>
    </row>
    <row r="2257">
      <c r="A2257" s="1" t="s">
        <v>12</v>
      </c>
      <c r="B2257" s="1" t="s">
        <v>7696</v>
      </c>
      <c r="C2257" s="1" t="s">
        <v>7519</v>
      </c>
      <c r="D2257" s="1" t="s">
        <v>7697</v>
      </c>
      <c r="E2257" s="2">
        <v>37494.0</v>
      </c>
      <c r="F2257" s="1" t="s">
        <v>1219</v>
      </c>
      <c r="G2257" s="1" t="s">
        <v>82</v>
      </c>
      <c r="H2257" s="1" t="s">
        <v>18</v>
      </c>
      <c r="I2257" s="3">
        <f>+2250758947818</f>
        <v>2250758947818</v>
      </c>
      <c r="J2257" s="3">
        <f>+2250707286449</f>
        <v>2250707286449</v>
      </c>
      <c r="K2257" s="1" t="s">
        <v>19</v>
      </c>
      <c r="L2257" s="4" t="s">
        <v>7698</v>
      </c>
    </row>
    <row r="2258">
      <c r="A2258" s="1" t="s">
        <v>12</v>
      </c>
      <c r="B2258" s="1" t="s">
        <v>7699</v>
      </c>
      <c r="C2258" s="1" t="s">
        <v>7519</v>
      </c>
      <c r="D2258" s="1" t="s">
        <v>7700</v>
      </c>
      <c r="E2258" s="2">
        <v>37043.0</v>
      </c>
      <c r="F2258" s="1" t="s">
        <v>101</v>
      </c>
      <c r="G2258" s="1" t="s">
        <v>76</v>
      </c>
      <c r="H2258" s="1" t="s">
        <v>32</v>
      </c>
      <c r="I2258" s="3">
        <f>+2250711670456</f>
        <v>2250711670456</v>
      </c>
      <c r="J2258" s="3">
        <f>+2250708417066</f>
        <v>2250708417066</v>
      </c>
      <c r="K2258" s="1" t="s">
        <v>19</v>
      </c>
      <c r="L2258" s="4" t="s">
        <v>7701</v>
      </c>
    </row>
    <row r="2259">
      <c r="A2259" s="1" t="s">
        <v>12</v>
      </c>
      <c r="B2259" s="1" t="s">
        <v>7702</v>
      </c>
      <c r="C2259" s="1" t="s">
        <v>7519</v>
      </c>
      <c r="D2259" s="1" t="s">
        <v>7703</v>
      </c>
      <c r="E2259" s="2">
        <v>36863.0</v>
      </c>
      <c r="F2259" s="1" t="s">
        <v>155</v>
      </c>
      <c r="G2259" s="1" t="s">
        <v>82</v>
      </c>
      <c r="H2259" s="1" t="s">
        <v>18</v>
      </c>
      <c r="I2259" s="3">
        <f>+2250788414085</f>
        <v>2250788414085</v>
      </c>
      <c r="J2259" s="3">
        <f>+2250748942196</f>
        <v>2250748942196</v>
      </c>
      <c r="K2259" s="1" t="s">
        <v>19</v>
      </c>
      <c r="L2259" s="4" t="s">
        <v>7704</v>
      </c>
    </row>
    <row r="2260">
      <c r="A2260" s="1" t="s">
        <v>12</v>
      </c>
      <c r="B2260" s="1" t="s">
        <v>7705</v>
      </c>
      <c r="C2260" s="1" t="s">
        <v>7519</v>
      </c>
      <c r="D2260" s="1" t="s">
        <v>7706</v>
      </c>
      <c r="E2260" s="2">
        <v>38144.0</v>
      </c>
      <c r="F2260" s="1" t="s">
        <v>155</v>
      </c>
      <c r="G2260" s="1" t="s">
        <v>76</v>
      </c>
      <c r="H2260" s="1" t="s">
        <v>32</v>
      </c>
      <c r="I2260" s="3">
        <f>+2250152038770</f>
        <v>2250152038770</v>
      </c>
      <c r="J2260" s="3">
        <f>+2250747229944</f>
        <v>2250747229944</v>
      </c>
      <c r="K2260" s="1" t="s">
        <v>19</v>
      </c>
      <c r="L2260" s="4" t="s">
        <v>7707</v>
      </c>
    </row>
    <row r="2261">
      <c r="A2261" s="1" t="s">
        <v>12</v>
      </c>
      <c r="B2261" s="1" t="s">
        <v>7708</v>
      </c>
      <c r="C2261" s="1" t="s">
        <v>7519</v>
      </c>
      <c r="D2261" s="1" t="s">
        <v>7709</v>
      </c>
      <c r="E2261" s="2">
        <v>38081.0</v>
      </c>
      <c r="F2261" s="1" t="s">
        <v>30</v>
      </c>
      <c r="G2261" s="1" t="s">
        <v>76</v>
      </c>
      <c r="H2261" s="1" t="s">
        <v>32</v>
      </c>
      <c r="I2261" s="3">
        <f>+2250102119968</f>
        <v>2250102119968</v>
      </c>
      <c r="J2261" s="3">
        <f>+2250504110014</f>
        <v>2250504110014</v>
      </c>
      <c r="K2261" s="1" t="s">
        <v>19</v>
      </c>
      <c r="L2261" s="4" t="s">
        <v>7710</v>
      </c>
    </row>
    <row r="2262">
      <c r="A2262" s="1" t="s">
        <v>12</v>
      </c>
      <c r="B2262" s="1" t="s">
        <v>7711</v>
      </c>
      <c r="C2262" s="1" t="s">
        <v>7519</v>
      </c>
      <c r="D2262" s="1" t="s">
        <v>7712</v>
      </c>
      <c r="E2262" s="2">
        <v>38375.0</v>
      </c>
      <c r="F2262" s="1" t="s">
        <v>16</v>
      </c>
      <c r="G2262" s="1" t="s">
        <v>25</v>
      </c>
      <c r="H2262" s="1" t="s">
        <v>18</v>
      </c>
      <c r="I2262" s="3">
        <f>+2250787290917</f>
        <v>2250787290917</v>
      </c>
      <c r="J2262" s="3">
        <f>+2250707566198</f>
        <v>2250707566198</v>
      </c>
      <c r="K2262" s="1" t="s">
        <v>19</v>
      </c>
      <c r="L2262" s="4" t="s">
        <v>7713</v>
      </c>
    </row>
    <row r="2263">
      <c r="A2263" s="1" t="s">
        <v>12</v>
      </c>
      <c r="B2263" s="1" t="s">
        <v>7714</v>
      </c>
      <c r="C2263" s="1" t="s">
        <v>7519</v>
      </c>
      <c r="D2263" s="1" t="s">
        <v>7715</v>
      </c>
      <c r="E2263" s="5">
        <v>38270.0</v>
      </c>
      <c r="F2263" s="1" t="s">
        <v>16</v>
      </c>
      <c r="G2263" s="1" t="s">
        <v>17</v>
      </c>
      <c r="H2263" s="1" t="s">
        <v>18</v>
      </c>
      <c r="I2263" s="3">
        <f>+2250170423606</f>
        <v>2250170423606</v>
      </c>
      <c r="J2263" s="3">
        <f>+2250707307241</f>
        <v>2250707307241</v>
      </c>
      <c r="K2263" s="1" t="s">
        <v>19</v>
      </c>
      <c r="L2263" s="4" t="s">
        <v>7716</v>
      </c>
    </row>
    <row r="2264">
      <c r="A2264" s="1" t="s">
        <v>12</v>
      </c>
      <c r="B2264" s="1" t="s">
        <v>7717</v>
      </c>
      <c r="C2264" s="1" t="s">
        <v>7519</v>
      </c>
      <c r="D2264" s="1" t="s">
        <v>7718</v>
      </c>
      <c r="E2264" s="5">
        <v>37981.0</v>
      </c>
      <c r="F2264" s="1" t="s">
        <v>70</v>
      </c>
      <c r="G2264" s="1" t="s">
        <v>76</v>
      </c>
      <c r="H2264" s="1" t="s">
        <v>32</v>
      </c>
      <c r="I2264" s="3">
        <f t="shared" ref="I2264:J2264" si="69">+2250707159236</f>
        <v>2250707159236</v>
      </c>
      <c r="J2264" s="3">
        <f t="shared" si="69"/>
        <v>2250707159236</v>
      </c>
      <c r="K2264" s="1" t="s">
        <v>19</v>
      </c>
      <c r="L2264" s="4" t="s">
        <v>7719</v>
      </c>
    </row>
    <row r="2265">
      <c r="A2265" s="1" t="s">
        <v>12</v>
      </c>
      <c r="B2265" s="1" t="s">
        <v>7720</v>
      </c>
      <c r="C2265" s="1" t="s">
        <v>7519</v>
      </c>
      <c r="D2265" s="1" t="s">
        <v>7721</v>
      </c>
      <c r="E2265" s="2">
        <v>36717.0</v>
      </c>
      <c r="F2265" s="1" t="s">
        <v>48</v>
      </c>
      <c r="G2265" s="1" t="s">
        <v>31</v>
      </c>
      <c r="H2265" s="1" t="s">
        <v>32</v>
      </c>
      <c r="I2265" s="3">
        <f>+2250759265726</f>
        <v>2250759265726</v>
      </c>
      <c r="J2265" s="3">
        <f>+2250748835006</f>
        <v>2250748835006</v>
      </c>
      <c r="K2265" s="1" t="s">
        <v>19</v>
      </c>
      <c r="L2265" s="4" t="s">
        <v>7722</v>
      </c>
    </row>
    <row r="2266">
      <c r="A2266" s="1" t="s">
        <v>12</v>
      </c>
      <c r="B2266" s="1" t="s">
        <v>7723</v>
      </c>
      <c r="C2266" s="1" t="s">
        <v>7519</v>
      </c>
      <c r="D2266" s="1" t="s">
        <v>7724</v>
      </c>
      <c r="E2266" s="2">
        <v>37035.0</v>
      </c>
      <c r="F2266" s="1" t="s">
        <v>53</v>
      </c>
      <c r="G2266" s="1" t="s">
        <v>25</v>
      </c>
      <c r="H2266" s="1" t="s">
        <v>18</v>
      </c>
      <c r="I2266" s="3">
        <f>+2250143330966</f>
        <v>2250143330966</v>
      </c>
      <c r="J2266" s="3">
        <f>+2250101437574</f>
        <v>2250101437574</v>
      </c>
      <c r="K2266" s="1" t="s">
        <v>19</v>
      </c>
      <c r="L2266" s="4" t="s">
        <v>7725</v>
      </c>
    </row>
    <row r="2267">
      <c r="A2267" s="1" t="s">
        <v>12</v>
      </c>
      <c r="B2267" s="1" t="s">
        <v>7726</v>
      </c>
      <c r="C2267" s="1" t="s">
        <v>7519</v>
      </c>
      <c r="D2267" s="1" t="s">
        <v>7727</v>
      </c>
      <c r="E2267" s="2">
        <v>38221.0</v>
      </c>
      <c r="F2267" s="1" t="s">
        <v>48</v>
      </c>
      <c r="G2267" s="1" t="s">
        <v>31</v>
      </c>
      <c r="H2267" s="1" t="s">
        <v>32</v>
      </c>
      <c r="I2267" s="3">
        <f>+2250709930538</f>
        <v>2250709930538</v>
      </c>
      <c r="J2267" s="3">
        <f>+2250143799600</f>
        <v>2250143799600</v>
      </c>
      <c r="K2267" s="1" t="s">
        <v>19</v>
      </c>
      <c r="L2267" s="4" t="s">
        <v>7728</v>
      </c>
    </row>
    <row r="2268">
      <c r="A2268" s="1" t="s">
        <v>12</v>
      </c>
      <c r="B2268" s="1" t="s">
        <v>7729</v>
      </c>
      <c r="C2268" s="1" t="s">
        <v>7730</v>
      </c>
      <c r="D2268" s="1" t="s">
        <v>7731</v>
      </c>
      <c r="E2268" s="2">
        <v>37895.0</v>
      </c>
      <c r="F2268" s="1" t="s">
        <v>16</v>
      </c>
      <c r="G2268" s="1" t="s">
        <v>82</v>
      </c>
      <c r="H2268" s="1" t="s">
        <v>18</v>
      </c>
      <c r="I2268" s="3">
        <f>+2250779048070</f>
        <v>2250779048070</v>
      </c>
      <c r="J2268" s="3">
        <f>+2250749084164</f>
        <v>2250749084164</v>
      </c>
      <c r="K2268" s="1" t="s">
        <v>19</v>
      </c>
      <c r="L2268" s="4" t="s">
        <v>7732</v>
      </c>
    </row>
    <row r="2269">
      <c r="A2269" s="1" t="s">
        <v>12</v>
      </c>
      <c r="B2269" s="1" t="s">
        <v>7733</v>
      </c>
      <c r="C2269" s="1" t="s">
        <v>7734</v>
      </c>
      <c r="D2269" s="1" t="s">
        <v>7735</v>
      </c>
      <c r="E2269" s="2">
        <v>37876.0</v>
      </c>
      <c r="F2269" s="1" t="s">
        <v>30</v>
      </c>
      <c r="G2269" s="1" t="s">
        <v>31</v>
      </c>
      <c r="H2269" s="1" t="s">
        <v>32</v>
      </c>
      <c r="I2269" s="3">
        <f>+2250152415573</f>
        <v>2250152415573</v>
      </c>
      <c r="J2269" s="3">
        <f>+2250140335994</f>
        <v>2250140335994</v>
      </c>
      <c r="K2269" s="1" t="s">
        <v>19</v>
      </c>
      <c r="L2269" s="4" t="s">
        <v>7736</v>
      </c>
    </row>
    <row r="2270">
      <c r="A2270" s="1" t="s">
        <v>12</v>
      </c>
      <c r="B2270" s="1" t="s">
        <v>7737</v>
      </c>
      <c r="C2270" s="1" t="s">
        <v>7738</v>
      </c>
      <c r="D2270" s="1" t="s">
        <v>7739</v>
      </c>
      <c r="E2270" s="2">
        <v>38598.0</v>
      </c>
      <c r="F2270" s="1" t="s">
        <v>30</v>
      </c>
      <c r="G2270" s="1" t="s">
        <v>31</v>
      </c>
      <c r="H2270" s="1" t="s">
        <v>32</v>
      </c>
      <c r="I2270" s="3">
        <f>+2250701803890</f>
        <v>2250701803890</v>
      </c>
      <c r="J2270" s="3">
        <f>+2250153891015</f>
        <v>2250153891015</v>
      </c>
      <c r="K2270" s="1" t="s">
        <v>19</v>
      </c>
      <c r="L2270" s="4" t="s">
        <v>7740</v>
      </c>
    </row>
    <row r="2271">
      <c r="A2271" s="1" t="s">
        <v>12</v>
      </c>
      <c r="B2271" s="1" t="s">
        <v>7741</v>
      </c>
      <c r="C2271" s="1" t="s">
        <v>7738</v>
      </c>
      <c r="D2271" s="1" t="s">
        <v>7742</v>
      </c>
      <c r="E2271" s="2">
        <v>38898.0</v>
      </c>
      <c r="F2271" s="1" t="s">
        <v>16</v>
      </c>
      <c r="G2271" s="1" t="s">
        <v>25</v>
      </c>
      <c r="H2271" s="1" t="s">
        <v>18</v>
      </c>
      <c r="I2271" s="3">
        <f>+2250758250990</f>
        <v>2250758250990</v>
      </c>
      <c r="J2271" s="3">
        <f>+2250707243024</f>
        <v>2250707243024</v>
      </c>
      <c r="K2271" s="1" t="s">
        <v>19</v>
      </c>
      <c r="L2271" s="4" t="s">
        <v>7743</v>
      </c>
    </row>
    <row r="2272">
      <c r="A2272" s="1" t="s">
        <v>12</v>
      </c>
      <c r="B2272" s="1" t="s">
        <v>7744</v>
      </c>
      <c r="C2272" s="1" t="s">
        <v>7738</v>
      </c>
      <c r="D2272" s="1" t="s">
        <v>7745</v>
      </c>
      <c r="E2272" s="5">
        <v>37552.0</v>
      </c>
      <c r="F2272" s="1" t="s">
        <v>155</v>
      </c>
      <c r="G2272" s="1" t="s">
        <v>82</v>
      </c>
      <c r="H2272" s="1" t="s">
        <v>18</v>
      </c>
      <c r="I2272" s="3">
        <f>+2250779585488</f>
        <v>2250779585488</v>
      </c>
      <c r="J2272" s="3">
        <f>+2250504907374</f>
        <v>2250504907374</v>
      </c>
      <c r="K2272" s="1" t="s">
        <v>19</v>
      </c>
      <c r="L2272" s="4" t="s">
        <v>7746</v>
      </c>
    </row>
    <row r="2273">
      <c r="A2273" s="1" t="s">
        <v>12</v>
      </c>
      <c r="B2273" s="1" t="s">
        <v>7747</v>
      </c>
      <c r="C2273" s="1" t="s">
        <v>7738</v>
      </c>
      <c r="D2273" s="1" t="s">
        <v>7748</v>
      </c>
      <c r="E2273" s="2">
        <v>37781.0</v>
      </c>
      <c r="F2273" s="1" t="s">
        <v>101</v>
      </c>
      <c r="G2273" s="1" t="s">
        <v>31</v>
      </c>
      <c r="H2273" s="1" t="s">
        <v>32</v>
      </c>
      <c r="I2273" s="3">
        <f t="shared" ref="I2273:J2273" si="70">+2250707221923</f>
        <v>2250707221923</v>
      </c>
      <c r="J2273" s="3">
        <f t="shared" si="70"/>
        <v>2250707221923</v>
      </c>
      <c r="K2273" s="1" t="s">
        <v>19</v>
      </c>
      <c r="L2273" s="4" t="s">
        <v>7749</v>
      </c>
    </row>
    <row r="2274">
      <c r="A2274" s="1" t="s">
        <v>12</v>
      </c>
      <c r="B2274" s="1" t="s">
        <v>7750</v>
      </c>
      <c r="C2274" s="1" t="s">
        <v>7751</v>
      </c>
      <c r="D2274" s="1" t="s">
        <v>7752</v>
      </c>
      <c r="E2274" s="2">
        <v>37488.0</v>
      </c>
      <c r="F2274" s="1" t="s">
        <v>48</v>
      </c>
      <c r="G2274" s="1" t="s">
        <v>82</v>
      </c>
      <c r="H2274" s="1" t="s">
        <v>18</v>
      </c>
      <c r="I2274" s="3">
        <f>+2250170395295</f>
        <v>2250170395295</v>
      </c>
      <c r="J2274" s="3">
        <f>+2250141018734</f>
        <v>2250141018734</v>
      </c>
      <c r="K2274" s="1" t="s">
        <v>19</v>
      </c>
      <c r="L2274" s="4" t="s">
        <v>7753</v>
      </c>
    </row>
    <row r="2275">
      <c r="A2275" s="1" t="s">
        <v>12</v>
      </c>
      <c r="B2275" s="1" t="s">
        <v>7754</v>
      </c>
      <c r="C2275" s="1" t="s">
        <v>7751</v>
      </c>
      <c r="D2275" s="1" t="s">
        <v>7755</v>
      </c>
      <c r="E2275" s="2">
        <v>37138.0</v>
      </c>
      <c r="F2275" s="1" t="s">
        <v>24</v>
      </c>
      <c r="G2275" s="1" t="s">
        <v>25</v>
      </c>
      <c r="H2275" s="1" t="s">
        <v>18</v>
      </c>
      <c r="I2275" s="3">
        <f>+2250767710099</f>
        <v>2250767710099</v>
      </c>
      <c r="J2275" s="3">
        <f>+2250707742422</f>
        <v>2250707742422</v>
      </c>
      <c r="K2275" s="1" t="s">
        <v>19</v>
      </c>
      <c r="L2275" s="4" t="s">
        <v>7756</v>
      </c>
    </row>
    <row r="2276">
      <c r="A2276" s="1" t="s">
        <v>12</v>
      </c>
      <c r="B2276" s="1" t="s">
        <v>7757</v>
      </c>
      <c r="C2276" s="1" t="s">
        <v>7751</v>
      </c>
      <c r="D2276" s="1" t="s">
        <v>7758</v>
      </c>
      <c r="E2276" s="2">
        <v>38069.0</v>
      </c>
      <c r="F2276" s="1" t="s">
        <v>53</v>
      </c>
      <c r="G2276" s="1" t="s">
        <v>17</v>
      </c>
      <c r="H2276" s="1" t="s">
        <v>18</v>
      </c>
      <c r="I2276" s="3">
        <f>+2250799490151</f>
        <v>2250799490151</v>
      </c>
      <c r="J2276" s="3">
        <f>+2250708479850</f>
        <v>2250708479850</v>
      </c>
      <c r="K2276" s="1" t="s">
        <v>19</v>
      </c>
      <c r="L2276" s="4" t="s">
        <v>7759</v>
      </c>
    </row>
    <row r="2277">
      <c r="A2277" s="1" t="s">
        <v>12</v>
      </c>
      <c r="B2277" s="1" t="s">
        <v>7760</v>
      </c>
      <c r="C2277" s="1" t="s">
        <v>7751</v>
      </c>
      <c r="D2277" s="1" t="s">
        <v>7761</v>
      </c>
      <c r="E2277" s="2">
        <v>38201.0</v>
      </c>
      <c r="F2277" s="1" t="s">
        <v>48</v>
      </c>
      <c r="G2277" s="1" t="s">
        <v>82</v>
      </c>
      <c r="H2277" s="1" t="s">
        <v>18</v>
      </c>
      <c r="I2277" s="3">
        <f>+2250757688256</f>
        <v>2250757688256</v>
      </c>
      <c r="J2277" s="3">
        <f>+2250758938221</f>
        <v>2250758938221</v>
      </c>
      <c r="K2277" s="1" t="s">
        <v>19</v>
      </c>
      <c r="L2277" s="4" t="s">
        <v>7762</v>
      </c>
    </row>
    <row r="2278">
      <c r="A2278" s="1" t="s">
        <v>12</v>
      </c>
      <c r="B2278" s="1" t="s">
        <v>7763</v>
      </c>
      <c r="C2278" s="1" t="s">
        <v>7751</v>
      </c>
      <c r="D2278" s="1" t="s">
        <v>6111</v>
      </c>
      <c r="E2278" s="2">
        <v>38160.0</v>
      </c>
      <c r="F2278" s="1" t="s">
        <v>92</v>
      </c>
      <c r="G2278" s="1" t="s">
        <v>76</v>
      </c>
      <c r="H2278" s="1" t="s">
        <v>32</v>
      </c>
      <c r="I2278" s="3">
        <f>+2250777798167</f>
        <v>2250777798167</v>
      </c>
      <c r="J2278" s="3">
        <f>+2250707616542</f>
        <v>2250707616542</v>
      </c>
      <c r="K2278" s="1" t="s">
        <v>19</v>
      </c>
      <c r="L2278" s="4" t="s">
        <v>7764</v>
      </c>
    </row>
    <row r="2279">
      <c r="A2279" s="1" t="s">
        <v>12</v>
      </c>
      <c r="B2279" s="1" t="s">
        <v>7765</v>
      </c>
      <c r="C2279" s="1" t="s">
        <v>7751</v>
      </c>
      <c r="D2279" s="1" t="s">
        <v>7766</v>
      </c>
      <c r="E2279" s="5">
        <v>38643.0</v>
      </c>
      <c r="F2279" s="1" t="s">
        <v>48</v>
      </c>
      <c r="G2279" s="1" t="s">
        <v>76</v>
      </c>
      <c r="H2279" s="1" t="s">
        <v>32</v>
      </c>
      <c r="I2279" s="3">
        <f>+2250703702529</f>
        <v>2250703702529</v>
      </c>
      <c r="J2279" s="3">
        <f>+2250749208032</f>
        <v>2250749208032</v>
      </c>
      <c r="K2279" s="1" t="s">
        <v>19</v>
      </c>
      <c r="L2279" s="4" t="s">
        <v>7767</v>
      </c>
    </row>
    <row r="2280">
      <c r="A2280" s="1" t="s">
        <v>12</v>
      </c>
      <c r="B2280" s="1" t="s">
        <v>7768</v>
      </c>
      <c r="C2280" s="1" t="s">
        <v>7751</v>
      </c>
      <c r="D2280" s="1" t="s">
        <v>7769</v>
      </c>
      <c r="E2280" s="2">
        <v>36729.0</v>
      </c>
      <c r="F2280" s="1" t="s">
        <v>70</v>
      </c>
      <c r="G2280" s="1" t="s">
        <v>82</v>
      </c>
      <c r="H2280" s="1" t="s">
        <v>18</v>
      </c>
      <c r="I2280" s="3">
        <f>+2250702060797</f>
        <v>2250702060797</v>
      </c>
      <c r="J2280" s="3">
        <f>+2250759543417</f>
        <v>2250759543417</v>
      </c>
      <c r="K2280" s="1" t="s">
        <v>19</v>
      </c>
      <c r="L2280" s="4" t="s">
        <v>7770</v>
      </c>
    </row>
    <row r="2281">
      <c r="A2281" s="1" t="s">
        <v>12</v>
      </c>
      <c r="B2281" s="1" t="s">
        <v>7771</v>
      </c>
      <c r="C2281" s="1" t="s">
        <v>7751</v>
      </c>
      <c r="D2281" s="1" t="s">
        <v>7772</v>
      </c>
      <c r="E2281" s="2">
        <v>38233.0</v>
      </c>
      <c r="F2281" s="1" t="s">
        <v>16</v>
      </c>
      <c r="G2281" s="1" t="s">
        <v>17</v>
      </c>
      <c r="H2281" s="1" t="s">
        <v>18</v>
      </c>
      <c r="I2281" s="3">
        <f>+2250704353072</f>
        <v>2250704353072</v>
      </c>
      <c r="J2281" s="3">
        <f>+2250707550749</f>
        <v>2250707550749</v>
      </c>
      <c r="K2281" s="1" t="s">
        <v>19</v>
      </c>
      <c r="L2281" s="4" t="s">
        <v>7773</v>
      </c>
    </row>
    <row r="2282">
      <c r="A2282" s="1" t="s">
        <v>12</v>
      </c>
      <c r="B2282" s="1" t="s">
        <v>7774</v>
      </c>
      <c r="C2282" s="1" t="s">
        <v>7751</v>
      </c>
      <c r="D2282" s="1" t="s">
        <v>7775</v>
      </c>
      <c r="E2282" s="2">
        <v>38148.0</v>
      </c>
      <c r="F2282" s="1" t="s">
        <v>138</v>
      </c>
      <c r="G2282" s="1" t="s">
        <v>76</v>
      </c>
      <c r="H2282" s="1" t="s">
        <v>32</v>
      </c>
      <c r="I2282" s="3">
        <f>+2250768467473</f>
        <v>2250768467473</v>
      </c>
      <c r="J2282" s="3">
        <f>+2250777254186</f>
        <v>2250777254186</v>
      </c>
      <c r="K2282" s="1" t="s">
        <v>19</v>
      </c>
      <c r="L2282" s="4" t="s">
        <v>7776</v>
      </c>
    </row>
    <row r="2283">
      <c r="A2283" s="1" t="s">
        <v>12</v>
      </c>
      <c r="B2283" s="1" t="s">
        <v>7777</v>
      </c>
      <c r="C2283" s="1" t="s">
        <v>7751</v>
      </c>
      <c r="D2283" s="1" t="s">
        <v>7778</v>
      </c>
      <c r="E2283" s="2">
        <v>37335.0</v>
      </c>
      <c r="F2283" s="1" t="s">
        <v>101</v>
      </c>
      <c r="G2283" s="1" t="s">
        <v>76</v>
      </c>
      <c r="H2283" s="1" t="s">
        <v>32</v>
      </c>
      <c r="I2283" s="3">
        <f>+2250798668536</f>
        <v>2250798668536</v>
      </c>
      <c r="J2283" s="3">
        <f>+2250749261391</f>
        <v>2250749261391</v>
      </c>
      <c r="K2283" s="1" t="s">
        <v>19</v>
      </c>
      <c r="L2283" s="4" t="s">
        <v>7779</v>
      </c>
    </row>
    <row r="2284">
      <c r="A2284" s="1" t="s">
        <v>12</v>
      </c>
      <c r="B2284" s="1" t="s">
        <v>7780</v>
      </c>
      <c r="C2284" s="1" t="s">
        <v>7751</v>
      </c>
      <c r="D2284" s="1" t="s">
        <v>1011</v>
      </c>
      <c r="E2284" s="5">
        <v>37620.0</v>
      </c>
      <c r="F2284" s="1" t="s">
        <v>16</v>
      </c>
      <c r="G2284" s="1" t="s">
        <v>17</v>
      </c>
      <c r="H2284" s="1" t="s">
        <v>18</v>
      </c>
      <c r="I2284" s="3">
        <f>+2250778977822</f>
        <v>2250778977822</v>
      </c>
      <c r="J2284" s="3">
        <f>+2250141189456</f>
        <v>2250141189456</v>
      </c>
      <c r="K2284" s="1" t="s">
        <v>19</v>
      </c>
      <c r="L2284" s="4" t="s">
        <v>7781</v>
      </c>
    </row>
    <row r="2285">
      <c r="A2285" s="1" t="s">
        <v>12</v>
      </c>
      <c r="B2285" s="1" t="s">
        <v>7782</v>
      </c>
      <c r="C2285" s="1" t="s">
        <v>7751</v>
      </c>
      <c r="D2285" s="1" t="s">
        <v>7783</v>
      </c>
      <c r="E2285" s="5">
        <v>36087.0</v>
      </c>
      <c r="F2285" s="1" t="s">
        <v>24</v>
      </c>
      <c r="G2285" s="1" t="s">
        <v>25</v>
      </c>
      <c r="H2285" s="1" t="s">
        <v>18</v>
      </c>
      <c r="I2285" s="3">
        <f>+2250768729545</f>
        <v>2250768729545</v>
      </c>
      <c r="J2285" s="3">
        <f>+2250709203353</f>
        <v>2250709203353</v>
      </c>
      <c r="K2285" s="1" t="s">
        <v>19</v>
      </c>
      <c r="L2285" s="4" t="s">
        <v>7784</v>
      </c>
    </row>
    <row r="2286">
      <c r="A2286" s="1" t="s">
        <v>12</v>
      </c>
      <c r="B2286" s="1" t="s">
        <v>7785</v>
      </c>
      <c r="C2286" s="1" t="s">
        <v>7751</v>
      </c>
      <c r="D2286" s="1" t="s">
        <v>7786</v>
      </c>
      <c r="E2286" s="2">
        <v>36641.0</v>
      </c>
      <c r="F2286" s="1" t="s">
        <v>138</v>
      </c>
      <c r="G2286" s="1" t="s">
        <v>76</v>
      </c>
      <c r="H2286" s="1" t="s">
        <v>32</v>
      </c>
      <c r="I2286" s="3">
        <f>+2250779540289</f>
        <v>2250779540289</v>
      </c>
      <c r="J2286" s="3">
        <f>+2250708421406</f>
        <v>2250708421406</v>
      </c>
      <c r="K2286" s="1" t="s">
        <v>19</v>
      </c>
      <c r="L2286" s="4" t="s">
        <v>7787</v>
      </c>
    </row>
    <row r="2287">
      <c r="A2287" s="1" t="s">
        <v>12</v>
      </c>
      <c r="B2287" s="1" t="s">
        <v>7788</v>
      </c>
      <c r="C2287" s="1" t="s">
        <v>7751</v>
      </c>
      <c r="D2287" s="1" t="s">
        <v>7789</v>
      </c>
      <c r="E2287" s="2">
        <v>37735.0</v>
      </c>
      <c r="F2287" s="1" t="s">
        <v>16</v>
      </c>
      <c r="G2287" s="1" t="s">
        <v>17</v>
      </c>
      <c r="H2287" s="1" t="s">
        <v>18</v>
      </c>
      <c r="I2287" s="3">
        <f>+2250700105850</f>
        <v>2250700105850</v>
      </c>
      <c r="J2287" s="3">
        <f>+2250748596824</f>
        <v>2250748596824</v>
      </c>
      <c r="K2287" s="1" t="s">
        <v>19</v>
      </c>
      <c r="L2287" s="4" t="s">
        <v>7790</v>
      </c>
    </row>
    <row r="2288">
      <c r="A2288" s="1" t="s">
        <v>12</v>
      </c>
      <c r="B2288" s="1" t="s">
        <v>7791</v>
      </c>
      <c r="C2288" s="1" t="s">
        <v>7751</v>
      </c>
      <c r="D2288" s="1" t="s">
        <v>7792</v>
      </c>
      <c r="E2288" s="2">
        <v>37599.0</v>
      </c>
      <c r="F2288" s="1" t="s">
        <v>155</v>
      </c>
      <c r="G2288" s="1" t="s">
        <v>31</v>
      </c>
      <c r="H2288" s="1" t="s">
        <v>32</v>
      </c>
      <c r="I2288" s="3">
        <f>+2250711737188</f>
        <v>2250711737188</v>
      </c>
      <c r="J2288" s="3">
        <f>+2250709153869</f>
        <v>2250709153869</v>
      </c>
      <c r="K2288" s="1" t="s">
        <v>19</v>
      </c>
      <c r="L2288" s="4" t="s">
        <v>7793</v>
      </c>
    </row>
    <row r="2289">
      <c r="A2289" s="1" t="s">
        <v>12</v>
      </c>
      <c r="B2289" s="1" t="s">
        <v>7794</v>
      </c>
      <c r="C2289" s="1" t="s">
        <v>7751</v>
      </c>
      <c r="D2289" s="1" t="s">
        <v>7795</v>
      </c>
      <c r="E2289" s="2">
        <v>38823.0</v>
      </c>
      <c r="F2289" s="1" t="s">
        <v>53</v>
      </c>
      <c r="G2289" s="1" t="s">
        <v>25</v>
      </c>
      <c r="H2289" s="1" t="s">
        <v>18</v>
      </c>
      <c r="I2289" s="3">
        <f>+2250170065039</f>
        <v>2250170065039</v>
      </c>
      <c r="J2289" s="3">
        <f>+2250505770200</f>
        <v>2250505770200</v>
      </c>
      <c r="K2289" s="1" t="s">
        <v>19</v>
      </c>
      <c r="L2289" s="4" t="s">
        <v>7796</v>
      </c>
    </row>
    <row r="2290">
      <c r="A2290" s="1" t="s">
        <v>12</v>
      </c>
      <c r="B2290" s="1" t="s">
        <v>7797</v>
      </c>
      <c r="C2290" s="1" t="s">
        <v>7751</v>
      </c>
      <c r="D2290" s="1" t="s">
        <v>7798</v>
      </c>
      <c r="E2290" s="2">
        <v>37597.0</v>
      </c>
      <c r="F2290" s="1" t="s">
        <v>62</v>
      </c>
      <c r="G2290" s="1" t="s">
        <v>17</v>
      </c>
      <c r="H2290" s="1" t="s">
        <v>18</v>
      </c>
      <c r="I2290" s="3">
        <f>+2250757381667</f>
        <v>2250757381667</v>
      </c>
      <c r="J2290" s="3">
        <f>+2250708378677</f>
        <v>2250708378677</v>
      </c>
      <c r="K2290" s="1" t="s">
        <v>19</v>
      </c>
      <c r="L2290" s="4" t="s">
        <v>7799</v>
      </c>
    </row>
    <row r="2291">
      <c r="A2291" s="1" t="s">
        <v>12</v>
      </c>
      <c r="B2291" s="1" t="s">
        <v>7800</v>
      </c>
      <c r="C2291" s="1" t="s">
        <v>7751</v>
      </c>
      <c r="D2291" s="1" t="s">
        <v>7801</v>
      </c>
      <c r="E2291" s="2">
        <v>37486.0</v>
      </c>
      <c r="F2291" s="1" t="s">
        <v>16</v>
      </c>
      <c r="G2291" s="1" t="s">
        <v>25</v>
      </c>
      <c r="H2291" s="1" t="s">
        <v>18</v>
      </c>
      <c r="I2291" s="3">
        <f>+2250768071233</f>
        <v>2250768071233</v>
      </c>
      <c r="J2291" s="3">
        <f>+2250708296161</f>
        <v>2250708296161</v>
      </c>
      <c r="K2291" s="1" t="s">
        <v>19</v>
      </c>
      <c r="L2291" s="4" t="s">
        <v>7802</v>
      </c>
    </row>
    <row r="2292">
      <c r="A2292" s="1" t="s">
        <v>12</v>
      </c>
      <c r="B2292" s="1" t="s">
        <v>7803</v>
      </c>
      <c r="C2292" s="1" t="s">
        <v>7751</v>
      </c>
      <c r="D2292" s="1" t="s">
        <v>7804</v>
      </c>
      <c r="E2292" s="2">
        <v>38888.0</v>
      </c>
      <c r="F2292" s="1" t="s">
        <v>53</v>
      </c>
      <c r="G2292" s="1" t="s">
        <v>25</v>
      </c>
      <c r="H2292" s="1" t="s">
        <v>18</v>
      </c>
      <c r="I2292" s="3">
        <f>+2250150065677</f>
        <v>2250150065677</v>
      </c>
      <c r="J2292" s="3">
        <f>+2250102010626</f>
        <v>2250102010626</v>
      </c>
      <c r="K2292" s="1" t="s">
        <v>19</v>
      </c>
      <c r="L2292" s="4" t="s">
        <v>7805</v>
      </c>
    </row>
    <row r="2293">
      <c r="A2293" s="1" t="s">
        <v>12</v>
      </c>
      <c r="B2293" s="1" t="s">
        <v>7806</v>
      </c>
      <c r="C2293" s="1" t="s">
        <v>7751</v>
      </c>
      <c r="D2293" s="1" t="s">
        <v>7807</v>
      </c>
      <c r="E2293" s="5">
        <v>37922.0</v>
      </c>
      <c r="F2293" s="1" t="s">
        <v>101</v>
      </c>
      <c r="G2293" s="1" t="s">
        <v>76</v>
      </c>
      <c r="H2293" s="1" t="s">
        <v>32</v>
      </c>
      <c r="I2293" s="3">
        <f>+2250797687327</f>
        <v>2250797687327</v>
      </c>
      <c r="J2293" s="3">
        <f>+2250749898302</f>
        <v>2250749898302</v>
      </c>
      <c r="K2293" s="1" t="s">
        <v>19</v>
      </c>
      <c r="L2293" s="4" t="s">
        <v>7808</v>
      </c>
    </row>
    <row r="2294">
      <c r="A2294" s="1" t="s">
        <v>12</v>
      </c>
      <c r="B2294" s="1" t="s">
        <v>7809</v>
      </c>
      <c r="C2294" s="1" t="s">
        <v>7751</v>
      </c>
      <c r="D2294" s="1" t="s">
        <v>7810</v>
      </c>
      <c r="E2294" s="2">
        <v>37357.0</v>
      </c>
      <c r="F2294" s="1" t="s">
        <v>97</v>
      </c>
      <c r="G2294" s="1" t="s">
        <v>82</v>
      </c>
      <c r="H2294" s="1" t="s">
        <v>18</v>
      </c>
      <c r="I2294" s="3">
        <f>+2250142628438</f>
        <v>2250142628438</v>
      </c>
      <c r="J2294" s="3">
        <f>+2250153108006</f>
        <v>2250153108006</v>
      </c>
      <c r="K2294" s="1" t="s">
        <v>19</v>
      </c>
      <c r="L2294" s="4" t="s">
        <v>7811</v>
      </c>
    </row>
    <row r="2295">
      <c r="A2295" s="1" t="s">
        <v>12</v>
      </c>
      <c r="B2295" s="1" t="s">
        <v>7812</v>
      </c>
      <c r="C2295" s="1" t="s">
        <v>7751</v>
      </c>
      <c r="D2295" s="1" t="s">
        <v>7813</v>
      </c>
      <c r="E2295" s="2">
        <v>37059.0</v>
      </c>
      <c r="F2295" s="1" t="s">
        <v>586</v>
      </c>
      <c r="G2295" s="1" t="s">
        <v>82</v>
      </c>
      <c r="H2295" s="1" t="s">
        <v>18</v>
      </c>
      <c r="I2295" s="3">
        <f>+2250759994547</f>
        <v>2250759994547</v>
      </c>
      <c r="J2295" s="3">
        <f>+2250707864110</f>
        <v>2250707864110</v>
      </c>
      <c r="K2295" s="1" t="s">
        <v>19</v>
      </c>
      <c r="L2295" s="4" t="s">
        <v>7814</v>
      </c>
    </row>
    <row r="2296">
      <c r="A2296" s="1" t="s">
        <v>12</v>
      </c>
      <c r="B2296" s="1" t="s">
        <v>7815</v>
      </c>
      <c r="C2296" s="1" t="s">
        <v>7751</v>
      </c>
      <c r="D2296" s="1" t="s">
        <v>7816</v>
      </c>
      <c r="E2296" s="2">
        <v>38353.0</v>
      </c>
      <c r="F2296" s="1" t="s">
        <v>62</v>
      </c>
      <c r="G2296" s="1" t="s">
        <v>25</v>
      </c>
      <c r="H2296" s="1" t="s">
        <v>18</v>
      </c>
      <c r="I2296" s="3">
        <f>+2250150821168</f>
        <v>2250150821168</v>
      </c>
      <c r="J2296" s="3">
        <f>+2250141888580</f>
        <v>2250141888580</v>
      </c>
      <c r="K2296" s="1" t="s">
        <v>19</v>
      </c>
      <c r="L2296" s="4" t="s">
        <v>7817</v>
      </c>
    </row>
    <row r="2297">
      <c r="A2297" s="1" t="s">
        <v>12</v>
      </c>
      <c r="B2297" s="1" t="s">
        <v>7818</v>
      </c>
      <c r="C2297" s="1" t="s">
        <v>7751</v>
      </c>
      <c r="D2297" s="1" t="s">
        <v>7819</v>
      </c>
      <c r="E2297" s="2">
        <v>35857.0</v>
      </c>
      <c r="F2297" s="1" t="s">
        <v>110</v>
      </c>
      <c r="G2297" s="1" t="s">
        <v>82</v>
      </c>
      <c r="H2297" s="1" t="s">
        <v>18</v>
      </c>
      <c r="I2297" s="3">
        <f>+2250546769692</f>
        <v>2250546769692</v>
      </c>
      <c r="J2297" s="3">
        <f>+2250101039111</f>
        <v>2250101039111</v>
      </c>
      <c r="K2297" s="1" t="s">
        <v>19</v>
      </c>
      <c r="L2297" s="4" t="s">
        <v>7820</v>
      </c>
    </row>
    <row r="2298">
      <c r="A2298" s="1" t="s">
        <v>12</v>
      </c>
      <c r="B2298" s="1" t="s">
        <v>7821</v>
      </c>
      <c r="C2298" s="1" t="s">
        <v>7751</v>
      </c>
      <c r="D2298" s="1" t="s">
        <v>7822</v>
      </c>
      <c r="E2298" s="2">
        <v>37694.0</v>
      </c>
      <c r="F2298" s="1" t="s">
        <v>48</v>
      </c>
      <c r="G2298" s="1" t="s">
        <v>31</v>
      </c>
      <c r="H2298" s="1" t="s">
        <v>32</v>
      </c>
      <c r="I2298" s="3">
        <f>+2250749843294</f>
        <v>2250749843294</v>
      </c>
      <c r="J2298" s="3">
        <f>+2250758324218</f>
        <v>2250758324218</v>
      </c>
      <c r="K2298" s="1" t="s">
        <v>19</v>
      </c>
      <c r="L2298" s="4" t="s">
        <v>7823</v>
      </c>
    </row>
    <row r="2299">
      <c r="A2299" s="1" t="s">
        <v>12</v>
      </c>
      <c r="B2299" s="1" t="s">
        <v>7824</v>
      </c>
      <c r="C2299" s="1" t="s">
        <v>7751</v>
      </c>
      <c r="D2299" s="1" t="s">
        <v>7825</v>
      </c>
      <c r="E2299" s="2">
        <v>37714.0</v>
      </c>
      <c r="F2299" s="1" t="s">
        <v>155</v>
      </c>
      <c r="G2299" s="1" t="s">
        <v>31</v>
      </c>
      <c r="H2299" s="1" t="s">
        <v>32</v>
      </c>
      <c r="I2299" s="3">
        <f>+2250797544116</f>
        <v>2250797544116</v>
      </c>
      <c r="J2299" s="3">
        <f>+2250545518179</f>
        <v>2250545518179</v>
      </c>
      <c r="K2299" s="1" t="s">
        <v>19</v>
      </c>
      <c r="L2299" s="4" t="s">
        <v>7826</v>
      </c>
    </row>
    <row r="2300">
      <c r="A2300" s="1" t="s">
        <v>12</v>
      </c>
      <c r="B2300" s="1" t="s">
        <v>7827</v>
      </c>
      <c r="C2300" s="1" t="s">
        <v>7751</v>
      </c>
      <c r="D2300" s="1" t="s">
        <v>7828</v>
      </c>
      <c r="E2300" s="5">
        <v>37946.0</v>
      </c>
      <c r="F2300" s="1" t="s">
        <v>16</v>
      </c>
      <c r="G2300" s="1" t="s">
        <v>82</v>
      </c>
      <c r="H2300" s="1" t="s">
        <v>18</v>
      </c>
      <c r="I2300" s="3" t="str">
        <f>+22505Z4508830</f>
        <v>#ERROR!</v>
      </c>
      <c r="J2300" s="3">
        <f>+2250748380358</f>
        <v>2250748380358</v>
      </c>
      <c r="K2300" s="1" t="s">
        <v>19</v>
      </c>
      <c r="L2300" s="4" t="s">
        <v>7829</v>
      </c>
    </row>
    <row r="2301">
      <c r="A2301" s="1" t="s">
        <v>12</v>
      </c>
      <c r="B2301" s="1" t="s">
        <v>7830</v>
      </c>
      <c r="C2301" s="1" t="s">
        <v>7751</v>
      </c>
      <c r="D2301" s="1" t="s">
        <v>7831</v>
      </c>
      <c r="E2301" s="2">
        <v>37736.0</v>
      </c>
      <c r="F2301" s="1" t="s">
        <v>16</v>
      </c>
      <c r="G2301" s="1" t="s">
        <v>25</v>
      </c>
      <c r="H2301" s="1" t="s">
        <v>18</v>
      </c>
      <c r="I2301" s="3">
        <f>+2250554356951</f>
        <v>2250554356951</v>
      </c>
      <c r="J2301" s="3">
        <f>+2250566016654</f>
        <v>2250566016654</v>
      </c>
      <c r="K2301" s="1" t="s">
        <v>19</v>
      </c>
      <c r="L2301" s="4" t="s">
        <v>7832</v>
      </c>
    </row>
    <row r="2302">
      <c r="A2302" s="1" t="s">
        <v>12</v>
      </c>
      <c r="B2302" s="1" t="s">
        <v>7833</v>
      </c>
      <c r="C2302" s="1" t="s">
        <v>7751</v>
      </c>
      <c r="D2302" s="1" t="s">
        <v>7834</v>
      </c>
      <c r="E2302" s="2">
        <v>38390.0</v>
      </c>
      <c r="F2302" s="1" t="s">
        <v>62</v>
      </c>
      <c r="G2302" s="1" t="s">
        <v>25</v>
      </c>
      <c r="H2302" s="1" t="s">
        <v>18</v>
      </c>
      <c r="I2302" s="3">
        <f>+2250596186891</f>
        <v>2250596186891</v>
      </c>
      <c r="J2302" s="3">
        <f>+2250506808004</f>
        <v>2250506808004</v>
      </c>
      <c r="K2302" s="1" t="s">
        <v>19</v>
      </c>
      <c r="L2302" s="4" t="s">
        <v>7835</v>
      </c>
    </row>
    <row r="2303">
      <c r="A2303" s="1" t="s">
        <v>12</v>
      </c>
      <c r="B2303" s="1" t="s">
        <v>7836</v>
      </c>
      <c r="C2303" s="1" t="s">
        <v>7751</v>
      </c>
      <c r="D2303" s="1" t="s">
        <v>7837</v>
      </c>
      <c r="E2303" s="5">
        <v>38638.0</v>
      </c>
      <c r="F2303" s="1" t="s">
        <v>53</v>
      </c>
      <c r="G2303" s="1" t="s">
        <v>25</v>
      </c>
      <c r="H2303" s="1" t="s">
        <v>18</v>
      </c>
      <c r="I2303" s="3">
        <f>+2250103921299</f>
        <v>2250103921299</v>
      </c>
      <c r="J2303" s="3">
        <f>+2250767483618</f>
        <v>2250767483618</v>
      </c>
      <c r="K2303" s="1" t="s">
        <v>19</v>
      </c>
      <c r="L2303" s="4" t="s">
        <v>7838</v>
      </c>
    </row>
    <row r="2304">
      <c r="A2304" s="1" t="s">
        <v>12</v>
      </c>
      <c r="B2304" s="1" t="s">
        <v>7839</v>
      </c>
      <c r="C2304" s="1" t="s">
        <v>7751</v>
      </c>
      <c r="D2304" s="1" t="s">
        <v>7840</v>
      </c>
      <c r="E2304" s="2">
        <v>38102.0</v>
      </c>
      <c r="F2304" s="1" t="s">
        <v>53</v>
      </c>
      <c r="G2304" s="1" t="s">
        <v>25</v>
      </c>
      <c r="H2304" s="1" t="s">
        <v>18</v>
      </c>
      <c r="I2304" s="3">
        <f>+2250143196443</f>
        <v>2250143196443</v>
      </c>
      <c r="J2304" s="3">
        <f>+2250709189401</f>
        <v>2250709189401</v>
      </c>
      <c r="K2304" s="1" t="s">
        <v>19</v>
      </c>
      <c r="L2304" s="4" t="s">
        <v>7841</v>
      </c>
    </row>
    <row r="2305">
      <c r="A2305" s="1" t="s">
        <v>12</v>
      </c>
      <c r="B2305" s="1" t="s">
        <v>7842</v>
      </c>
      <c r="C2305" s="1" t="s">
        <v>7751</v>
      </c>
      <c r="D2305" s="1" t="s">
        <v>7843</v>
      </c>
      <c r="E2305" s="2">
        <v>38017.0</v>
      </c>
      <c r="F2305" s="1" t="s">
        <v>110</v>
      </c>
      <c r="G2305" s="1" t="s">
        <v>82</v>
      </c>
      <c r="H2305" s="1" t="s">
        <v>18</v>
      </c>
      <c r="I2305" s="3">
        <f>+2250103341078</f>
        <v>2250103341078</v>
      </c>
      <c r="J2305" s="3">
        <f>+2250703913994</f>
        <v>2250703913994</v>
      </c>
      <c r="K2305" s="1" t="s">
        <v>19</v>
      </c>
      <c r="L2305" s="4" t="s">
        <v>7844</v>
      </c>
    </row>
    <row r="2306">
      <c r="A2306" s="1" t="s">
        <v>12</v>
      </c>
      <c r="B2306" s="1" t="s">
        <v>7845</v>
      </c>
      <c r="C2306" s="1" t="s">
        <v>7751</v>
      </c>
      <c r="D2306" s="1" t="s">
        <v>7846</v>
      </c>
      <c r="E2306" s="2">
        <v>38245.0</v>
      </c>
      <c r="F2306" s="1" t="s">
        <v>16</v>
      </c>
      <c r="G2306" s="1" t="s">
        <v>17</v>
      </c>
      <c r="H2306" s="1" t="s">
        <v>18</v>
      </c>
      <c r="I2306" s="3">
        <f>+2250788759708</f>
        <v>2250788759708</v>
      </c>
      <c r="J2306" s="3">
        <f>+2250708548158</f>
        <v>2250708548158</v>
      </c>
      <c r="K2306" s="1" t="s">
        <v>19</v>
      </c>
      <c r="L2306" s="4" t="s">
        <v>7847</v>
      </c>
    </row>
    <row r="2307">
      <c r="A2307" s="1" t="s">
        <v>12</v>
      </c>
      <c r="B2307" s="1" t="s">
        <v>7848</v>
      </c>
      <c r="C2307" s="1" t="s">
        <v>7751</v>
      </c>
      <c r="D2307" s="1" t="s">
        <v>7849</v>
      </c>
      <c r="E2307" s="5">
        <v>37971.0</v>
      </c>
      <c r="F2307" s="1" t="s">
        <v>62</v>
      </c>
      <c r="G2307" s="1" t="s">
        <v>17</v>
      </c>
      <c r="H2307" s="1" t="s">
        <v>18</v>
      </c>
      <c r="I2307" s="3">
        <f>+2250757698879</f>
        <v>2250757698879</v>
      </c>
      <c r="J2307" s="3">
        <f>+2250708833072</f>
        <v>2250708833072</v>
      </c>
      <c r="K2307" s="1" t="s">
        <v>19</v>
      </c>
      <c r="L2307" s="4" t="s">
        <v>7850</v>
      </c>
    </row>
    <row r="2308">
      <c r="A2308" s="1" t="s">
        <v>12</v>
      </c>
      <c r="B2308" s="1" t="s">
        <v>7851</v>
      </c>
      <c r="C2308" s="1" t="s">
        <v>7751</v>
      </c>
      <c r="D2308" s="1" t="s">
        <v>7852</v>
      </c>
      <c r="E2308" s="2">
        <v>38298.0</v>
      </c>
      <c r="F2308" s="1" t="s">
        <v>155</v>
      </c>
      <c r="G2308" s="1" t="s">
        <v>76</v>
      </c>
      <c r="H2308" s="1" t="s">
        <v>32</v>
      </c>
      <c r="I2308" s="3">
        <f>+2250747696522</f>
        <v>2250747696522</v>
      </c>
      <c r="J2308" s="3">
        <f>+2250747969060</f>
        <v>2250747969060</v>
      </c>
      <c r="K2308" s="1" t="s">
        <v>19</v>
      </c>
      <c r="L2308" s="4" t="s">
        <v>7853</v>
      </c>
    </row>
    <row r="2309">
      <c r="A2309" s="1" t="s">
        <v>12</v>
      </c>
      <c r="B2309" s="1" t="s">
        <v>7854</v>
      </c>
      <c r="C2309" s="1" t="s">
        <v>7751</v>
      </c>
      <c r="D2309" s="1" t="s">
        <v>7855</v>
      </c>
      <c r="E2309" s="2">
        <v>38069.0</v>
      </c>
      <c r="F2309" s="1" t="s">
        <v>53</v>
      </c>
      <c r="G2309" s="1" t="s">
        <v>25</v>
      </c>
      <c r="H2309" s="1" t="s">
        <v>18</v>
      </c>
      <c r="I2309" s="3">
        <f t="shared" ref="I2309:J2309" si="71">+2250143852142</f>
        <v>2250143852142</v>
      </c>
      <c r="J2309" s="3">
        <f t="shared" si="71"/>
        <v>2250143852142</v>
      </c>
      <c r="K2309" s="1" t="s">
        <v>19</v>
      </c>
      <c r="L2309" s="4" t="s">
        <v>7856</v>
      </c>
    </row>
    <row r="2310">
      <c r="A2310" s="1" t="s">
        <v>12</v>
      </c>
      <c r="B2310" s="1" t="s">
        <v>7857</v>
      </c>
      <c r="C2310" s="1" t="s">
        <v>7751</v>
      </c>
      <c r="D2310" s="1" t="s">
        <v>7858</v>
      </c>
      <c r="E2310" s="2">
        <v>36768.0</v>
      </c>
      <c r="F2310" s="1" t="s">
        <v>1219</v>
      </c>
      <c r="G2310" s="1" t="s">
        <v>38</v>
      </c>
      <c r="H2310" s="1" t="s">
        <v>39</v>
      </c>
      <c r="I2310" s="3">
        <f>+2250173634023</f>
        <v>2250173634023</v>
      </c>
      <c r="J2310" s="3">
        <f>+2250797282754</f>
        <v>2250797282754</v>
      </c>
      <c r="K2310" s="1" t="s">
        <v>19</v>
      </c>
      <c r="L2310" s="4" t="s">
        <v>7859</v>
      </c>
    </row>
    <row r="2311">
      <c r="A2311" s="1" t="s">
        <v>12</v>
      </c>
      <c r="B2311" s="1" t="s">
        <v>7860</v>
      </c>
      <c r="C2311" s="1" t="s">
        <v>7751</v>
      </c>
      <c r="D2311" s="1" t="s">
        <v>7861</v>
      </c>
      <c r="E2311" s="2">
        <v>38353.0</v>
      </c>
      <c r="F2311" s="1" t="s">
        <v>53</v>
      </c>
      <c r="G2311" s="1" t="s">
        <v>25</v>
      </c>
      <c r="H2311" s="1" t="s">
        <v>18</v>
      </c>
      <c r="I2311" s="3">
        <f>+2250789190959</f>
        <v>2250789190959</v>
      </c>
      <c r="J2311" s="3">
        <f>+2250759258149</f>
        <v>2250759258149</v>
      </c>
      <c r="K2311" s="1" t="s">
        <v>19</v>
      </c>
      <c r="L2311" s="4" t="s">
        <v>7862</v>
      </c>
    </row>
    <row r="2312">
      <c r="A2312" s="1" t="s">
        <v>12</v>
      </c>
      <c r="B2312" s="1" t="s">
        <v>7863</v>
      </c>
      <c r="C2312" s="1" t="s">
        <v>7751</v>
      </c>
      <c r="D2312" s="1" t="s">
        <v>7864</v>
      </c>
      <c r="E2312" s="2">
        <v>36896.0</v>
      </c>
      <c r="F2312" s="1" t="s">
        <v>53</v>
      </c>
      <c r="G2312" s="1" t="s">
        <v>17</v>
      </c>
      <c r="H2312" s="1" t="s">
        <v>18</v>
      </c>
      <c r="I2312" s="3">
        <f>+2250705038181</f>
        <v>2250705038181</v>
      </c>
      <c r="J2312" s="3">
        <f>+2250101482347</f>
        <v>2250101482347</v>
      </c>
      <c r="K2312" s="1" t="s">
        <v>19</v>
      </c>
      <c r="L2312" s="4" t="s">
        <v>7865</v>
      </c>
    </row>
    <row r="2313">
      <c r="A2313" s="1" t="s">
        <v>12</v>
      </c>
      <c r="B2313" s="1" t="s">
        <v>7866</v>
      </c>
      <c r="C2313" s="1" t="s">
        <v>7751</v>
      </c>
      <c r="D2313" s="1" t="s">
        <v>7867</v>
      </c>
      <c r="E2313" s="2">
        <v>38845.0</v>
      </c>
      <c r="F2313" s="1" t="s">
        <v>16</v>
      </c>
      <c r="G2313" s="1" t="s">
        <v>25</v>
      </c>
      <c r="H2313" s="1" t="s">
        <v>18</v>
      </c>
      <c r="I2313" s="3">
        <f>+2250595429064</f>
        <v>2250595429064</v>
      </c>
      <c r="J2313" s="3">
        <f>+2250747202503</f>
        <v>2250747202503</v>
      </c>
      <c r="K2313" s="1" t="s">
        <v>19</v>
      </c>
      <c r="L2313" s="4" t="s">
        <v>7868</v>
      </c>
    </row>
    <row r="2314">
      <c r="A2314" s="1" t="s">
        <v>12</v>
      </c>
      <c r="B2314" s="1" t="s">
        <v>7869</v>
      </c>
      <c r="C2314" s="1" t="s">
        <v>7751</v>
      </c>
      <c r="D2314" s="1" t="s">
        <v>7870</v>
      </c>
      <c r="E2314" s="2">
        <v>38172.0</v>
      </c>
      <c r="F2314" s="1" t="s">
        <v>75</v>
      </c>
      <c r="G2314" s="1" t="s">
        <v>31</v>
      </c>
      <c r="H2314" s="1" t="s">
        <v>32</v>
      </c>
      <c r="I2314" s="3">
        <f>+2250546085238</f>
        <v>2250546085238</v>
      </c>
      <c r="J2314" s="3">
        <f>+2250504093319</f>
        <v>2250504093319</v>
      </c>
      <c r="K2314" s="1" t="s">
        <v>19</v>
      </c>
      <c r="L2314" s="4" t="s">
        <v>7871</v>
      </c>
    </row>
    <row r="2315">
      <c r="A2315" s="1" t="s">
        <v>12</v>
      </c>
      <c r="B2315" s="1" t="s">
        <v>7872</v>
      </c>
      <c r="C2315" s="1" t="s">
        <v>7751</v>
      </c>
      <c r="D2315" s="1" t="s">
        <v>7873</v>
      </c>
      <c r="E2315" s="5">
        <v>37910.0</v>
      </c>
      <c r="F2315" s="1" t="s">
        <v>30</v>
      </c>
      <c r="G2315" s="1" t="s">
        <v>76</v>
      </c>
      <c r="H2315" s="1" t="s">
        <v>32</v>
      </c>
      <c r="I2315" s="3">
        <f>+2250769643319</f>
        <v>2250769643319</v>
      </c>
      <c r="J2315" s="3">
        <f>+2250779745613</f>
        <v>2250779745613</v>
      </c>
      <c r="K2315" s="1" t="s">
        <v>19</v>
      </c>
      <c r="L2315" s="4" t="s">
        <v>7874</v>
      </c>
    </row>
    <row r="2316">
      <c r="A2316" s="1" t="s">
        <v>12</v>
      </c>
      <c r="B2316" s="1" t="s">
        <v>7875</v>
      </c>
      <c r="C2316" s="1" t="s">
        <v>7751</v>
      </c>
      <c r="D2316" s="1" t="s">
        <v>7876</v>
      </c>
      <c r="E2316" s="5">
        <v>37576.0</v>
      </c>
      <c r="F2316" s="1" t="s">
        <v>155</v>
      </c>
      <c r="G2316" s="1" t="s">
        <v>76</v>
      </c>
      <c r="H2316" s="1" t="s">
        <v>32</v>
      </c>
      <c r="I2316" s="3">
        <f>+2250759416066</f>
        <v>2250759416066</v>
      </c>
      <c r="J2316" s="3">
        <f>+2250748247517</f>
        <v>2250748247517</v>
      </c>
      <c r="K2316" s="1" t="s">
        <v>19</v>
      </c>
      <c r="L2316" s="4" t="s">
        <v>7877</v>
      </c>
    </row>
    <row r="2317">
      <c r="A2317" s="1" t="s">
        <v>12</v>
      </c>
      <c r="B2317" s="1" t="s">
        <v>7878</v>
      </c>
      <c r="C2317" s="1" t="s">
        <v>7751</v>
      </c>
      <c r="D2317" s="1" t="s">
        <v>7879</v>
      </c>
      <c r="E2317" s="2">
        <v>37630.0</v>
      </c>
      <c r="F2317" s="1" t="s">
        <v>101</v>
      </c>
      <c r="G2317" s="1" t="s">
        <v>31</v>
      </c>
      <c r="H2317" s="1" t="s">
        <v>32</v>
      </c>
      <c r="I2317" s="3">
        <f>+2250708444676</f>
        <v>2250708444676</v>
      </c>
      <c r="J2317" s="3">
        <f>+2250707306607</f>
        <v>2250707306607</v>
      </c>
      <c r="K2317" s="1" t="s">
        <v>19</v>
      </c>
      <c r="L2317" s="4" t="s">
        <v>7880</v>
      </c>
    </row>
    <row r="2318">
      <c r="A2318" s="1" t="s">
        <v>12</v>
      </c>
      <c r="B2318" s="1" t="s">
        <v>7881</v>
      </c>
      <c r="C2318" s="1" t="s">
        <v>7751</v>
      </c>
      <c r="D2318" s="1" t="s">
        <v>7882</v>
      </c>
      <c r="E2318" s="2">
        <v>37890.0</v>
      </c>
      <c r="F2318" s="1" t="s">
        <v>147</v>
      </c>
      <c r="G2318" s="1" t="s">
        <v>82</v>
      </c>
      <c r="H2318" s="1" t="s">
        <v>18</v>
      </c>
      <c r="I2318" s="3">
        <f>+2250797999893</f>
        <v>2250797999893</v>
      </c>
      <c r="J2318" s="3">
        <f>+2250748826282</f>
        <v>2250748826282</v>
      </c>
      <c r="K2318" s="1" t="s">
        <v>19</v>
      </c>
      <c r="L2318" s="4" t="s">
        <v>7883</v>
      </c>
    </row>
    <row r="2319">
      <c r="A2319" s="1" t="s">
        <v>12</v>
      </c>
      <c r="B2319" s="1" t="s">
        <v>7884</v>
      </c>
      <c r="C2319" s="1" t="s">
        <v>7751</v>
      </c>
      <c r="D2319" s="1" t="s">
        <v>7885</v>
      </c>
      <c r="E2319" s="2">
        <v>38514.0</v>
      </c>
      <c r="F2319" s="1" t="s">
        <v>62</v>
      </c>
      <c r="G2319" s="1" t="s">
        <v>25</v>
      </c>
      <c r="H2319" s="1" t="s">
        <v>18</v>
      </c>
      <c r="I2319" s="3">
        <f>+2250707496675</f>
        <v>2250707496675</v>
      </c>
      <c r="J2319" s="3">
        <f>+2250102798584</f>
        <v>2250102798584</v>
      </c>
      <c r="K2319" s="1" t="s">
        <v>19</v>
      </c>
      <c r="L2319" s="4" t="s">
        <v>7886</v>
      </c>
    </row>
    <row r="2320">
      <c r="A2320" s="1" t="s">
        <v>12</v>
      </c>
      <c r="B2320" s="1" t="s">
        <v>7887</v>
      </c>
      <c r="C2320" s="1" t="s">
        <v>7751</v>
      </c>
      <c r="D2320" s="1" t="s">
        <v>7888</v>
      </c>
      <c r="E2320" s="5">
        <v>38278.0</v>
      </c>
      <c r="F2320" s="1" t="s">
        <v>92</v>
      </c>
      <c r="G2320" s="1" t="s">
        <v>31</v>
      </c>
      <c r="H2320" s="1" t="s">
        <v>32</v>
      </c>
      <c r="I2320" s="3">
        <f>+2250160149550</f>
        <v>2250160149550</v>
      </c>
      <c r="J2320" s="3">
        <f>+2250140379444</f>
        <v>2250140379444</v>
      </c>
      <c r="K2320" s="1" t="s">
        <v>19</v>
      </c>
      <c r="L2320" s="4" t="s">
        <v>7889</v>
      </c>
    </row>
    <row r="2321">
      <c r="A2321" s="1" t="s">
        <v>12</v>
      </c>
      <c r="B2321" s="1" t="s">
        <v>7890</v>
      </c>
      <c r="C2321" s="1" t="s">
        <v>7751</v>
      </c>
      <c r="D2321" s="1" t="s">
        <v>7891</v>
      </c>
      <c r="E2321" s="2">
        <v>37597.0</v>
      </c>
      <c r="F2321" s="1" t="s">
        <v>62</v>
      </c>
      <c r="G2321" s="1" t="s">
        <v>17</v>
      </c>
      <c r="H2321" s="1" t="s">
        <v>18</v>
      </c>
      <c r="I2321" s="3">
        <f>+2250777776155</f>
        <v>2250777776155</v>
      </c>
      <c r="J2321" s="3">
        <f>+2250141207454</f>
        <v>2250141207454</v>
      </c>
      <c r="K2321" s="1" t="s">
        <v>19</v>
      </c>
      <c r="L2321" s="4" t="s">
        <v>7892</v>
      </c>
    </row>
    <row r="2322">
      <c r="A2322" s="1" t="s">
        <v>12</v>
      </c>
      <c r="B2322" s="1" t="s">
        <v>7893</v>
      </c>
      <c r="C2322" s="1" t="s">
        <v>7751</v>
      </c>
      <c r="D2322" s="1" t="s">
        <v>7894</v>
      </c>
      <c r="E2322" s="2">
        <v>36892.0</v>
      </c>
      <c r="F2322" s="1" t="s">
        <v>101</v>
      </c>
      <c r="G2322" s="1" t="s">
        <v>31</v>
      </c>
      <c r="H2322" s="1" t="s">
        <v>32</v>
      </c>
      <c r="I2322" s="3">
        <f>+2250546735641</f>
        <v>2250546735641</v>
      </c>
      <c r="J2322" s="3">
        <f>+2250707642026</f>
        <v>2250707642026</v>
      </c>
      <c r="K2322" s="1" t="s">
        <v>19</v>
      </c>
      <c r="L2322" s="4" t="s">
        <v>7895</v>
      </c>
    </row>
    <row r="2323">
      <c r="A2323" s="1" t="s">
        <v>12</v>
      </c>
      <c r="B2323" s="1" t="s">
        <v>7896</v>
      </c>
      <c r="C2323" s="1" t="s">
        <v>7751</v>
      </c>
      <c r="D2323" s="1" t="s">
        <v>7897</v>
      </c>
      <c r="E2323" s="2">
        <v>36892.0</v>
      </c>
      <c r="F2323" s="1" t="s">
        <v>62</v>
      </c>
      <c r="G2323" s="1" t="s">
        <v>25</v>
      </c>
      <c r="H2323" s="1" t="s">
        <v>18</v>
      </c>
      <c r="I2323" s="3">
        <f>+2250758537552</f>
        <v>2250758537552</v>
      </c>
      <c r="J2323" s="3">
        <f>+2250709203353</f>
        <v>2250709203353</v>
      </c>
      <c r="K2323" s="1" t="s">
        <v>19</v>
      </c>
      <c r="L2323" s="4" t="s">
        <v>7898</v>
      </c>
    </row>
    <row r="2324">
      <c r="A2324" s="1" t="s">
        <v>12</v>
      </c>
      <c r="B2324" s="1" t="s">
        <v>7899</v>
      </c>
      <c r="C2324" s="1" t="s">
        <v>7751</v>
      </c>
      <c r="D2324" s="1" t="s">
        <v>7900</v>
      </c>
      <c r="E2324" s="5">
        <v>37238.0</v>
      </c>
      <c r="F2324" s="1" t="s">
        <v>48</v>
      </c>
      <c r="G2324" s="1" t="s">
        <v>82</v>
      </c>
      <c r="H2324" s="1" t="s">
        <v>18</v>
      </c>
      <c r="I2324" s="3">
        <f>+2250789816753</f>
        <v>2250789816753</v>
      </c>
      <c r="J2324" s="3">
        <f>+2250142560294</f>
        <v>2250142560294</v>
      </c>
      <c r="K2324" s="1" t="s">
        <v>19</v>
      </c>
      <c r="L2324" s="4" t="s">
        <v>7901</v>
      </c>
    </row>
    <row r="2325">
      <c r="A2325" s="1" t="s">
        <v>12</v>
      </c>
      <c r="B2325" s="1" t="s">
        <v>7902</v>
      </c>
      <c r="C2325" s="1" t="s">
        <v>7751</v>
      </c>
      <c r="D2325" s="1" t="s">
        <v>7903</v>
      </c>
      <c r="E2325" s="2">
        <v>38092.0</v>
      </c>
      <c r="F2325" s="1" t="s">
        <v>155</v>
      </c>
      <c r="G2325" s="1" t="s">
        <v>31</v>
      </c>
      <c r="H2325" s="1" t="s">
        <v>32</v>
      </c>
      <c r="I2325" s="3">
        <f>+2250544480188</f>
        <v>2250544480188</v>
      </c>
      <c r="J2325" s="3">
        <f>+2250707529702</f>
        <v>2250707529702</v>
      </c>
      <c r="K2325" s="1" t="s">
        <v>19</v>
      </c>
      <c r="L2325" s="4" t="s">
        <v>7904</v>
      </c>
    </row>
    <row r="2326">
      <c r="A2326" s="1" t="s">
        <v>12</v>
      </c>
      <c r="B2326" s="1" t="s">
        <v>7905</v>
      </c>
      <c r="C2326" s="1" t="s">
        <v>7751</v>
      </c>
      <c r="D2326" s="1" t="s">
        <v>7906</v>
      </c>
      <c r="E2326" s="2">
        <v>37113.0</v>
      </c>
      <c r="F2326" s="1" t="s">
        <v>30</v>
      </c>
      <c r="G2326" s="1" t="s">
        <v>31</v>
      </c>
      <c r="H2326" s="1" t="s">
        <v>32</v>
      </c>
      <c r="I2326" s="3">
        <f>+2250546011907</f>
        <v>2250546011907</v>
      </c>
      <c r="J2326" s="3">
        <f>+2250708498912</f>
        <v>2250708498912</v>
      </c>
      <c r="K2326" s="1" t="s">
        <v>19</v>
      </c>
      <c r="L2326" s="4" t="s">
        <v>7907</v>
      </c>
    </row>
    <row r="2327">
      <c r="A2327" s="1" t="s">
        <v>12</v>
      </c>
      <c r="B2327" s="1" t="s">
        <v>7908</v>
      </c>
      <c r="C2327" s="1" t="s">
        <v>7751</v>
      </c>
      <c r="D2327" s="1" t="s">
        <v>7909</v>
      </c>
      <c r="E2327" s="5">
        <v>37571.0</v>
      </c>
      <c r="F2327" s="1" t="s">
        <v>138</v>
      </c>
      <c r="G2327" s="1" t="s">
        <v>76</v>
      </c>
      <c r="H2327" s="1" t="s">
        <v>32</v>
      </c>
      <c r="I2327" s="3">
        <f>+2250504688426</f>
        <v>2250504688426</v>
      </c>
      <c r="J2327" s="3">
        <f>+2250747747889</f>
        <v>2250747747889</v>
      </c>
      <c r="K2327" s="1" t="s">
        <v>19</v>
      </c>
      <c r="L2327" s="4" t="s">
        <v>7910</v>
      </c>
    </row>
    <row r="2328">
      <c r="A2328" s="1" t="s">
        <v>12</v>
      </c>
      <c r="B2328" s="1" t="s">
        <v>7911</v>
      </c>
      <c r="C2328" s="1" t="s">
        <v>7751</v>
      </c>
      <c r="D2328" s="1" t="s">
        <v>7912</v>
      </c>
      <c r="E2328" s="2">
        <v>37411.0</v>
      </c>
      <c r="F2328" s="1" t="s">
        <v>16</v>
      </c>
      <c r="G2328" s="1" t="s">
        <v>17</v>
      </c>
      <c r="H2328" s="1" t="s">
        <v>18</v>
      </c>
      <c r="I2328" s="3">
        <f>+2250777992734</f>
        <v>2250777992734</v>
      </c>
      <c r="J2328" s="3">
        <f>+2250769172856</f>
        <v>2250769172856</v>
      </c>
      <c r="K2328" s="1" t="s">
        <v>19</v>
      </c>
      <c r="L2328" s="4" t="s">
        <v>7913</v>
      </c>
    </row>
    <row r="2329">
      <c r="A2329" s="1" t="s">
        <v>12</v>
      </c>
      <c r="B2329" s="1" t="s">
        <v>7914</v>
      </c>
      <c r="C2329" s="1" t="s">
        <v>7751</v>
      </c>
      <c r="D2329" s="1" t="s">
        <v>7915</v>
      </c>
      <c r="E2329" s="2">
        <v>38443.0</v>
      </c>
      <c r="F2329" s="1" t="s">
        <v>62</v>
      </c>
      <c r="G2329" s="1" t="s">
        <v>25</v>
      </c>
      <c r="H2329" s="1" t="s">
        <v>18</v>
      </c>
      <c r="I2329" s="3">
        <f>+2250777149037</f>
        <v>2250777149037</v>
      </c>
      <c r="J2329" s="3">
        <f>+2250709256411</f>
        <v>2250709256411</v>
      </c>
      <c r="K2329" s="1" t="s">
        <v>19</v>
      </c>
      <c r="L2329" s="4" t="s">
        <v>7916</v>
      </c>
    </row>
    <row r="2330">
      <c r="A2330" s="1" t="s">
        <v>12</v>
      </c>
      <c r="B2330" s="1" t="s">
        <v>7917</v>
      </c>
      <c r="C2330" s="1" t="s">
        <v>7751</v>
      </c>
      <c r="D2330" s="1" t="s">
        <v>7918</v>
      </c>
      <c r="E2330" s="5">
        <v>37237.0</v>
      </c>
      <c r="F2330" s="1" t="s">
        <v>24</v>
      </c>
      <c r="G2330" s="1" t="s">
        <v>17</v>
      </c>
      <c r="H2330" s="1" t="s">
        <v>18</v>
      </c>
      <c r="I2330" s="3">
        <f>+2250102795975</f>
        <v>2250102795975</v>
      </c>
      <c r="J2330" s="3">
        <f>+2250141632063</f>
        <v>2250141632063</v>
      </c>
      <c r="K2330" s="1" t="s">
        <v>19</v>
      </c>
      <c r="L2330" s="4" t="s">
        <v>7919</v>
      </c>
    </row>
    <row r="2331">
      <c r="A2331" s="1" t="s">
        <v>12</v>
      </c>
      <c r="B2331" s="1" t="s">
        <v>7920</v>
      </c>
      <c r="C2331" s="1" t="s">
        <v>7751</v>
      </c>
      <c r="D2331" s="1" t="s">
        <v>7921</v>
      </c>
      <c r="E2331" s="2">
        <v>36892.0</v>
      </c>
      <c r="F2331" s="1" t="s">
        <v>62</v>
      </c>
      <c r="G2331" s="1" t="s">
        <v>25</v>
      </c>
      <c r="H2331" s="1" t="s">
        <v>18</v>
      </c>
      <c r="I2331" s="3">
        <f>+2250789805715</f>
        <v>2250789805715</v>
      </c>
      <c r="J2331" s="3">
        <f>+2250103133360</f>
        <v>2250103133360</v>
      </c>
      <c r="K2331" s="1" t="s">
        <v>19</v>
      </c>
      <c r="L2331" s="4" t="s">
        <v>7922</v>
      </c>
    </row>
    <row r="2332">
      <c r="A2332" s="1" t="s">
        <v>12</v>
      </c>
      <c r="B2332" s="1" t="s">
        <v>7923</v>
      </c>
      <c r="C2332" s="1" t="s">
        <v>7751</v>
      </c>
      <c r="D2332" s="1" t="s">
        <v>7924</v>
      </c>
      <c r="E2332" s="5">
        <v>37979.0</v>
      </c>
      <c r="F2332" s="1" t="s">
        <v>48</v>
      </c>
      <c r="G2332" s="1" t="s">
        <v>31</v>
      </c>
      <c r="H2332" s="1" t="s">
        <v>32</v>
      </c>
      <c r="I2332" s="3">
        <f>+2250101085131</f>
        <v>2250101085131</v>
      </c>
      <c r="J2332" s="3">
        <f>+2250707215251</f>
        <v>2250707215251</v>
      </c>
      <c r="K2332" s="1" t="s">
        <v>19</v>
      </c>
      <c r="L2332" s="4" t="s">
        <v>7925</v>
      </c>
    </row>
    <row r="2333">
      <c r="A2333" s="1" t="s">
        <v>12</v>
      </c>
      <c r="B2333" s="1" t="s">
        <v>7926</v>
      </c>
      <c r="C2333" s="1" t="s">
        <v>7751</v>
      </c>
      <c r="D2333" s="1" t="s">
        <v>7927</v>
      </c>
      <c r="E2333" s="2">
        <v>37486.0</v>
      </c>
      <c r="F2333" s="1" t="s">
        <v>62</v>
      </c>
      <c r="G2333" s="1" t="s">
        <v>17</v>
      </c>
      <c r="H2333" s="1" t="s">
        <v>18</v>
      </c>
      <c r="I2333" s="3">
        <f>+2250788677935</f>
        <v>2250788677935</v>
      </c>
      <c r="J2333" s="3">
        <f>+2250708425665</f>
        <v>2250708425665</v>
      </c>
      <c r="K2333" s="1" t="s">
        <v>19</v>
      </c>
      <c r="L2333" s="4" t="s">
        <v>7928</v>
      </c>
    </row>
    <row r="2334">
      <c r="A2334" s="1" t="s">
        <v>12</v>
      </c>
      <c r="B2334" s="1" t="s">
        <v>7929</v>
      </c>
      <c r="C2334" s="1" t="s">
        <v>7751</v>
      </c>
      <c r="D2334" s="1" t="s">
        <v>7930</v>
      </c>
      <c r="E2334" s="2">
        <v>36325.0</v>
      </c>
      <c r="F2334" s="1" t="s">
        <v>62</v>
      </c>
      <c r="G2334" s="1" t="s">
        <v>25</v>
      </c>
      <c r="H2334" s="1" t="s">
        <v>18</v>
      </c>
      <c r="I2334" s="3">
        <f>+2250502284845</f>
        <v>2250502284845</v>
      </c>
      <c r="J2334" s="3">
        <f>+2250708557965</f>
        <v>2250708557965</v>
      </c>
      <c r="K2334" s="1" t="s">
        <v>19</v>
      </c>
      <c r="L2334" s="4" t="s">
        <v>7931</v>
      </c>
    </row>
    <row r="2335">
      <c r="A2335" s="1" t="s">
        <v>12</v>
      </c>
      <c r="B2335" s="1" t="s">
        <v>7932</v>
      </c>
      <c r="C2335" s="1" t="s">
        <v>7751</v>
      </c>
      <c r="D2335" s="1" t="s">
        <v>7933</v>
      </c>
      <c r="E2335" s="5">
        <v>37978.0</v>
      </c>
      <c r="F2335" s="1" t="s">
        <v>16</v>
      </c>
      <c r="G2335" s="1" t="s">
        <v>17</v>
      </c>
      <c r="H2335" s="1" t="s">
        <v>18</v>
      </c>
      <c r="I2335" s="3">
        <f>+2250503402971</f>
        <v>2250503402971</v>
      </c>
      <c r="J2335" s="3">
        <f>+2250747475929</f>
        <v>2250747475929</v>
      </c>
      <c r="K2335" s="1" t="s">
        <v>19</v>
      </c>
      <c r="L2335" s="4" t="s">
        <v>7934</v>
      </c>
    </row>
    <row r="2336">
      <c r="A2336" s="1" t="s">
        <v>12</v>
      </c>
      <c r="B2336" s="1" t="s">
        <v>7935</v>
      </c>
      <c r="C2336" s="1" t="s">
        <v>7751</v>
      </c>
      <c r="D2336" s="1" t="s">
        <v>7936</v>
      </c>
      <c r="E2336" s="2">
        <v>36711.0</v>
      </c>
      <c r="F2336" s="1" t="s">
        <v>48</v>
      </c>
      <c r="G2336" s="1" t="s">
        <v>31</v>
      </c>
      <c r="H2336" s="1" t="s">
        <v>32</v>
      </c>
      <c r="I2336" s="3">
        <f>+2250797195927</f>
        <v>2250797195927</v>
      </c>
      <c r="J2336" s="3">
        <f>+2250102715715</f>
        <v>2250102715715</v>
      </c>
      <c r="K2336" s="1" t="s">
        <v>19</v>
      </c>
      <c r="L2336" s="4" t="s">
        <v>7937</v>
      </c>
    </row>
    <row r="2337">
      <c r="A2337" s="1" t="s">
        <v>12</v>
      </c>
      <c r="B2337" s="1" t="s">
        <v>7938</v>
      </c>
      <c r="C2337" s="1" t="s">
        <v>7751</v>
      </c>
      <c r="D2337" s="1" t="s">
        <v>7939</v>
      </c>
      <c r="E2337" s="5">
        <v>38301.0</v>
      </c>
      <c r="F2337" s="1" t="s">
        <v>62</v>
      </c>
      <c r="G2337" s="1" t="s">
        <v>25</v>
      </c>
      <c r="H2337" s="1" t="s">
        <v>18</v>
      </c>
      <c r="I2337" s="3">
        <f>+2250596584422</f>
        <v>2250596584422</v>
      </c>
      <c r="J2337" s="3">
        <f>+2250708111151</f>
        <v>2250708111151</v>
      </c>
      <c r="K2337" s="1" t="s">
        <v>19</v>
      </c>
      <c r="L2337" s="4" t="s">
        <v>7940</v>
      </c>
    </row>
    <row r="2338">
      <c r="A2338" s="1" t="s">
        <v>12</v>
      </c>
      <c r="B2338" s="1" t="s">
        <v>7941</v>
      </c>
      <c r="C2338" s="1" t="s">
        <v>7751</v>
      </c>
      <c r="D2338" s="1" t="s">
        <v>7942</v>
      </c>
      <c r="E2338" s="2">
        <v>38428.0</v>
      </c>
      <c r="F2338" s="1" t="s">
        <v>24</v>
      </c>
      <c r="G2338" s="1" t="s">
        <v>17</v>
      </c>
      <c r="H2338" s="1" t="s">
        <v>18</v>
      </c>
      <c r="I2338" s="3">
        <f>+2250502613079</f>
        <v>2250502613079</v>
      </c>
      <c r="J2338" s="3">
        <f>+2250707702401</f>
        <v>2250707702401</v>
      </c>
      <c r="K2338" s="1" t="s">
        <v>19</v>
      </c>
      <c r="L2338" s="4" t="s">
        <v>7943</v>
      </c>
    </row>
    <row r="2339">
      <c r="A2339" s="1" t="s">
        <v>12</v>
      </c>
      <c r="B2339" s="1" t="s">
        <v>7944</v>
      </c>
      <c r="C2339" s="1" t="s">
        <v>7751</v>
      </c>
      <c r="D2339" s="1" t="s">
        <v>7945</v>
      </c>
      <c r="E2339" s="5">
        <v>37911.0</v>
      </c>
      <c r="F2339" s="1" t="s">
        <v>16</v>
      </c>
      <c r="G2339" s="1" t="s">
        <v>25</v>
      </c>
      <c r="H2339" s="1" t="s">
        <v>18</v>
      </c>
      <c r="I2339" s="3">
        <f>+2250787937980</f>
        <v>2250787937980</v>
      </c>
      <c r="J2339" s="3">
        <f>+2250788230061</f>
        <v>2250788230061</v>
      </c>
      <c r="K2339" s="1" t="s">
        <v>19</v>
      </c>
      <c r="L2339" s="4" t="s">
        <v>7946</v>
      </c>
    </row>
    <row r="2340">
      <c r="A2340" s="1" t="s">
        <v>12</v>
      </c>
      <c r="B2340" s="1" t="s">
        <v>7947</v>
      </c>
      <c r="C2340" s="1" t="s">
        <v>7751</v>
      </c>
      <c r="D2340" s="1" t="s">
        <v>7948</v>
      </c>
      <c r="E2340" s="2">
        <v>37326.0</v>
      </c>
      <c r="F2340" s="1" t="s">
        <v>155</v>
      </c>
      <c r="G2340" s="1" t="s">
        <v>76</v>
      </c>
      <c r="H2340" s="1" t="s">
        <v>32</v>
      </c>
      <c r="I2340" s="3">
        <f>+2250141637629</f>
        <v>2250141637629</v>
      </c>
      <c r="J2340" s="3">
        <f>+2250747225301</f>
        <v>2250747225301</v>
      </c>
      <c r="K2340" s="1" t="s">
        <v>19</v>
      </c>
      <c r="L2340" s="4" t="s">
        <v>7949</v>
      </c>
    </row>
    <row r="2341">
      <c r="A2341" s="1" t="s">
        <v>12</v>
      </c>
      <c r="B2341" s="1" t="s">
        <v>7950</v>
      </c>
      <c r="C2341" s="1" t="s">
        <v>7751</v>
      </c>
      <c r="D2341" s="1" t="s">
        <v>7951</v>
      </c>
      <c r="E2341" s="5">
        <v>37943.0</v>
      </c>
      <c r="F2341" s="1" t="s">
        <v>62</v>
      </c>
      <c r="G2341" s="1" t="s">
        <v>17</v>
      </c>
      <c r="H2341" s="1" t="s">
        <v>18</v>
      </c>
      <c r="I2341" s="3">
        <f>+2250505615838</f>
        <v>2250505615838</v>
      </c>
      <c r="J2341" s="3">
        <f>+2250555494166</f>
        <v>2250555494166</v>
      </c>
      <c r="K2341" s="1" t="s">
        <v>19</v>
      </c>
      <c r="L2341" s="4" t="s">
        <v>7952</v>
      </c>
    </row>
    <row r="2342">
      <c r="A2342" s="1" t="s">
        <v>12</v>
      </c>
      <c r="B2342" s="1" t="s">
        <v>7953</v>
      </c>
      <c r="C2342" s="1" t="s">
        <v>7751</v>
      </c>
      <c r="D2342" s="1" t="s">
        <v>7954</v>
      </c>
      <c r="E2342" s="2">
        <v>38180.0</v>
      </c>
      <c r="F2342" s="1" t="s">
        <v>30</v>
      </c>
      <c r="G2342" s="1" t="s">
        <v>76</v>
      </c>
      <c r="H2342" s="1" t="s">
        <v>32</v>
      </c>
      <c r="I2342" s="3">
        <f>+2250767391518</f>
        <v>2250767391518</v>
      </c>
      <c r="J2342" s="3">
        <f>+2250101146312</f>
        <v>2250101146312</v>
      </c>
      <c r="K2342" s="1" t="s">
        <v>19</v>
      </c>
      <c r="L2342" s="4" t="s">
        <v>7955</v>
      </c>
    </row>
    <row r="2343">
      <c r="A2343" s="1" t="s">
        <v>12</v>
      </c>
      <c r="B2343" s="1" t="s">
        <v>7956</v>
      </c>
      <c r="C2343" s="1" t="s">
        <v>7751</v>
      </c>
      <c r="D2343" s="1" t="s">
        <v>7957</v>
      </c>
      <c r="E2343" s="2">
        <v>38093.0</v>
      </c>
      <c r="F2343" s="1" t="s">
        <v>101</v>
      </c>
      <c r="G2343" s="1" t="s">
        <v>76</v>
      </c>
      <c r="H2343" s="1" t="s">
        <v>32</v>
      </c>
      <c r="I2343" s="3">
        <f>+2250575221495</f>
        <v>2250575221495</v>
      </c>
      <c r="J2343" s="3">
        <f>+2250709799432</f>
        <v>2250709799432</v>
      </c>
      <c r="K2343" s="1" t="s">
        <v>19</v>
      </c>
      <c r="L2343" s="4" t="s">
        <v>7958</v>
      </c>
    </row>
    <row r="2344">
      <c r="A2344" s="1" t="s">
        <v>12</v>
      </c>
      <c r="B2344" s="1" t="s">
        <v>7959</v>
      </c>
      <c r="C2344" s="1" t="s">
        <v>7751</v>
      </c>
      <c r="D2344" s="1" t="s">
        <v>7960</v>
      </c>
      <c r="E2344" s="2">
        <v>37827.0</v>
      </c>
      <c r="F2344" s="1" t="s">
        <v>155</v>
      </c>
      <c r="G2344" s="1" t="s">
        <v>31</v>
      </c>
      <c r="H2344" s="1" t="s">
        <v>32</v>
      </c>
      <c r="I2344" s="3">
        <f>+2250747190108</f>
        <v>2250747190108</v>
      </c>
      <c r="J2344" s="3">
        <f>+2250707612122</f>
        <v>2250707612122</v>
      </c>
      <c r="K2344" s="1" t="s">
        <v>19</v>
      </c>
      <c r="L2344" s="4" t="s">
        <v>7961</v>
      </c>
    </row>
    <row r="2345">
      <c r="A2345" s="1" t="s">
        <v>12</v>
      </c>
      <c r="B2345" s="1" t="s">
        <v>7962</v>
      </c>
      <c r="C2345" s="1" t="s">
        <v>7751</v>
      </c>
      <c r="D2345" s="1" t="s">
        <v>7963</v>
      </c>
      <c r="E2345" s="2">
        <v>37808.0</v>
      </c>
      <c r="F2345" s="1" t="s">
        <v>62</v>
      </c>
      <c r="G2345" s="1" t="s">
        <v>17</v>
      </c>
      <c r="H2345" s="1" t="s">
        <v>18</v>
      </c>
      <c r="I2345" s="3">
        <f>+2250749860058</f>
        <v>2250749860058</v>
      </c>
      <c r="J2345" s="3">
        <f>+2250708514248</f>
        <v>2250708514248</v>
      </c>
      <c r="K2345" s="1" t="s">
        <v>19</v>
      </c>
      <c r="L2345" s="4" t="s">
        <v>7964</v>
      </c>
    </row>
    <row r="2346">
      <c r="A2346" s="1" t="s">
        <v>12</v>
      </c>
      <c r="B2346" s="1" t="s">
        <v>7965</v>
      </c>
      <c r="C2346" s="1" t="s">
        <v>7751</v>
      </c>
      <c r="D2346" s="1" t="s">
        <v>7966</v>
      </c>
      <c r="E2346" s="2">
        <v>37764.0</v>
      </c>
      <c r="F2346" s="1" t="s">
        <v>138</v>
      </c>
      <c r="G2346" s="1" t="s">
        <v>76</v>
      </c>
      <c r="H2346" s="1" t="s">
        <v>32</v>
      </c>
      <c r="I2346" s="3">
        <f>+2250711357186</f>
        <v>2250711357186</v>
      </c>
      <c r="J2346" s="3">
        <f>+2250505060266</f>
        <v>2250505060266</v>
      </c>
      <c r="K2346" s="1" t="s">
        <v>19</v>
      </c>
      <c r="L2346" s="4" t="s">
        <v>7967</v>
      </c>
    </row>
    <row r="2347">
      <c r="A2347" s="1" t="s">
        <v>12</v>
      </c>
      <c r="B2347" s="1" t="s">
        <v>7968</v>
      </c>
      <c r="C2347" s="1" t="s">
        <v>7751</v>
      </c>
      <c r="D2347" s="1" t="s">
        <v>7969</v>
      </c>
      <c r="E2347" s="2">
        <v>38294.0</v>
      </c>
      <c r="F2347" s="1" t="s">
        <v>155</v>
      </c>
      <c r="G2347" s="1" t="s">
        <v>76</v>
      </c>
      <c r="H2347" s="1" t="s">
        <v>32</v>
      </c>
      <c r="I2347" s="3">
        <f>+2250506179604</f>
        <v>2250506179604</v>
      </c>
      <c r="J2347" s="3">
        <f>+2250707474709</f>
        <v>2250707474709</v>
      </c>
      <c r="K2347" s="1" t="s">
        <v>19</v>
      </c>
      <c r="L2347" s="4" t="s">
        <v>7970</v>
      </c>
    </row>
    <row r="2348">
      <c r="A2348" s="1" t="s">
        <v>12</v>
      </c>
      <c r="B2348" s="1" t="s">
        <v>7971</v>
      </c>
      <c r="C2348" s="1" t="s">
        <v>7751</v>
      </c>
      <c r="D2348" s="1" t="s">
        <v>7972</v>
      </c>
      <c r="E2348" s="2">
        <v>37932.0</v>
      </c>
      <c r="F2348" s="1" t="s">
        <v>16</v>
      </c>
      <c r="G2348" s="1" t="s">
        <v>25</v>
      </c>
      <c r="H2348" s="1" t="s">
        <v>18</v>
      </c>
      <c r="I2348" s="3">
        <f>+2250798822213</f>
        <v>2250798822213</v>
      </c>
      <c r="J2348" s="3">
        <f>+2250152130323</f>
        <v>2250152130323</v>
      </c>
      <c r="K2348" s="1" t="s">
        <v>19</v>
      </c>
      <c r="L2348" s="4" t="s">
        <v>7973</v>
      </c>
    </row>
    <row r="2349">
      <c r="A2349" s="1" t="s">
        <v>12</v>
      </c>
      <c r="B2349" s="1" t="s">
        <v>7974</v>
      </c>
      <c r="C2349" s="1" t="s">
        <v>7751</v>
      </c>
      <c r="D2349" s="1" t="s">
        <v>7975</v>
      </c>
      <c r="E2349" s="2">
        <v>37072.0</v>
      </c>
      <c r="F2349" s="1" t="s">
        <v>167</v>
      </c>
      <c r="G2349" s="1" t="s">
        <v>17</v>
      </c>
      <c r="H2349" s="1" t="s">
        <v>18</v>
      </c>
      <c r="I2349" s="3">
        <f>+2250565862006</f>
        <v>2250565862006</v>
      </c>
      <c r="J2349" s="3">
        <f>+2250749631030</f>
        <v>2250749631030</v>
      </c>
      <c r="K2349" s="1" t="s">
        <v>19</v>
      </c>
      <c r="L2349" s="4" t="s">
        <v>7976</v>
      </c>
    </row>
    <row r="2350">
      <c r="A2350" s="1" t="s">
        <v>12</v>
      </c>
      <c r="B2350" s="1" t="s">
        <v>7977</v>
      </c>
      <c r="C2350" s="1" t="s">
        <v>7751</v>
      </c>
      <c r="D2350" s="1" t="s">
        <v>7978</v>
      </c>
      <c r="E2350" s="2">
        <v>38097.0</v>
      </c>
      <c r="F2350" s="1" t="s">
        <v>62</v>
      </c>
      <c r="G2350" s="1" t="s">
        <v>17</v>
      </c>
      <c r="H2350" s="1" t="s">
        <v>18</v>
      </c>
      <c r="I2350" s="3">
        <f>+2250566840544</f>
        <v>2250566840544</v>
      </c>
      <c r="J2350" s="3">
        <f>+2250556110165</f>
        <v>2250556110165</v>
      </c>
      <c r="K2350" s="1" t="s">
        <v>19</v>
      </c>
      <c r="L2350" s="4" t="s">
        <v>7979</v>
      </c>
    </row>
    <row r="2351">
      <c r="A2351" s="1" t="s">
        <v>12</v>
      </c>
      <c r="B2351" s="1" t="s">
        <v>7980</v>
      </c>
      <c r="C2351" s="1" t="s">
        <v>7751</v>
      </c>
      <c r="D2351" s="1" t="s">
        <v>5564</v>
      </c>
      <c r="E2351" s="2">
        <v>36981.0</v>
      </c>
      <c r="F2351" s="1" t="s">
        <v>167</v>
      </c>
      <c r="G2351" s="1" t="s">
        <v>82</v>
      </c>
      <c r="H2351" s="1" t="s">
        <v>18</v>
      </c>
      <c r="I2351" s="3">
        <f>+2250769576623</f>
        <v>2250769576623</v>
      </c>
      <c r="J2351" s="3">
        <f>+2250708075884</f>
        <v>2250708075884</v>
      </c>
      <c r="K2351" s="1" t="s">
        <v>19</v>
      </c>
      <c r="L2351" s="4" t="s">
        <v>7981</v>
      </c>
    </row>
    <row r="2352">
      <c r="A2352" s="1" t="s">
        <v>12</v>
      </c>
      <c r="B2352" s="1" t="s">
        <v>7982</v>
      </c>
      <c r="C2352" s="1" t="s">
        <v>7751</v>
      </c>
      <c r="D2352" s="1" t="s">
        <v>7983</v>
      </c>
      <c r="E2352" s="2">
        <v>37731.0</v>
      </c>
      <c r="F2352" s="1" t="s">
        <v>138</v>
      </c>
      <c r="G2352" s="1" t="s">
        <v>76</v>
      </c>
      <c r="H2352" s="1" t="s">
        <v>32</v>
      </c>
      <c r="I2352" s="3">
        <f>+2250768185569</f>
        <v>2250768185569</v>
      </c>
      <c r="J2352" s="3">
        <f>+2250708028526</f>
        <v>2250708028526</v>
      </c>
      <c r="K2352" s="1" t="s">
        <v>19</v>
      </c>
      <c r="L2352" s="4" t="s">
        <v>7984</v>
      </c>
    </row>
    <row r="2353">
      <c r="A2353" s="1" t="s">
        <v>12</v>
      </c>
      <c r="B2353" s="1" t="s">
        <v>7985</v>
      </c>
      <c r="C2353" s="1" t="s">
        <v>7751</v>
      </c>
      <c r="D2353" s="1" t="s">
        <v>7986</v>
      </c>
      <c r="E2353" s="5">
        <v>36822.0</v>
      </c>
      <c r="F2353" s="1" t="s">
        <v>16</v>
      </c>
      <c r="G2353" s="1" t="s">
        <v>17</v>
      </c>
      <c r="H2353" s="1" t="s">
        <v>18</v>
      </c>
      <c r="I2353" s="3">
        <f>+2250747031604</f>
        <v>2250747031604</v>
      </c>
      <c r="J2353" s="3">
        <f>+2250787993826</f>
        <v>2250787993826</v>
      </c>
      <c r="K2353" s="1" t="s">
        <v>19</v>
      </c>
      <c r="L2353" s="4" t="s">
        <v>7987</v>
      </c>
    </row>
    <row r="2354">
      <c r="A2354" s="1" t="s">
        <v>12</v>
      </c>
      <c r="B2354" s="1" t="s">
        <v>7988</v>
      </c>
      <c r="C2354" s="1" t="s">
        <v>7751</v>
      </c>
      <c r="D2354" s="1" t="s">
        <v>7989</v>
      </c>
      <c r="E2354" s="5">
        <v>36129.0</v>
      </c>
      <c r="F2354" s="1" t="s">
        <v>167</v>
      </c>
      <c r="G2354" s="1" t="s">
        <v>17</v>
      </c>
      <c r="H2354" s="1" t="s">
        <v>18</v>
      </c>
      <c r="I2354" s="3">
        <f>+2250788497855</f>
        <v>2250788497855</v>
      </c>
      <c r="J2354" s="3">
        <f>+2250101708430</f>
        <v>2250101708430</v>
      </c>
      <c r="K2354" s="1" t="s">
        <v>19</v>
      </c>
      <c r="L2354" s="4" t="s">
        <v>7990</v>
      </c>
    </row>
    <row r="2355">
      <c r="A2355" s="1" t="s">
        <v>12</v>
      </c>
      <c r="B2355" s="1" t="s">
        <v>7991</v>
      </c>
      <c r="C2355" s="1" t="s">
        <v>7751</v>
      </c>
      <c r="D2355" s="1" t="s">
        <v>5221</v>
      </c>
      <c r="E2355" s="2">
        <v>36981.0</v>
      </c>
      <c r="F2355" s="1" t="s">
        <v>24</v>
      </c>
      <c r="G2355" s="1" t="s">
        <v>82</v>
      </c>
      <c r="H2355" s="1" t="s">
        <v>18</v>
      </c>
      <c r="I2355" s="3">
        <f>+2250777479394</f>
        <v>2250777479394</v>
      </c>
      <c r="J2355" s="3">
        <f>+2250708075884</f>
        <v>2250708075884</v>
      </c>
      <c r="K2355" s="1" t="s">
        <v>19</v>
      </c>
      <c r="L2355" s="4" t="s">
        <v>7992</v>
      </c>
    </row>
    <row r="2356">
      <c r="A2356" s="1" t="s">
        <v>12</v>
      </c>
      <c r="B2356" s="1" t="s">
        <v>7993</v>
      </c>
      <c r="C2356" s="1" t="s">
        <v>7751</v>
      </c>
      <c r="D2356" s="1" t="s">
        <v>7994</v>
      </c>
      <c r="E2356" s="2">
        <v>38022.0</v>
      </c>
      <c r="F2356" s="1" t="s">
        <v>53</v>
      </c>
      <c r="G2356" s="1" t="s">
        <v>25</v>
      </c>
      <c r="H2356" s="1" t="s">
        <v>18</v>
      </c>
      <c r="I2356" s="3">
        <f>+2250758304723</f>
        <v>2250758304723</v>
      </c>
      <c r="J2356" s="3">
        <f>+2250101656058</f>
        <v>2250101656058</v>
      </c>
      <c r="K2356" s="1" t="s">
        <v>19</v>
      </c>
      <c r="L2356" s="4" t="s">
        <v>7995</v>
      </c>
    </row>
    <row r="2357">
      <c r="A2357" s="1" t="s">
        <v>12</v>
      </c>
      <c r="B2357" s="1" t="s">
        <v>7996</v>
      </c>
      <c r="C2357" s="1" t="s">
        <v>7751</v>
      </c>
      <c r="D2357" s="1" t="s">
        <v>7997</v>
      </c>
      <c r="E2357" s="5">
        <v>38305.0</v>
      </c>
      <c r="F2357" s="1" t="s">
        <v>53</v>
      </c>
      <c r="G2357" s="1" t="s">
        <v>25</v>
      </c>
      <c r="H2357" s="1" t="s">
        <v>18</v>
      </c>
      <c r="I2357" s="3">
        <f>+2250797718850</f>
        <v>2250797718850</v>
      </c>
      <c r="J2357" s="3">
        <f>+2250708081484</f>
        <v>2250708081484</v>
      </c>
      <c r="K2357" s="1" t="s">
        <v>19</v>
      </c>
      <c r="L2357" s="4" t="s">
        <v>7998</v>
      </c>
    </row>
    <row r="2358">
      <c r="A2358" s="1" t="s">
        <v>12</v>
      </c>
      <c r="B2358" s="1" t="s">
        <v>7999</v>
      </c>
      <c r="C2358" s="1" t="s">
        <v>7751</v>
      </c>
      <c r="D2358" s="1" t="s">
        <v>8000</v>
      </c>
      <c r="E2358" s="2">
        <v>38072.0</v>
      </c>
      <c r="F2358" s="1" t="s">
        <v>16</v>
      </c>
      <c r="G2358" s="1" t="s">
        <v>25</v>
      </c>
      <c r="H2358" s="1" t="s">
        <v>18</v>
      </c>
      <c r="I2358" s="3">
        <f>+2250152628418</f>
        <v>2250152628418</v>
      </c>
      <c r="J2358" s="3">
        <f>+2250748817163</f>
        <v>2250748817163</v>
      </c>
      <c r="K2358" s="1" t="s">
        <v>19</v>
      </c>
      <c r="L2358" s="4" t="s">
        <v>8001</v>
      </c>
    </row>
    <row r="2359">
      <c r="A2359" s="1" t="s">
        <v>12</v>
      </c>
      <c r="B2359" s="1" t="s">
        <v>8002</v>
      </c>
      <c r="C2359" s="1" t="s">
        <v>7751</v>
      </c>
      <c r="D2359" s="1" t="s">
        <v>8003</v>
      </c>
      <c r="E2359" s="2">
        <v>38506.0</v>
      </c>
      <c r="F2359" s="1" t="s">
        <v>155</v>
      </c>
      <c r="G2359" s="1" t="s">
        <v>76</v>
      </c>
      <c r="H2359" s="1" t="s">
        <v>32</v>
      </c>
      <c r="I2359" s="3">
        <f>+2250173427938</f>
        <v>2250173427938</v>
      </c>
      <c r="J2359" s="3">
        <f>+2250759314916</f>
        <v>2250759314916</v>
      </c>
      <c r="K2359" s="1" t="s">
        <v>19</v>
      </c>
      <c r="L2359" s="4" t="s">
        <v>8004</v>
      </c>
    </row>
    <row r="2360">
      <c r="A2360" s="1" t="s">
        <v>12</v>
      </c>
      <c r="B2360" s="1" t="s">
        <v>8005</v>
      </c>
      <c r="C2360" s="1" t="s">
        <v>7751</v>
      </c>
      <c r="D2360" s="1" t="s">
        <v>8006</v>
      </c>
      <c r="E2360" s="5">
        <v>37605.0</v>
      </c>
      <c r="F2360" s="1" t="s">
        <v>87</v>
      </c>
      <c r="G2360" s="1" t="s">
        <v>31</v>
      </c>
      <c r="H2360" s="1" t="s">
        <v>32</v>
      </c>
      <c r="I2360" s="3">
        <f>+2250769195648</f>
        <v>2250769195648</v>
      </c>
      <c r="J2360" s="3">
        <f>+2250545176931</f>
        <v>2250545176931</v>
      </c>
      <c r="K2360" s="1" t="s">
        <v>19</v>
      </c>
      <c r="L2360" s="4" t="s">
        <v>8007</v>
      </c>
    </row>
    <row r="2361">
      <c r="A2361" s="1" t="s">
        <v>12</v>
      </c>
      <c r="B2361" s="1" t="s">
        <v>8008</v>
      </c>
      <c r="C2361" s="1" t="s">
        <v>7751</v>
      </c>
      <c r="D2361" s="1" t="s">
        <v>8009</v>
      </c>
      <c r="E2361" s="2">
        <v>38516.0</v>
      </c>
      <c r="F2361" s="1" t="s">
        <v>62</v>
      </c>
      <c r="G2361" s="1" t="s">
        <v>25</v>
      </c>
      <c r="H2361" s="1" t="s">
        <v>18</v>
      </c>
      <c r="I2361" s="3">
        <f>+2250768134054</f>
        <v>2250768134054</v>
      </c>
      <c r="J2361" s="3">
        <f>+2250555687976</f>
        <v>2250555687976</v>
      </c>
      <c r="K2361" s="1" t="s">
        <v>19</v>
      </c>
      <c r="L2361" s="4" t="s">
        <v>8010</v>
      </c>
    </row>
    <row r="2362">
      <c r="A2362" s="1" t="s">
        <v>12</v>
      </c>
      <c r="B2362" s="1" t="s">
        <v>8011</v>
      </c>
      <c r="C2362" s="1" t="s">
        <v>8012</v>
      </c>
      <c r="D2362" s="1" t="s">
        <v>8013</v>
      </c>
      <c r="E2362" s="5">
        <v>36886.0</v>
      </c>
      <c r="F2362" s="1" t="s">
        <v>110</v>
      </c>
      <c r="G2362" s="1" t="s">
        <v>38</v>
      </c>
      <c r="H2362" s="1" t="s">
        <v>39</v>
      </c>
      <c r="I2362" s="3">
        <f>+2250778075842</f>
        <v>2250778075842</v>
      </c>
      <c r="J2362" s="3">
        <f>+2250101541148</f>
        <v>2250101541148</v>
      </c>
      <c r="K2362" s="1" t="s">
        <v>19</v>
      </c>
      <c r="L2362" s="4" t="s">
        <v>8014</v>
      </c>
    </row>
    <row r="2363">
      <c r="A2363" s="1" t="s">
        <v>12</v>
      </c>
      <c r="B2363" s="1" t="s">
        <v>8015</v>
      </c>
      <c r="C2363" s="1" t="s">
        <v>8012</v>
      </c>
      <c r="D2363" s="1" t="s">
        <v>8016</v>
      </c>
      <c r="E2363" s="2">
        <v>37398.0</v>
      </c>
      <c r="F2363" s="1" t="s">
        <v>48</v>
      </c>
      <c r="G2363" s="1" t="s">
        <v>76</v>
      </c>
      <c r="H2363" s="1" t="s">
        <v>32</v>
      </c>
      <c r="I2363" s="3">
        <f>+2250797849305</f>
        <v>2250797849305</v>
      </c>
      <c r="J2363" s="3">
        <f>+2250709209030</f>
        <v>2250709209030</v>
      </c>
      <c r="K2363" s="1" t="s">
        <v>19</v>
      </c>
      <c r="L2363" s="4" t="s">
        <v>8017</v>
      </c>
    </row>
    <row r="2364">
      <c r="A2364" s="1" t="s">
        <v>12</v>
      </c>
      <c r="B2364" s="1" t="s">
        <v>8018</v>
      </c>
      <c r="C2364" s="1" t="s">
        <v>8012</v>
      </c>
      <c r="D2364" s="1" t="s">
        <v>8019</v>
      </c>
      <c r="E2364" s="2">
        <v>36892.0</v>
      </c>
      <c r="F2364" s="1" t="s">
        <v>24</v>
      </c>
      <c r="G2364" s="1" t="s">
        <v>17</v>
      </c>
      <c r="H2364" s="1" t="s">
        <v>18</v>
      </c>
      <c r="I2364" s="3">
        <f>+2250576163651</f>
        <v>2250576163651</v>
      </c>
      <c r="J2364" s="3">
        <f>+2250546532937</f>
        <v>2250546532937</v>
      </c>
      <c r="K2364" s="1" t="s">
        <v>19</v>
      </c>
      <c r="L2364" s="4" t="s">
        <v>8020</v>
      </c>
    </row>
    <row r="2365">
      <c r="A2365" s="1" t="s">
        <v>12</v>
      </c>
      <c r="B2365" s="1" t="s">
        <v>8021</v>
      </c>
      <c r="C2365" s="1" t="s">
        <v>8022</v>
      </c>
      <c r="D2365" s="1" t="s">
        <v>8023</v>
      </c>
      <c r="E2365" s="2">
        <v>37530.0</v>
      </c>
      <c r="F2365" s="1" t="s">
        <v>53</v>
      </c>
      <c r="G2365" s="1" t="s">
        <v>25</v>
      </c>
      <c r="H2365" s="1" t="s">
        <v>18</v>
      </c>
      <c r="I2365" s="3">
        <f>+2250798730088</f>
        <v>2250798730088</v>
      </c>
      <c r="J2365" s="3">
        <f>+2250709047692</f>
        <v>2250709047692</v>
      </c>
      <c r="K2365" s="1" t="s">
        <v>19</v>
      </c>
      <c r="L2365" s="4" t="s">
        <v>8024</v>
      </c>
    </row>
    <row r="2366">
      <c r="A2366" s="1" t="s">
        <v>12</v>
      </c>
      <c r="B2366" s="1" t="s">
        <v>8025</v>
      </c>
      <c r="C2366" s="1" t="s">
        <v>8026</v>
      </c>
      <c r="D2366" s="1" t="s">
        <v>8027</v>
      </c>
      <c r="E2366" s="2">
        <v>37353.0</v>
      </c>
      <c r="F2366" s="1" t="s">
        <v>16</v>
      </c>
      <c r="G2366" s="1" t="s">
        <v>82</v>
      </c>
      <c r="H2366" s="1" t="s">
        <v>18</v>
      </c>
      <c r="I2366" s="3">
        <f>+2250711669126</f>
        <v>2250711669126</v>
      </c>
      <c r="J2366" s="3">
        <f>+2250759751342</f>
        <v>2250759751342</v>
      </c>
      <c r="K2366" s="1" t="s">
        <v>19</v>
      </c>
      <c r="L2366" s="4" t="s">
        <v>8028</v>
      </c>
    </row>
    <row r="2367">
      <c r="A2367" s="1" t="s">
        <v>12</v>
      </c>
      <c r="B2367" s="1" t="s">
        <v>8029</v>
      </c>
      <c r="C2367" s="1" t="s">
        <v>8030</v>
      </c>
      <c r="D2367" s="1" t="s">
        <v>8031</v>
      </c>
      <c r="E2367" s="2">
        <v>35737.0</v>
      </c>
      <c r="F2367" s="1" t="s">
        <v>101</v>
      </c>
      <c r="G2367" s="1" t="s">
        <v>76</v>
      </c>
      <c r="H2367" s="1" t="s">
        <v>32</v>
      </c>
      <c r="I2367" s="3">
        <f>+2250757554798</f>
        <v>2250757554798</v>
      </c>
      <c r="J2367" s="3">
        <f>+2250141905129</f>
        <v>2250141905129</v>
      </c>
      <c r="K2367" s="1" t="s">
        <v>19</v>
      </c>
      <c r="L2367" s="4" t="s">
        <v>8032</v>
      </c>
    </row>
    <row r="2368">
      <c r="A2368" s="1" t="s">
        <v>12</v>
      </c>
      <c r="B2368" s="1" t="s">
        <v>8033</v>
      </c>
      <c r="C2368" s="1" t="s">
        <v>8034</v>
      </c>
      <c r="D2368" s="1" t="s">
        <v>8035</v>
      </c>
      <c r="E2368" s="2">
        <v>38387.0</v>
      </c>
      <c r="F2368" s="1" t="s">
        <v>138</v>
      </c>
      <c r="G2368" s="1" t="s">
        <v>76</v>
      </c>
      <c r="H2368" s="1" t="s">
        <v>32</v>
      </c>
      <c r="I2368" s="3">
        <f>+2250789605463</f>
        <v>2250789605463</v>
      </c>
      <c r="J2368" s="3">
        <f>+2250101056188</f>
        <v>2250101056188</v>
      </c>
      <c r="K2368" s="1" t="s">
        <v>19</v>
      </c>
      <c r="L2368" s="4" t="s">
        <v>8036</v>
      </c>
    </row>
    <row r="2369">
      <c r="A2369" s="1" t="s">
        <v>12</v>
      </c>
      <c r="B2369" s="1" t="s">
        <v>8037</v>
      </c>
      <c r="C2369" s="1" t="s">
        <v>8034</v>
      </c>
      <c r="D2369" s="1" t="s">
        <v>8038</v>
      </c>
      <c r="E2369" s="2">
        <v>38734.0</v>
      </c>
      <c r="F2369" s="1" t="s">
        <v>62</v>
      </c>
      <c r="G2369" s="1" t="s">
        <v>25</v>
      </c>
      <c r="H2369" s="1" t="s">
        <v>18</v>
      </c>
      <c r="I2369" s="3">
        <f>+2250703787443</f>
        <v>2250703787443</v>
      </c>
      <c r="J2369" s="3">
        <f>+2250707929425</f>
        <v>2250707929425</v>
      </c>
      <c r="K2369" s="1" t="s">
        <v>19</v>
      </c>
      <c r="L2369" s="4" t="s">
        <v>8039</v>
      </c>
    </row>
    <row r="2370">
      <c r="A2370" s="1" t="s">
        <v>12</v>
      </c>
      <c r="B2370" s="1" t="s">
        <v>8040</v>
      </c>
      <c r="C2370" s="1" t="s">
        <v>8041</v>
      </c>
      <c r="D2370" s="1" t="s">
        <v>8042</v>
      </c>
      <c r="E2370" s="2">
        <v>38479.0</v>
      </c>
      <c r="F2370" s="1" t="s">
        <v>53</v>
      </c>
      <c r="G2370" s="1" t="s">
        <v>25</v>
      </c>
      <c r="H2370" s="1" t="s">
        <v>18</v>
      </c>
      <c r="I2370" s="3">
        <f>+2250102090555</f>
        <v>2250102090555</v>
      </c>
      <c r="J2370" s="3">
        <f>+2250140007964</f>
        <v>2250140007964</v>
      </c>
      <c r="K2370" s="1" t="s">
        <v>19</v>
      </c>
      <c r="L2370" s="4" t="s">
        <v>8043</v>
      </c>
    </row>
    <row r="2371">
      <c r="A2371" s="1" t="s">
        <v>12</v>
      </c>
      <c r="B2371" s="1" t="s">
        <v>8044</v>
      </c>
      <c r="C2371" s="1" t="s">
        <v>8045</v>
      </c>
      <c r="D2371" s="1" t="s">
        <v>8046</v>
      </c>
      <c r="E2371" s="5">
        <v>36847.0</v>
      </c>
      <c r="F2371" s="1" t="s">
        <v>48</v>
      </c>
      <c r="G2371" s="1" t="s">
        <v>76</v>
      </c>
      <c r="H2371" s="1" t="s">
        <v>32</v>
      </c>
      <c r="I2371" s="3">
        <f>+2250767030410</f>
        <v>2250767030410</v>
      </c>
      <c r="J2371" s="3">
        <f>+2250707518254</f>
        <v>2250707518254</v>
      </c>
      <c r="K2371" s="1" t="s">
        <v>19</v>
      </c>
      <c r="L2371" s="4" t="s">
        <v>8047</v>
      </c>
    </row>
    <row r="2372">
      <c r="A2372" s="1" t="s">
        <v>12</v>
      </c>
      <c r="B2372" s="1" t="s">
        <v>8048</v>
      </c>
      <c r="C2372" s="1" t="s">
        <v>8045</v>
      </c>
      <c r="D2372" s="1" t="s">
        <v>8049</v>
      </c>
      <c r="E2372" s="5">
        <v>38337.0</v>
      </c>
      <c r="F2372" s="1" t="s">
        <v>16</v>
      </c>
      <c r="G2372" s="1" t="s">
        <v>25</v>
      </c>
      <c r="H2372" s="1" t="s">
        <v>18</v>
      </c>
      <c r="I2372" s="3">
        <f>+2250759595059</f>
        <v>2250759595059</v>
      </c>
      <c r="J2372" s="3">
        <f>+2250709195219</f>
        <v>2250709195219</v>
      </c>
      <c r="K2372" s="1" t="s">
        <v>19</v>
      </c>
      <c r="L2372" s="4" t="s">
        <v>8050</v>
      </c>
    </row>
    <row r="2373">
      <c r="A2373" s="1" t="s">
        <v>12</v>
      </c>
      <c r="B2373" s="1" t="s">
        <v>8051</v>
      </c>
      <c r="C2373" s="1" t="s">
        <v>8045</v>
      </c>
      <c r="D2373" s="1" t="s">
        <v>8052</v>
      </c>
      <c r="E2373" s="5">
        <v>38331.0</v>
      </c>
      <c r="F2373" s="1" t="s">
        <v>16</v>
      </c>
      <c r="G2373" s="1" t="s">
        <v>17</v>
      </c>
      <c r="H2373" s="1" t="s">
        <v>18</v>
      </c>
      <c r="I2373" s="3">
        <f>+2250778433658</f>
        <v>2250778433658</v>
      </c>
      <c r="J2373" s="3">
        <f>+2250150135857</f>
        <v>2250150135857</v>
      </c>
      <c r="K2373" s="1" t="s">
        <v>19</v>
      </c>
      <c r="L2373" s="4" t="s">
        <v>8053</v>
      </c>
    </row>
    <row r="2374">
      <c r="A2374" s="1" t="s">
        <v>12</v>
      </c>
      <c r="B2374" s="1" t="s">
        <v>8054</v>
      </c>
      <c r="C2374" s="1" t="s">
        <v>8055</v>
      </c>
      <c r="D2374" s="1" t="s">
        <v>3458</v>
      </c>
      <c r="E2374" s="5">
        <v>38274.0</v>
      </c>
      <c r="F2374" s="1" t="s">
        <v>24</v>
      </c>
      <c r="G2374" s="1" t="s">
        <v>17</v>
      </c>
      <c r="H2374" s="1" t="s">
        <v>18</v>
      </c>
      <c r="I2374" s="3">
        <f>+2250555703840</f>
        <v>2250555703840</v>
      </c>
      <c r="J2374" s="3">
        <f>+2250545470745</f>
        <v>2250545470745</v>
      </c>
      <c r="K2374" s="1" t="s">
        <v>19</v>
      </c>
      <c r="L2374" s="4" t="s">
        <v>8056</v>
      </c>
    </row>
    <row r="2375">
      <c r="A2375" s="1" t="s">
        <v>12</v>
      </c>
      <c r="B2375" s="1" t="s">
        <v>8057</v>
      </c>
      <c r="C2375" s="1" t="s">
        <v>8055</v>
      </c>
      <c r="D2375" s="1" t="s">
        <v>8058</v>
      </c>
      <c r="E2375" s="2">
        <v>37743.0</v>
      </c>
      <c r="F2375" s="1" t="s">
        <v>1723</v>
      </c>
      <c r="G2375" s="1" t="s">
        <v>82</v>
      </c>
      <c r="H2375" s="1" t="s">
        <v>18</v>
      </c>
      <c r="I2375" s="3">
        <f>+2250778317022</f>
        <v>2250778317022</v>
      </c>
      <c r="J2375" s="3">
        <f>+2250172316889</f>
        <v>2250172316889</v>
      </c>
      <c r="K2375" s="1" t="s">
        <v>19</v>
      </c>
      <c r="L2375" s="4" t="s">
        <v>8059</v>
      </c>
    </row>
    <row r="2376">
      <c r="A2376" s="1" t="s">
        <v>12</v>
      </c>
      <c r="B2376" s="1" t="s">
        <v>8060</v>
      </c>
      <c r="C2376" s="1" t="s">
        <v>8055</v>
      </c>
      <c r="D2376" s="1" t="s">
        <v>8061</v>
      </c>
      <c r="E2376" s="2">
        <v>37115.0</v>
      </c>
      <c r="F2376" s="1" t="s">
        <v>48</v>
      </c>
      <c r="G2376" s="1" t="s">
        <v>76</v>
      </c>
      <c r="H2376" s="1" t="s">
        <v>32</v>
      </c>
      <c r="I2376" s="3">
        <f>+2250140066628</f>
        <v>2250140066628</v>
      </c>
      <c r="J2376" s="3">
        <f>+2250757071220</f>
        <v>2250757071220</v>
      </c>
      <c r="K2376" s="1" t="s">
        <v>19</v>
      </c>
      <c r="L2376" s="4" t="s">
        <v>8062</v>
      </c>
    </row>
    <row r="2377">
      <c r="A2377" s="1" t="s">
        <v>12</v>
      </c>
      <c r="B2377" s="1" t="s">
        <v>8063</v>
      </c>
      <c r="C2377" s="1" t="s">
        <v>8055</v>
      </c>
      <c r="D2377" s="1" t="s">
        <v>8064</v>
      </c>
      <c r="E2377" s="5">
        <v>38715.0</v>
      </c>
      <c r="F2377" s="1" t="s">
        <v>62</v>
      </c>
      <c r="G2377" s="1" t="s">
        <v>25</v>
      </c>
      <c r="H2377" s="1" t="s">
        <v>18</v>
      </c>
      <c r="I2377" s="3">
        <f>+2250778136268</f>
        <v>2250778136268</v>
      </c>
      <c r="J2377" s="3">
        <f>+2250505641769</f>
        <v>2250505641769</v>
      </c>
      <c r="K2377" s="1" t="s">
        <v>19</v>
      </c>
      <c r="L2377" s="4" t="s">
        <v>8065</v>
      </c>
    </row>
    <row r="2378">
      <c r="A2378" s="1" t="s">
        <v>12</v>
      </c>
      <c r="B2378" s="1" t="s">
        <v>8066</v>
      </c>
      <c r="C2378" s="1" t="s">
        <v>8067</v>
      </c>
      <c r="D2378" s="1" t="s">
        <v>8068</v>
      </c>
      <c r="E2378" s="2">
        <v>37077.0</v>
      </c>
      <c r="F2378" s="1" t="s">
        <v>87</v>
      </c>
      <c r="G2378" s="1" t="s">
        <v>31</v>
      </c>
      <c r="H2378" s="1" t="s">
        <v>32</v>
      </c>
      <c r="I2378" s="3">
        <f>+2250101905401</f>
        <v>2250101905401</v>
      </c>
      <c r="J2378" s="3">
        <f>+2250171235305</f>
        <v>2250171235305</v>
      </c>
      <c r="K2378" s="1" t="s">
        <v>19</v>
      </c>
      <c r="L2378" s="4" t="s">
        <v>8069</v>
      </c>
    </row>
    <row r="2379">
      <c r="A2379" s="1" t="s">
        <v>12</v>
      </c>
      <c r="B2379" s="1" t="s">
        <v>8070</v>
      </c>
      <c r="C2379" s="1" t="s">
        <v>8071</v>
      </c>
      <c r="D2379" s="1" t="s">
        <v>8072</v>
      </c>
      <c r="E2379" s="2">
        <v>38353.0</v>
      </c>
      <c r="F2379" s="1" t="s">
        <v>53</v>
      </c>
      <c r="G2379" s="1" t="s">
        <v>17</v>
      </c>
      <c r="H2379" s="1" t="s">
        <v>18</v>
      </c>
      <c r="I2379" s="3">
        <f>+2250711615403</f>
        <v>2250711615403</v>
      </c>
      <c r="J2379" s="3">
        <f>+2250709344387</f>
        <v>2250709344387</v>
      </c>
      <c r="K2379" s="1" t="s">
        <v>19</v>
      </c>
      <c r="L2379" s="4" t="s">
        <v>8073</v>
      </c>
    </row>
    <row r="2380">
      <c r="A2380" s="1" t="s">
        <v>12</v>
      </c>
      <c r="B2380" s="1" t="s">
        <v>8074</v>
      </c>
      <c r="C2380" s="1" t="s">
        <v>8075</v>
      </c>
      <c r="D2380" s="1" t="s">
        <v>1774</v>
      </c>
      <c r="E2380" s="2">
        <v>38293.0</v>
      </c>
      <c r="F2380" s="1" t="s">
        <v>48</v>
      </c>
      <c r="G2380" s="1" t="s">
        <v>76</v>
      </c>
      <c r="H2380" s="1" t="s">
        <v>32</v>
      </c>
      <c r="I2380" s="3">
        <f>+2250768331058</f>
        <v>2250768331058</v>
      </c>
      <c r="J2380" s="3">
        <f>+2250778070767</f>
        <v>2250778070767</v>
      </c>
      <c r="K2380" s="1" t="s">
        <v>19</v>
      </c>
      <c r="L2380" s="4" t="s">
        <v>8076</v>
      </c>
    </row>
    <row r="2381">
      <c r="A2381" s="1" t="s">
        <v>12</v>
      </c>
      <c r="B2381" s="1" t="s">
        <v>8077</v>
      </c>
      <c r="C2381" s="1" t="s">
        <v>8078</v>
      </c>
      <c r="D2381" s="1" t="s">
        <v>8079</v>
      </c>
      <c r="E2381" s="2">
        <v>38627.0</v>
      </c>
      <c r="F2381" s="1" t="s">
        <v>16</v>
      </c>
      <c r="G2381" s="1" t="s">
        <v>25</v>
      </c>
      <c r="H2381" s="1" t="s">
        <v>18</v>
      </c>
      <c r="I2381" s="3">
        <f>+2250705339287</f>
        <v>2250705339287</v>
      </c>
      <c r="J2381" s="3">
        <f>+2250787748165</f>
        <v>2250787748165</v>
      </c>
      <c r="K2381" s="1" t="s">
        <v>19</v>
      </c>
      <c r="L2381" s="4" t="s">
        <v>8080</v>
      </c>
    </row>
    <row r="2382">
      <c r="A2382" s="1" t="s">
        <v>12</v>
      </c>
      <c r="B2382" s="1" t="s">
        <v>8081</v>
      </c>
      <c r="C2382" s="1" t="s">
        <v>8078</v>
      </c>
      <c r="D2382" s="1" t="s">
        <v>8082</v>
      </c>
      <c r="E2382" s="5">
        <v>37590.0</v>
      </c>
      <c r="F2382" s="1" t="s">
        <v>16</v>
      </c>
      <c r="G2382" s="1" t="s">
        <v>17</v>
      </c>
      <c r="H2382" s="1" t="s">
        <v>18</v>
      </c>
      <c r="I2382" s="3">
        <f>+2250747706164</f>
        <v>2250747706164</v>
      </c>
      <c r="J2382" s="3">
        <f>+2250707512959</f>
        <v>2250707512959</v>
      </c>
      <c r="K2382" s="1" t="s">
        <v>19</v>
      </c>
      <c r="L2382" s="4" t="s">
        <v>8083</v>
      </c>
    </row>
    <row r="2383">
      <c r="A2383" s="1" t="s">
        <v>12</v>
      </c>
      <c r="B2383" s="1" t="s">
        <v>8084</v>
      </c>
      <c r="C2383" s="1" t="s">
        <v>8085</v>
      </c>
      <c r="D2383" s="1" t="s">
        <v>8086</v>
      </c>
      <c r="E2383" s="2">
        <v>38112.0</v>
      </c>
      <c r="F2383" s="1" t="s">
        <v>351</v>
      </c>
      <c r="G2383" s="1" t="s">
        <v>31</v>
      </c>
      <c r="H2383" s="1" t="s">
        <v>32</v>
      </c>
      <c r="I2383" s="3">
        <f>+2250502140265</f>
        <v>2250502140265</v>
      </c>
      <c r="J2383" s="3">
        <f>+2250505133535</f>
        <v>2250505133535</v>
      </c>
      <c r="K2383" s="1" t="s">
        <v>19</v>
      </c>
      <c r="L2383" s="4" t="s">
        <v>8087</v>
      </c>
    </row>
    <row r="2384">
      <c r="A2384" s="1" t="s">
        <v>12</v>
      </c>
      <c r="B2384" s="1" t="s">
        <v>8088</v>
      </c>
      <c r="C2384" s="1" t="s">
        <v>8089</v>
      </c>
      <c r="D2384" s="1" t="s">
        <v>7778</v>
      </c>
      <c r="E2384" s="2">
        <v>38114.0</v>
      </c>
      <c r="F2384" s="1" t="s">
        <v>62</v>
      </c>
      <c r="G2384" s="1" t="s">
        <v>17</v>
      </c>
      <c r="H2384" s="1" t="s">
        <v>18</v>
      </c>
      <c r="I2384" s="3">
        <f>+2250769100467</f>
        <v>2250769100467</v>
      </c>
      <c r="J2384" s="3">
        <f>+2250707350616</f>
        <v>2250707350616</v>
      </c>
      <c r="K2384" s="1" t="s">
        <v>19</v>
      </c>
      <c r="L2384" s="4" t="s">
        <v>8090</v>
      </c>
    </row>
    <row r="2385">
      <c r="A2385" s="1" t="s">
        <v>12</v>
      </c>
      <c r="B2385" s="1" t="s">
        <v>8091</v>
      </c>
      <c r="C2385" s="1" t="s">
        <v>8092</v>
      </c>
      <c r="D2385" s="1" t="s">
        <v>8093</v>
      </c>
      <c r="E2385" s="5">
        <v>38317.0</v>
      </c>
      <c r="F2385" s="1" t="s">
        <v>53</v>
      </c>
      <c r="G2385" s="1" t="s">
        <v>25</v>
      </c>
      <c r="H2385" s="1" t="s">
        <v>18</v>
      </c>
      <c r="I2385" s="3">
        <f>+2250143400907</f>
        <v>2250143400907</v>
      </c>
      <c r="J2385" s="3">
        <f>+2250102933716</f>
        <v>2250102933716</v>
      </c>
      <c r="K2385" s="1" t="s">
        <v>19</v>
      </c>
      <c r="L2385" s="4" t="s">
        <v>8094</v>
      </c>
    </row>
    <row r="2386">
      <c r="A2386" s="1" t="s">
        <v>12</v>
      </c>
      <c r="B2386" s="1" t="s">
        <v>8095</v>
      </c>
      <c r="C2386" s="1" t="s">
        <v>8096</v>
      </c>
      <c r="D2386" s="1" t="s">
        <v>8097</v>
      </c>
      <c r="E2386" s="2">
        <v>37778.0</v>
      </c>
      <c r="F2386" s="1" t="s">
        <v>586</v>
      </c>
      <c r="G2386" s="1" t="s">
        <v>82</v>
      </c>
      <c r="H2386" s="1" t="s">
        <v>18</v>
      </c>
      <c r="I2386" s="3">
        <f>+2250172707878</f>
        <v>2250172707878</v>
      </c>
      <c r="J2386" s="3">
        <f>+2250758766840</f>
        <v>2250758766840</v>
      </c>
      <c r="K2386" s="1" t="s">
        <v>19</v>
      </c>
      <c r="L2386" s="4" t="s">
        <v>8098</v>
      </c>
    </row>
    <row r="2387">
      <c r="A2387" s="1" t="s">
        <v>12</v>
      </c>
      <c r="B2387" s="1" t="s">
        <v>8099</v>
      </c>
      <c r="C2387" s="1" t="s">
        <v>8100</v>
      </c>
      <c r="D2387" s="1" t="s">
        <v>8101</v>
      </c>
      <c r="E2387" s="2">
        <v>37473.0</v>
      </c>
      <c r="F2387" s="1" t="s">
        <v>75</v>
      </c>
      <c r="G2387" s="1" t="s">
        <v>82</v>
      </c>
      <c r="H2387" s="1" t="s">
        <v>18</v>
      </c>
      <c r="I2387" s="3">
        <f>+2250797490284</f>
        <v>2250797490284</v>
      </c>
      <c r="J2387" s="3">
        <f>+2250709415493</f>
        <v>2250709415493</v>
      </c>
      <c r="K2387" s="1" t="s">
        <v>19</v>
      </c>
      <c r="L2387" s="4" t="s">
        <v>8102</v>
      </c>
    </row>
    <row r="2388">
      <c r="A2388" s="1" t="s">
        <v>12</v>
      </c>
      <c r="B2388" s="1" t="s">
        <v>8103</v>
      </c>
      <c r="C2388" s="1" t="s">
        <v>8100</v>
      </c>
      <c r="D2388" s="1" t="s">
        <v>8104</v>
      </c>
      <c r="E2388" s="2">
        <v>38977.0</v>
      </c>
      <c r="F2388" s="1" t="s">
        <v>62</v>
      </c>
      <c r="G2388" s="1" t="s">
        <v>25</v>
      </c>
      <c r="H2388" s="1" t="s">
        <v>18</v>
      </c>
      <c r="I2388" s="3">
        <f>+2250161206306</f>
        <v>2250161206306</v>
      </c>
      <c r="J2388" s="3">
        <f>+2250708988528</f>
        <v>2250708988528</v>
      </c>
      <c r="K2388" s="1" t="s">
        <v>19</v>
      </c>
      <c r="L2388" s="4" t="s">
        <v>8105</v>
      </c>
    </row>
    <row r="2389">
      <c r="A2389" s="1" t="s">
        <v>12</v>
      </c>
      <c r="B2389" s="1" t="s">
        <v>8106</v>
      </c>
      <c r="C2389" s="1" t="s">
        <v>8100</v>
      </c>
      <c r="D2389" s="1" t="s">
        <v>8107</v>
      </c>
      <c r="E2389" s="2">
        <v>37111.0</v>
      </c>
      <c r="F2389" s="1" t="s">
        <v>87</v>
      </c>
      <c r="G2389" s="1" t="s">
        <v>31</v>
      </c>
      <c r="H2389" s="1" t="s">
        <v>32</v>
      </c>
      <c r="I2389" s="3">
        <f>+2250584034372</f>
        <v>2250584034372</v>
      </c>
      <c r="J2389" s="3">
        <f>+2250172472050</f>
        <v>2250172472050</v>
      </c>
      <c r="K2389" s="1" t="s">
        <v>19</v>
      </c>
      <c r="L2389" s="4" t="s">
        <v>8108</v>
      </c>
    </row>
    <row r="2390">
      <c r="A2390" s="1" t="s">
        <v>12</v>
      </c>
      <c r="B2390" s="1" t="s">
        <v>8109</v>
      </c>
      <c r="C2390" s="1" t="s">
        <v>8100</v>
      </c>
      <c r="D2390" s="1" t="s">
        <v>8110</v>
      </c>
      <c r="E2390" s="5">
        <v>38707.0</v>
      </c>
      <c r="F2390" s="1" t="s">
        <v>101</v>
      </c>
      <c r="G2390" s="1" t="s">
        <v>76</v>
      </c>
      <c r="H2390" s="1" t="s">
        <v>32</v>
      </c>
      <c r="I2390" s="3">
        <f>+2250170239233</f>
        <v>2250170239233</v>
      </c>
      <c r="J2390" s="3">
        <f>+2250101992361</f>
        <v>2250101992361</v>
      </c>
      <c r="K2390" s="1" t="s">
        <v>19</v>
      </c>
      <c r="L2390" s="4" t="s">
        <v>8111</v>
      </c>
    </row>
    <row r="2391">
      <c r="A2391" s="1" t="s">
        <v>12</v>
      </c>
      <c r="B2391" s="1" t="s">
        <v>8112</v>
      </c>
      <c r="C2391" s="1" t="s">
        <v>8100</v>
      </c>
      <c r="D2391" s="1" t="s">
        <v>8113</v>
      </c>
      <c r="E2391" s="2">
        <v>37622.0</v>
      </c>
      <c r="F2391" s="1" t="s">
        <v>167</v>
      </c>
      <c r="G2391" s="1" t="s">
        <v>25</v>
      </c>
      <c r="H2391" s="1" t="s">
        <v>18</v>
      </c>
      <c r="I2391" s="3">
        <f>+2250151655389</f>
        <v>2250151655389</v>
      </c>
      <c r="J2391" s="3">
        <f>+2250143575009</f>
        <v>2250143575009</v>
      </c>
      <c r="K2391" s="1" t="s">
        <v>19</v>
      </c>
      <c r="L2391" s="4" t="s">
        <v>8114</v>
      </c>
    </row>
    <row r="2392">
      <c r="A2392" s="1" t="s">
        <v>12</v>
      </c>
      <c r="B2392" s="1" t="s">
        <v>8115</v>
      </c>
      <c r="C2392" s="1" t="s">
        <v>8100</v>
      </c>
      <c r="D2392" s="1" t="s">
        <v>8116</v>
      </c>
      <c r="E2392" s="2">
        <v>37356.0</v>
      </c>
      <c r="F2392" s="1" t="s">
        <v>48</v>
      </c>
      <c r="G2392" s="1" t="s">
        <v>76</v>
      </c>
      <c r="H2392" s="1" t="s">
        <v>32</v>
      </c>
      <c r="I2392" s="3">
        <f>+2250777640974</f>
        <v>2250777640974</v>
      </c>
      <c r="J2392" s="3">
        <f>+2250101840532</f>
        <v>2250101840532</v>
      </c>
      <c r="K2392" s="1" t="s">
        <v>19</v>
      </c>
      <c r="L2392" s="4" t="s">
        <v>8117</v>
      </c>
    </row>
    <row r="2393">
      <c r="A2393" s="1" t="s">
        <v>12</v>
      </c>
      <c r="B2393" s="1" t="s">
        <v>8118</v>
      </c>
      <c r="C2393" s="1" t="s">
        <v>8100</v>
      </c>
      <c r="D2393" s="1" t="s">
        <v>8119</v>
      </c>
      <c r="E2393" s="2">
        <v>38147.0</v>
      </c>
      <c r="F2393" s="1" t="s">
        <v>138</v>
      </c>
      <c r="G2393" s="1" t="s">
        <v>76</v>
      </c>
      <c r="H2393" s="1" t="s">
        <v>32</v>
      </c>
      <c r="I2393" s="3">
        <f>+2250103381002</f>
        <v>2250103381002</v>
      </c>
      <c r="J2393" s="3">
        <f>+2250707620167</f>
        <v>2250707620167</v>
      </c>
      <c r="K2393" s="1" t="s">
        <v>19</v>
      </c>
      <c r="L2393" s="4" t="s">
        <v>8120</v>
      </c>
    </row>
    <row r="2394">
      <c r="A2394" s="1" t="s">
        <v>12</v>
      </c>
      <c r="B2394" s="1" t="s">
        <v>8121</v>
      </c>
      <c r="C2394" s="1" t="s">
        <v>8122</v>
      </c>
      <c r="D2394" s="1" t="s">
        <v>8123</v>
      </c>
      <c r="E2394" s="2">
        <v>38594.0</v>
      </c>
      <c r="F2394" s="1" t="s">
        <v>155</v>
      </c>
      <c r="G2394" s="1" t="s">
        <v>31</v>
      </c>
      <c r="H2394" s="1" t="s">
        <v>32</v>
      </c>
      <c r="I2394" s="3">
        <f>+2250779932187</f>
        <v>2250779932187</v>
      </c>
      <c r="J2394" s="3">
        <f>+2250141199616</f>
        <v>2250141199616</v>
      </c>
      <c r="K2394" s="1" t="s">
        <v>19</v>
      </c>
      <c r="L2394" s="4" t="s">
        <v>8124</v>
      </c>
    </row>
    <row r="2395">
      <c r="A2395" s="1" t="s">
        <v>12</v>
      </c>
      <c r="B2395" s="1" t="s">
        <v>8125</v>
      </c>
      <c r="C2395" s="1" t="s">
        <v>8126</v>
      </c>
      <c r="D2395" s="1" t="s">
        <v>8127</v>
      </c>
      <c r="E2395" s="2">
        <v>37794.0</v>
      </c>
      <c r="F2395" s="1" t="s">
        <v>16</v>
      </c>
      <c r="G2395" s="1" t="s">
        <v>82</v>
      </c>
      <c r="H2395" s="1" t="s">
        <v>18</v>
      </c>
      <c r="I2395" s="3">
        <f>+2250546734487</f>
        <v>2250546734487</v>
      </c>
      <c r="J2395" s="3">
        <f>+2250778519821</f>
        <v>2250778519821</v>
      </c>
      <c r="K2395" s="1" t="s">
        <v>19</v>
      </c>
      <c r="L2395" s="4" t="s">
        <v>8128</v>
      </c>
    </row>
    <row r="2396">
      <c r="A2396" s="1" t="s">
        <v>12</v>
      </c>
      <c r="B2396" s="1" t="s">
        <v>8129</v>
      </c>
      <c r="C2396" s="1" t="s">
        <v>8126</v>
      </c>
      <c r="D2396" s="1" t="s">
        <v>8130</v>
      </c>
      <c r="E2396" s="2">
        <v>36965.0</v>
      </c>
      <c r="F2396" s="1" t="s">
        <v>138</v>
      </c>
      <c r="G2396" s="1" t="s">
        <v>31</v>
      </c>
      <c r="H2396" s="1" t="s">
        <v>32</v>
      </c>
      <c r="I2396" s="3">
        <f>+2250711236228</f>
        <v>2250711236228</v>
      </c>
      <c r="J2396" s="3">
        <f>+2250506154243</f>
        <v>2250506154243</v>
      </c>
      <c r="K2396" s="1" t="s">
        <v>19</v>
      </c>
      <c r="L2396" s="4" t="s">
        <v>8131</v>
      </c>
    </row>
    <row r="2397">
      <c r="A2397" s="1" t="s">
        <v>12</v>
      </c>
      <c r="B2397" s="1" t="s">
        <v>8132</v>
      </c>
      <c r="C2397" s="1" t="s">
        <v>8126</v>
      </c>
      <c r="D2397" s="1" t="s">
        <v>8133</v>
      </c>
      <c r="E2397" s="2">
        <v>38371.0</v>
      </c>
      <c r="F2397" s="1" t="s">
        <v>101</v>
      </c>
      <c r="G2397" s="1" t="s">
        <v>76</v>
      </c>
      <c r="H2397" s="1" t="s">
        <v>32</v>
      </c>
      <c r="I2397" s="3">
        <f>+2250702635458</f>
        <v>2250702635458</v>
      </c>
      <c r="J2397" s="3">
        <f>+2250748443427</f>
        <v>2250748443427</v>
      </c>
      <c r="K2397" s="1" t="s">
        <v>19</v>
      </c>
      <c r="L2397" s="4" t="s">
        <v>8134</v>
      </c>
    </row>
    <row r="2398">
      <c r="A2398" s="1" t="s">
        <v>12</v>
      </c>
      <c r="B2398" s="1" t="s">
        <v>8135</v>
      </c>
      <c r="C2398" s="1" t="s">
        <v>8136</v>
      </c>
      <c r="D2398" s="1" t="s">
        <v>8137</v>
      </c>
      <c r="E2398" s="2">
        <v>37987.0</v>
      </c>
      <c r="F2398" s="1" t="s">
        <v>288</v>
      </c>
      <c r="G2398" s="1" t="s">
        <v>31</v>
      </c>
      <c r="H2398" s="1" t="s">
        <v>32</v>
      </c>
      <c r="I2398" s="3">
        <f>+2250778374418</f>
        <v>2250778374418</v>
      </c>
      <c r="J2398" s="3">
        <f>+2250747115243</f>
        <v>2250747115243</v>
      </c>
      <c r="K2398" s="1" t="s">
        <v>19</v>
      </c>
      <c r="L2398" s="4" t="s">
        <v>8138</v>
      </c>
    </row>
    <row r="2399">
      <c r="A2399" s="1" t="s">
        <v>12</v>
      </c>
      <c r="B2399" s="1" t="s">
        <v>8139</v>
      </c>
      <c r="C2399" s="1" t="s">
        <v>8140</v>
      </c>
      <c r="D2399" s="1" t="s">
        <v>8141</v>
      </c>
      <c r="E2399" s="2">
        <v>37868.0</v>
      </c>
      <c r="F2399" s="1" t="s">
        <v>16</v>
      </c>
      <c r="G2399" s="1" t="s">
        <v>17</v>
      </c>
      <c r="H2399" s="1" t="s">
        <v>18</v>
      </c>
      <c r="I2399" s="3">
        <f>+2250711154175</f>
        <v>2250711154175</v>
      </c>
      <c r="J2399" s="3">
        <f>+2250758533180</f>
        <v>2250758533180</v>
      </c>
      <c r="K2399" s="1" t="s">
        <v>19</v>
      </c>
      <c r="L2399" s="4" t="s">
        <v>8142</v>
      </c>
    </row>
    <row r="2400">
      <c r="A2400" s="1" t="s">
        <v>12</v>
      </c>
      <c r="B2400" s="1" t="s">
        <v>8143</v>
      </c>
      <c r="C2400" s="1" t="s">
        <v>8144</v>
      </c>
      <c r="D2400" s="1" t="s">
        <v>8145</v>
      </c>
      <c r="E2400" s="2">
        <v>37046.0</v>
      </c>
      <c r="F2400" s="1" t="s">
        <v>62</v>
      </c>
      <c r="G2400" s="1" t="s">
        <v>17</v>
      </c>
      <c r="H2400" s="1" t="s">
        <v>18</v>
      </c>
      <c r="I2400" s="3">
        <f>+2250701881853</f>
        <v>2250701881853</v>
      </c>
      <c r="J2400" s="3">
        <f>+2250707745481</f>
        <v>2250707745481</v>
      </c>
      <c r="K2400" s="1" t="s">
        <v>19</v>
      </c>
      <c r="L2400" s="4" t="s">
        <v>8146</v>
      </c>
    </row>
    <row r="2401">
      <c r="A2401" s="1" t="s">
        <v>12</v>
      </c>
      <c r="B2401" s="1" t="s">
        <v>8147</v>
      </c>
      <c r="C2401" s="1" t="s">
        <v>8148</v>
      </c>
      <c r="D2401" s="1" t="s">
        <v>8149</v>
      </c>
      <c r="E2401" s="2">
        <v>38037.0</v>
      </c>
      <c r="F2401" s="1" t="s">
        <v>351</v>
      </c>
      <c r="G2401" s="1" t="s">
        <v>76</v>
      </c>
      <c r="H2401" s="1" t="s">
        <v>32</v>
      </c>
      <c r="I2401" s="3">
        <f>+2250584494788</f>
        <v>2250584494788</v>
      </c>
      <c r="J2401" s="3">
        <f>+2250749241824</f>
        <v>2250749241824</v>
      </c>
      <c r="K2401" s="1" t="s">
        <v>19</v>
      </c>
      <c r="L2401" s="4" t="s">
        <v>8150</v>
      </c>
    </row>
    <row r="2402">
      <c r="A2402" s="1" t="s">
        <v>12</v>
      </c>
      <c r="B2402" s="1" t="s">
        <v>8151</v>
      </c>
      <c r="C2402" s="1" t="s">
        <v>8148</v>
      </c>
      <c r="D2402" s="1" t="s">
        <v>8152</v>
      </c>
      <c r="E2402" s="5">
        <v>37921.0</v>
      </c>
      <c r="F2402" s="1" t="s">
        <v>16</v>
      </c>
      <c r="G2402" s="1" t="s">
        <v>25</v>
      </c>
      <c r="H2402" s="1" t="s">
        <v>18</v>
      </c>
      <c r="I2402" s="3">
        <f>+2250768471817</f>
        <v>2250768471817</v>
      </c>
      <c r="J2402" s="3">
        <f>+2250749584645</f>
        <v>2250749584645</v>
      </c>
      <c r="K2402" s="1" t="s">
        <v>19</v>
      </c>
      <c r="L2402" s="4" t="s">
        <v>8153</v>
      </c>
    </row>
    <row r="2403">
      <c r="A2403" s="1" t="s">
        <v>12</v>
      </c>
      <c r="B2403" s="1" t="s">
        <v>8154</v>
      </c>
      <c r="C2403" s="1" t="s">
        <v>8155</v>
      </c>
      <c r="D2403" s="1" t="s">
        <v>8156</v>
      </c>
      <c r="E2403" s="2">
        <v>37631.0</v>
      </c>
      <c r="F2403" s="1" t="s">
        <v>62</v>
      </c>
      <c r="G2403" s="1" t="s">
        <v>17</v>
      </c>
      <c r="H2403" s="1" t="s">
        <v>18</v>
      </c>
      <c r="I2403" s="3">
        <f>+2250566416016</f>
        <v>2250566416016</v>
      </c>
      <c r="J2403" s="3">
        <f>+2250506701365</f>
        <v>2250506701365</v>
      </c>
      <c r="K2403" s="1" t="s">
        <v>19</v>
      </c>
      <c r="L2403" s="4" t="s">
        <v>8157</v>
      </c>
    </row>
    <row r="2404">
      <c r="A2404" s="1" t="s">
        <v>12</v>
      </c>
      <c r="B2404" s="1" t="s">
        <v>8158</v>
      </c>
      <c r="C2404" s="1" t="s">
        <v>8159</v>
      </c>
      <c r="D2404" s="1" t="s">
        <v>8160</v>
      </c>
      <c r="E2404" s="5">
        <v>39431.0</v>
      </c>
      <c r="F2404" s="1" t="s">
        <v>288</v>
      </c>
      <c r="G2404" s="1" t="s">
        <v>76</v>
      </c>
      <c r="H2404" s="1" t="s">
        <v>32</v>
      </c>
      <c r="I2404" s="3">
        <f t="shared" ref="I2404:J2404" si="72">+2250173652506</f>
        <v>2250173652506</v>
      </c>
      <c r="J2404" s="3">
        <f t="shared" si="72"/>
        <v>2250173652506</v>
      </c>
      <c r="K2404" s="1" t="s">
        <v>19</v>
      </c>
      <c r="L2404" s="4" t="s">
        <v>8161</v>
      </c>
    </row>
    <row r="2405">
      <c r="A2405" s="1" t="s">
        <v>12</v>
      </c>
      <c r="B2405" s="1" t="s">
        <v>8162</v>
      </c>
      <c r="C2405" s="1" t="s">
        <v>8163</v>
      </c>
      <c r="D2405" s="1" t="s">
        <v>8164</v>
      </c>
      <c r="E2405" s="2">
        <v>36531.0</v>
      </c>
      <c r="F2405" s="1" t="s">
        <v>62</v>
      </c>
      <c r="G2405" s="1" t="s">
        <v>17</v>
      </c>
      <c r="H2405" s="1" t="s">
        <v>18</v>
      </c>
      <c r="I2405" s="3">
        <f>+2250141882245</f>
        <v>2250141882245</v>
      </c>
      <c r="J2405" s="3">
        <f>+2250707399501</f>
        <v>2250707399501</v>
      </c>
      <c r="K2405" s="1" t="s">
        <v>19</v>
      </c>
      <c r="L2405" s="4" t="s">
        <v>8165</v>
      </c>
    </row>
    <row r="2406">
      <c r="A2406" s="1" t="s">
        <v>12</v>
      </c>
      <c r="B2406" s="1" t="s">
        <v>8166</v>
      </c>
      <c r="C2406" s="1" t="s">
        <v>8167</v>
      </c>
      <c r="D2406" s="1" t="s">
        <v>8168</v>
      </c>
      <c r="E2406" s="2">
        <v>37849.0</v>
      </c>
      <c r="F2406" s="1" t="s">
        <v>53</v>
      </c>
      <c r="G2406" s="1" t="s">
        <v>17</v>
      </c>
      <c r="H2406" s="1" t="s">
        <v>18</v>
      </c>
      <c r="I2406" s="3">
        <f>+2250102154788</f>
        <v>2250102154788</v>
      </c>
      <c r="J2406" s="3">
        <f>+2250757423903</f>
        <v>2250757423903</v>
      </c>
      <c r="K2406" s="1" t="s">
        <v>19</v>
      </c>
      <c r="L2406" s="4" t="s">
        <v>8169</v>
      </c>
    </row>
    <row r="2407">
      <c r="A2407" s="1" t="s">
        <v>12</v>
      </c>
      <c r="B2407" s="1" t="s">
        <v>8170</v>
      </c>
      <c r="C2407" s="1" t="s">
        <v>8167</v>
      </c>
      <c r="D2407" s="1" t="s">
        <v>8171</v>
      </c>
      <c r="E2407" s="2">
        <v>35594.0</v>
      </c>
      <c r="F2407" s="1" t="s">
        <v>155</v>
      </c>
      <c r="G2407" s="1" t="s">
        <v>82</v>
      </c>
      <c r="H2407" s="1" t="s">
        <v>18</v>
      </c>
      <c r="I2407" s="3">
        <f>+2250749659692</f>
        <v>2250749659692</v>
      </c>
      <c r="J2407" s="3">
        <f>+2250708174452</f>
        <v>2250708174452</v>
      </c>
      <c r="K2407" s="1" t="s">
        <v>19</v>
      </c>
      <c r="L2407" s="4" t="s">
        <v>8172</v>
      </c>
    </row>
    <row r="2408">
      <c r="A2408" s="1" t="s">
        <v>12</v>
      </c>
      <c r="B2408" s="1" t="s">
        <v>8173</v>
      </c>
      <c r="C2408" s="1" t="s">
        <v>8167</v>
      </c>
      <c r="D2408" s="1" t="s">
        <v>8174</v>
      </c>
      <c r="E2408" s="5">
        <v>37968.0</v>
      </c>
      <c r="F2408" s="1" t="s">
        <v>155</v>
      </c>
      <c r="G2408" s="1" t="s">
        <v>31</v>
      </c>
      <c r="H2408" s="1" t="s">
        <v>32</v>
      </c>
      <c r="I2408" s="3">
        <f>+2250797015731</f>
        <v>2250797015731</v>
      </c>
      <c r="J2408" s="3">
        <f>+2250708471216</f>
        <v>2250708471216</v>
      </c>
      <c r="K2408" s="1" t="s">
        <v>19</v>
      </c>
      <c r="L2408" s="4" t="s">
        <v>8175</v>
      </c>
    </row>
    <row r="2409">
      <c r="A2409" s="1" t="s">
        <v>12</v>
      </c>
      <c r="B2409" s="1" t="s">
        <v>8176</v>
      </c>
      <c r="C2409" s="1" t="s">
        <v>8167</v>
      </c>
      <c r="D2409" s="1" t="s">
        <v>8177</v>
      </c>
      <c r="E2409" s="2">
        <v>38516.0</v>
      </c>
      <c r="F2409" s="1" t="s">
        <v>288</v>
      </c>
      <c r="G2409" s="1" t="s">
        <v>76</v>
      </c>
      <c r="H2409" s="1" t="s">
        <v>32</v>
      </c>
      <c r="I2409" s="3">
        <f>+2250778710458</f>
        <v>2250778710458</v>
      </c>
      <c r="J2409" s="3">
        <f>+2250102256146</f>
        <v>2250102256146</v>
      </c>
      <c r="K2409" s="1" t="s">
        <v>19</v>
      </c>
      <c r="L2409" s="4" t="s">
        <v>8178</v>
      </c>
    </row>
    <row r="2410">
      <c r="A2410" s="1" t="s">
        <v>12</v>
      </c>
      <c r="B2410" s="1" t="s">
        <v>8179</v>
      </c>
      <c r="C2410" s="1" t="s">
        <v>8167</v>
      </c>
      <c r="D2410" s="1" t="s">
        <v>8180</v>
      </c>
      <c r="E2410" s="2">
        <v>37046.0</v>
      </c>
      <c r="F2410" s="1" t="s">
        <v>16</v>
      </c>
      <c r="G2410" s="1" t="s">
        <v>25</v>
      </c>
      <c r="H2410" s="1" t="s">
        <v>18</v>
      </c>
      <c r="I2410" s="3">
        <f>+2250150807738</f>
        <v>2250150807738</v>
      </c>
      <c r="J2410" s="3">
        <f>+2250707889800</f>
        <v>2250707889800</v>
      </c>
      <c r="K2410" s="1" t="s">
        <v>19</v>
      </c>
      <c r="L2410" s="4" t="s">
        <v>8181</v>
      </c>
    </row>
    <row r="2411">
      <c r="A2411" s="1" t="s">
        <v>12</v>
      </c>
      <c r="B2411" s="1" t="s">
        <v>8182</v>
      </c>
      <c r="C2411" s="1" t="s">
        <v>8167</v>
      </c>
      <c r="D2411" s="1" t="s">
        <v>8183</v>
      </c>
      <c r="E2411" s="2">
        <v>37507.0</v>
      </c>
      <c r="F2411" s="1" t="s">
        <v>62</v>
      </c>
      <c r="G2411" s="1" t="s">
        <v>17</v>
      </c>
      <c r="H2411" s="1" t="s">
        <v>18</v>
      </c>
      <c r="I2411" s="3">
        <f>+2250140036767</f>
        <v>2250140036767</v>
      </c>
      <c r="J2411" s="3">
        <f>+2250707926876</f>
        <v>2250707926876</v>
      </c>
      <c r="K2411" s="1" t="s">
        <v>19</v>
      </c>
      <c r="L2411" s="4" t="s">
        <v>8184</v>
      </c>
    </row>
    <row r="2412">
      <c r="A2412" s="1" t="s">
        <v>12</v>
      </c>
      <c r="B2412" s="1" t="s">
        <v>8185</v>
      </c>
      <c r="C2412" s="1" t="s">
        <v>8167</v>
      </c>
      <c r="D2412" s="1" t="s">
        <v>8186</v>
      </c>
      <c r="E2412" s="2">
        <v>37829.0</v>
      </c>
      <c r="F2412" s="1" t="s">
        <v>75</v>
      </c>
      <c r="G2412" s="1" t="s">
        <v>76</v>
      </c>
      <c r="H2412" s="1" t="s">
        <v>32</v>
      </c>
      <c r="I2412" s="3">
        <f>+2250767640903</f>
        <v>2250767640903</v>
      </c>
      <c r="J2412" s="3">
        <f>+2250708858566</f>
        <v>2250708858566</v>
      </c>
      <c r="K2412" s="1" t="s">
        <v>19</v>
      </c>
      <c r="L2412" s="4" t="s">
        <v>8187</v>
      </c>
    </row>
    <row r="2413">
      <c r="A2413" s="1" t="s">
        <v>12</v>
      </c>
      <c r="B2413" s="1" t="s">
        <v>8188</v>
      </c>
      <c r="C2413" s="1" t="s">
        <v>8167</v>
      </c>
      <c r="D2413" s="1" t="s">
        <v>8189</v>
      </c>
      <c r="E2413" s="2">
        <v>38009.0</v>
      </c>
      <c r="F2413" s="1" t="s">
        <v>62</v>
      </c>
      <c r="G2413" s="1" t="s">
        <v>17</v>
      </c>
      <c r="H2413" s="1" t="s">
        <v>18</v>
      </c>
      <c r="I2413" s="3">
        <f t="shared" ref="I2413:J2413" si="73">+2250758991988</f>
        <v>2250758991988</v>
      </c>
      <c r="J2413" s="3">
        <f t="shared" si="73"/>
        <v>2250758991988</v>
      </c>
      <c r="K2413" s="1" t="s">
        <v>19</v>
      </c>
      <c r="L2413" s="4" t="s">
        <v>8190</v>
      </c>
    </row>
    <row r="2414">
      <c r="A2414" s="1" t="s">
        <v>12</v>
      </c>
      <c r="B2414" s="1" t="s">
        <v>8191</v>
      </c>
      <c r="C2414" s="1" t="s">
        <v>8167</v>
      </c>
      <c r="D2414" s="1" t="s">
        <v>8192</v>
      </c>
      <c r="E2414" s="5">
        <v>37588.0</v>
      </c>
      <c r="F2414" s="1" t="s">
        <v>155</v>
      </c>
      <c r="G2414" s="1" t="s">
        <v>76</v>
      </c>
      <c r="H2414" s="1" t="s">
        <v>32</v>
      </c>
      <c r="I2414" s="3">
        <f>+2250565567247</f>
        <v>2250565567247</v>
      </c>
      <c r="J2414" s="3">
        <f>+2250759584033</f>
        <v>2250759584033</v>
      </c>
      <c r="K2414" s="1" t="s">
        <v>19</v>
      </c>
      <c r="L2414" s="4" t="s">
        <v>8193</v>
      </c>
    </row>
    <row r="2415">
      <c r="A2415" s="1" t="s">
        <v>12</v>
      </c>
      <c r="B2415" s="1" t="s">
        <v>8194</v>
      </c>
      <c r="C2415" s="1" t="s">
        <v>8195</v>
      </c>
      <c r="D2415" s="1" t="s">
        <v>8196</v>
      </c>
      <c r="E2415" s="2">
        <v>38358.0</v>
      </c>
      <c r="F2415" s="1" t="s">
        <v>16</v>
      </c>
      <c r="G2415" s="1" t="s">
        <v>25</v>
      </c>
      <c r="H2415" s="1" t="s">
        <v>18</v>
      </c>
      <c r="I2415" s="3">
        <f>+2250778389408</f>
        <v>2250778389408</v>
      </c>
      <c r="J2415" s="3">
        <f>+2250777280997</f>
        <v>2250777280997</v>
      </c>
      <c r="K2415" s="1" t="s">
        <v>19</v>
      </c>
      <c r="L2415" s="4" t="s">
        <v>8197</v>
      </c>
    </row>
    <row r="2416">
      <c r="A2416" s="1" t="s">
        <v>12</v>
      </c>
      <c r="B2416" s="1" t="s">
        <v>8198</v>
      </c>
      <c r="C2416" s="1" t="s">
        <v>8195</v>
      </c>
      <c r="D2416" s="1" t="s">
        <v>8199</v>
      </c>
      <c r="E2416" s="2">
        <v>37898.0</v>
      </c>
      <c r="F2416" s="1" t="s">
        <v>53</v>
      </c>
      <c r="G2416" s="1" t="s">
        <v>25</v>
      </c>
      <c r="H2416" s="1" t="s">
        <v>18</v>
      </c>
      <c r="I2416" s="3">
        <f>+2250502142994</f>
        <v>2250502142994</v>
      </c>
      <c r="J2416" s="3">
        <f>+2250707358796</f>
        <v>2250707358796</v>
      </c>
      <c r="K2416" s="1" t="s">
        <v>19</v>
      </c>
      <c r="L2416" s="4" t="s">
        <v>8200</v>
      </c>
    </row>
    <row r="2417">
      <c r="A2417" s="1" t="s">
        <v>12</v>
      </c>
      <c r="B2417" s="1" t="s">
        <v>8201</v>
      </c>
      <c r="C2417" s="1" t="s">
        <v>8202</v>
      </c>
      <c r="D2417" s="1" t="s">
        <v>8203</v>
      </c>
      <c r="E2417" s="2">
        <v>38862.0</v>
      </c>
      <c r="F2417" s="1" t="s">
        <v>30</v>
      </c>
      <c r="G2417" s="1" t="s">
        <v>76</v>
      </c>
      <c r="H2417" s="1" t="s">
        <v>32</v>
      </c>
      <c r="I2417" s="3">
        <f t="shared" ref="I2417:J2417" si="74">+2250708389195</f>
        <v>2250708389195</v>
      </c>
      <c r="J2417" s="3">
        <f t="shared" si="74"/>
        <v>2250708389195</v>
      </c>
      <c r="K2417" s="1" t="s">
        <v>19</v>
      </c>
      <c r="L2417" s="4" t="s">
        <v>8204</v>
      </c>
    </row>
    <row r="2418">
      <c r="A2418" s="1" t="s">
        <v>12</v>
      </c>
      <c r="B2418" s="1" t="s">
        <v>8205</v>
      </c>
      <c r="C2418" s="1" t="s">
        <v>8206</v>
      </c>
      <c r="D2418" s="1" t="s">
        <v>8207</v>
      </c>
      <c r="E2418" s="5">
        <v>38352.0</v>
      </c>
      <c r="F2418" s="1" t="s">
        <v>342</v>
      </c>
      <c r="G2418" s="1" t="s">
        <v>82</v>
      </c>
      <c r="H2418" s="1" t="s">
        <v>18</v>
      </c>
      <c r="I2418" s="3">
        <f>+2250747774679</f>
        <v>2250747774679</v>
      </c>
      <c r="J2418" s="3">
        <f>+2250708004208</f>
        <v>2250708004208</v>
      </c>
      <c r="K2418" s="1" t="s">
        <v>19</v>
      </c>
      <c r="L2418" s="4" t="s">
        <v>8208</v>
      </c>
    </row>
    <row r="2419">
      <c r="A2419" s="1" t="s">
        <v>12</v>
      </c>
      <c r="B2419" s="1" t="s">
        <v>8209</v>
      </c>
      <c r="C2419" s="1" t="s">
        <v>8206</v>
      </c>
      <c r="D2419" s="1" t="s">
        <v>8210</v>
      </c>
      <c r="E2419" s="2">
        <v>37736.0</v>
      </c>
      <c r="F2419" s="1" t="s">
        <v>48</v>
      </c>
      <c r="G2419" s="1" t="s">
        <v>76</v>
      </c>
      <c r="H2419" s="1" t="s">
        <v>32</v>
      </c>
      <c r="I2419" s="3">
        <f>+2250788746095</f>
        <v>2250788746095</v>
      </c>
      <c r="J2419" s="3">
        <f>+2250707943795</f>
        <v>2250707943795</v>
      </c>
      <c r="K2419" s="1" t="s">
        <v>19</v>
      </c>
      <c r="L2419" s="4" t="s">
        <v>8211</v>
      </c>
    </row>
    <row r="2420">
      <c r="A2420" s="1" t="s">
        <v>12</v>
      </c>
      <c r="B2420" s="1" t="s">
        <v>8212</v>
      </c>
      <c r="C2420" s="1" t="s">
        <v>8213</v>
      </c>
      <c r="D2420" s="1" t="s">
        <v>8214</v>
      </c>
      <c r="E2420" s="2">
        <v>38036.0</v>
      </c>
      <c r="F2420" s="1" t="s">
        <v>62</v>
      </c>
      <c r="G2420" s="1" t="s">
        <v>17</v>
      </c>
      <c r="H2420" s="1" t="s">
        <v>18</v>
      </c>
      <c r="I2420" s="3">
        <f>+2250769970160</f>
        <v>2250769970160</v>
      </c>
      <c r="J2420" s="3">
        <f>+2250544842157</f>
        <v>2250544842157</v>
      </c>
      <c r="K2420" s="1" t="s">
        <v>19</v>
      </c>
      <c r="L2420" s="4" t="s">
        <v>8215</v>
      </c>
    </row>
    <row r="2421">
      <c r="A2421" s="1" t="s">
        <v>12</v>
      </c>
      <c r="B2421" s="1" t="s">
        <v>8216</v>
      </c>
      <c r="C2421" s="1" t="s">
        <v>8217</v>
      </c>
      <c r="D2421" s="1" t="s">
        <v>8218</v>
      </c>
      <c r="E2421" s="5">
        <v>37247.0</v>
      </c>
      <c r="F2421" s="1" t="s">
        <v>62</v>
      </c>
      <c r="G2421" s="1" t="s">
        <v>17</v>
      </c>
      <c r="H2421" s="1" t="s">
        <v>18</v>
      </c>
      <c r="I2421" s="3">
        <f>+2250172223746</f>
        <v>2250172223746</v>
      </c>
      <c r="J2421" s="3">
        <f>+2250778340895</f>
        <v>2250778340895</v>
      </c>
      <c r="K2421" s="1" t="s">
        <v>19</v>
      </c>
      <c r="L2421" s="4" t="s">
        <v>8219</v>
      </c>
    </row>
    <row r="2422">
      <c r="A2422" s="1" t="s">
        <v>12</v>
      </c>
      <c r="B2422" s="1" t="s">
        <v>8220</v>
      </c>
      <c r="C2422" s="1" t="s">
        <v>8221</v>
      </c>
      <c r="D2422" s="1" t="s">
        <v>8222</v>
      </c>
      <c r="E2422" s="2">
        <v>38017.0</v>
      </c>
      <c r="F2422" s="1" t="s">
        <v>101</v>
      </c>
      <c r="G2422" s="1" t="s">
        <v>76</v>
      </c>
      <c r="H2422" s="1" t="s">
        <v>32</v>
      </c>
      <c r="I2422" s="3">
        <f>+2250704161422</f>
        <v>2250704161422</v>
      </c>
      <c r="J2422" s="3">
        <f>+2250556255206</f>
        <v>2250556255206</v>
      </c>
      <c r="K2422" s="1" t="s">
        <v>19</v>
      </c>
      <c r="L2422" s="4" t="s">
        <v>8223</v>
      </c>
    </row>
    <row r="2423">
      <c r="A2423" s="1" t="s">
        <v>12</v>
      </c>
      <c r="B2423" s="1" t="s">
        <v>8224</v>
      </c>
      <c r="C2423" s="1" t="s">
        <v>8221</v>
      </c>
      <c r="D2423" s="1" t="s">
        <v>8225</v>
      </c>
      <c r="E2423" s="2">
        <v>36652.0</v>
      </c>
      <c r="F2423" s="1" t="s">
        <v>24</v>
      </c>
      <c r="G2423" s="1" t="s">
        <v>82</v>
      </c>
      <c r="H2423" s="1" t="s">
        <v>18</v>
      </c>
      <c r="I2423" s="3">
        <f>+2250758898706</f>
        <v>2250758898706</v>
      </c>
      <c r="J2423" s="3">
        <f>+2250709528738</f>
        <v>2250709528738</v>
      </c>
      <c r="K2423" s="1" t="s">
        <v>19</v>
      </c>
      <c r="L2423" s="4" t="s">
        <v>8226</v>
      </c>
    </row>
    <row r="2424">
      <c r="A2424" s="1" t="s">
        <v>12</v>
      </c>
      <c r="B2424" s="1" t="s">
        <v>8227</v>
      </c>
      <c r="C2424" s="1" t="s">
        <v>8221</v>
      </c>
      <c r="D2424" s="1" t="s">
        <v>8228</v>
      </c>
      <c r="E2424" s="2">
        <v>38037.0</v>
      </c>
      <c r="F2424" s="1" t="s">
        <v>30</v>
      </c>
      <c r="G2424" s="1" t="s">
        <v>76</v>
      </c>
      <c r="H2424" s="1" t="s">
        <v>32</v>
      </c>
      <c r="I2424" s="3">
        <f>+2250143673505</f>
        <v>2250143673505</v>
      </c>
      <c r="J2424" s="3">
        <f>+2250778751902</f>
        <v>2250778751902</v>
      </c>
      <c r="K2424" s="1" t="s">
        <v>19</v>
      </c>
      <c r="L2424" s="4" t="s">
        <v>8229</v>
      </c>
    </row>
    <row r="2425">
      <c r="A2425" s="1" t="s">
        <v>12</v>
      </c>
      <c r="B2425" s="1" t="s">
        <v>8230</v>
      </c>
      <c r="C2425" s="1" t="s">
        <v>8221</v>
      </c>
      <c r="D2425" s="1" t="s">
        <v>8231</v>
      </c>
      <c r="E2425" s="5">
        <v>38304.0</v>
      </c>
      <c r="F2425" s="1" t="s">
        <v>101</v>
      </c>
      <c r="G2425" s="1" t="s">
        <v>31</v>
      </c>
      <c r="H2425" s="1" t="s">
        <v>32</v>
      </c>
      <c r="I2425" s="3">
        <f>+2250594415870</f>
        <v>2250594415870</v>
      </c>
      <c r="J2425" s="3">
        <f>+2250594475870</f>
        <v>2250594475870</v>
      </c>
      <c r="K2425" s="1" t="s">
        <v>19</v>
      </c>
      <c r="L2425" s="4" t="s">
        <v>8232</v>
      </c>
    </row>
    <row r="2426">
      <c r="A2426" s="1" t="s">
        <v>12</v>
      </c>
      <c r="B2426" s="1" t="s">
        <v>8233</v>
      </c>
      <c r="C2426" s="1" t="s">
        <v>8234</v>
      </c>
      <c r="D2426" s="1" t="s">
        <v>8235</v>
      </c>
      <c r="E2426" s="5">
        <v>37570.0</v>
      </c>
      <c r="F2426" s="1" t="s">
        <v>101</v>
      </c>
      <c r="G2426" s="1" t="s">
        <v>31</v>
      </c>
      <c r="H2426" s="1" t="s">
        <v>32</v>
      </c>
      <c r="I2426" s="3">
        <f>+2250478812592</f>
        <v>2250478812592</v>
      </c>
      <c r="J2426" s="3">
        <f>+2250749407750</f>
        <v>2250749407750</v>
      </c>
      <c r="K2426" s="1" t="s">
        <v>19</v>
      </c>
      <c r="L2426" s="4" t="s">
        <v>8236</v>
      </c>
    </row>
    <row r="2427">
      <c r="A2427" s="1" t="s">
        <v>12</v>
      </c>
      <c r="B2427" s="1" t="s">
        <v>8237</v>
      </c>
      <c r="C2427" s="1" t="s">
        <v>8238</v>
      </c>
      <c r="D2427" s="1" t="s">
        <v>8239</v>
      </c>
      <c r="E2427" s="5">
        <v>38641.0</v>
      </c>
      <c r="F2427" s="1" t="s">
        <v>138</v>
      </c>
      <c r="G2427" s="1" t="s">
        <v>76</v>
      </c>
      <c r="H2427" s="1" t="s">
        <v>32</v>
      </c>
      <c r="I2427" s="3">
        <f>+2250151302302</f>
        <v>2250151302302</v>
      </c>
      <c r="J2427" s="3">
        <f>+2250749546279</f>
        <v>2250749546279</v>
      </c>
      <c r="K2427" s="1" t="s">
        <v>19</v>
      </c>
      <c r="L2427" s="4" t="s">
        <v>8240</v>
      </c>
    </row>
    <row r="2428">
      <c r="A2428" s="1" t="s">
        <v>12</v>
      </c>
      <c r="B2428" s="1" t="s">
        <v>8241</v>
      </c>
      <c r="C2428" s="1" t="s">
        <v>8242</v>
      </c>
      <c r="D2428" s="1" t="s">
        <v>8243</v>
      </c>
      <c r="E2428" s="2">
        <v>36615.0</v>
      </c>
      <c r="F2428" s="1" t="s">
        <v>16</v>
      </c>
      <c r="G2428" s="1" t="s">
        <v>38</v>
      </c>
      <c r="H2428" s="1" t="s">
        <v>39</v>
      </c>
      <c r="I2428" s="3">
        <f>+2250787712666</f>
        <v>2250787712666</v>
      </c>
      <c r="J2428" s="3">
        <f>+2250140262262</f>
        <v>2250140262262</v>
      </c>
      <c r="K2428" s="1" t="s">
        <v>19</v>
      </c>
      <c r="L2428" s="4" t="s">
        <v>8244</v>
      </c>
    </row>
    <row r="2429">
      <c r="A2429" s="1" t="s">
        <v>12</v>
      </c>
      <c r="B2429" s="1" t="s">
        <v>8245</v>
      </c>
      <c r="C2429" s="1" t="s">
        <v>8246</v>
      </c>
      <c r="D2429" s="1" t="s">
        <v>8247</v>
      </c>
      <c r="E2429" s="5">
        <v>39067.0</v>
      </c>
      <c r="F2429" s="1" t="s">
        <v>62</v>
      </c>
      <c r="G2429" s="1" t="s">
        <v>25</v>
      </c>
      <c r="H2429" s="1" t="s">
        <v>18</v>
      </c>
      <c r="I2429" s="3">
        <f>+2250788544828</f>
        <v>2250788544828</v>
      </c>
      <c r="J2429" s="3">
        <f>+2250708753068</f>
        <v>2250708753068</v>
      </c>
      <c r="K2429" s="1" t="s">
        <v>19</v>
      </c>
      <c r="L2429" s="4" t="s">
        <v>8248</v>
      </c>
    </row>
    <row r="2430">
      <c r="A2430" s="1" t="s">
        <v>12</v>
      </c>
      <c r="B2430" s="1" t="s">
        <v>8249</v>
      </c>
      <c r="C2430" s="1" t="s">
        <v>8250</v>
      </c>
      <c r="D2430" s="1" t="s">
        <v>8251</v>
      </c>
      <c r="E2430" s="2">
        <v>38026.0</v>
      </c>
      <c r="F2430" s="1" t="s">
        <v>53</v>
      </c>
      <c r="G2430" s="1" t="s">
        <v>17</v>
      </c>
      <c r="H2430" s="1" t="s">
        <v>18</v>
      </c>
      <c r="I2430" s="3">
        <f>+2250506498685</f>
        <v>2250506498685</v>
      </c>
      <c r="J2430" s="3">
        <f>+2250140201436</f>
        <v>2250140201436</v>
      </c>
      <c r="K2430" s="1" t="s">
        <v>19</v>
      </c>
      <c r="L2430" s="4" t="s">
        <v>8252</v>
      </c>
    </row>
    <row r="2431">
      <c r="A2431" s="1" t="s">
        <v>12</v>
      </c>
      <c r="B2431" s="1" t="s">
        <v>8253</v>
      </c>
      <c r="C2431" s="1" t="s">
        <v>8254</v>
      </c>
      <c r="D2431" s="1" t="s">
        <v>8255</v>
      </c>
      <c r="E2431" s="2">
        <v>37132.0</v>
      </c>
      <c r="F2431" s="1" t="s">
        <v>53</v>
      </c>
      <c r="G2431" s="1" t="s">
        <v>17</v>
      </c>
      <c r="H2431" s="1" t="s">
        <v>18</v>
      </c>
      <c r="I2431" s="3">
        <f>+2250151014829</f>
        <v>2250151014829</v>
      </c>
      <c r="J2431" s="3">
        <f>+2250747638860</f>
        <v>2250747638860</v>
      </c>
      <c r="K2431" s="1" t="s">
        <v>19</v>
      </c>
      <c r="L2431" s="4" t="s">
        <v>8256</v>
      </c>
    </row>
    <row r="2432">
      <c r="A2432" s="1" t="s">
        <v>12</v>
      </c>
      <c r="B2432" s="1" t="s">
        <v>8257</v>
      </c>
      <c r="C2432" s="1" t="s">
        <v>8258</v>
      </c>
      <c r="D2432" s="1" t="s">
        <v>8259</v>
      </c>
      <c r="E2432" s="5">
        <v>37905.0</v>
      </c>
      <c r="F2432" s="1" t="s">
        <v>138</v>
      </c>
      <c r="G2432" s="1" t="s">
        <v>76</v>
      </c>
      <c r="H2432" s="1" t="s">
        <v>32</v>
      </c>
      <c r="I2432" s="3">
        <f>+2250757082019</f>
        <v>2250757082019</v>
      </c>
      <c r="J2432" s="3">
        <f>+2250708365639</f>
        <v>2250708365639</v>
      </c>
      <c r="K2432" s="1" t="s">
        <v>19</v>
      </c>
      <c r="L2432" s="4" t="s">
        <v>8260</v>
      </c>
    </row>
    <row r="2433">
      <c r="A2433" s="1" t="s">
        <v>12</v>
      </c>
      <c r="B2433" s="1" t="s">
        <v>8261</v>
      </c>
      <c r="C2433" s="1" t="s">
        <v>8258</v>
      </c>
      <c r="D2433" s="1" t="s">
        <v>8262</v>
      </c>
      <c r="E2433" s="2">
        <v>37505.0</v>
      </c>
      <c r="F2433" s="1" t="s">
        <v>155</v>
      </c>
      <c r="G2433" s="1" t="s">
        <v>82</v>
      </c>
      <c r="H2433" s="1" t="s">
        <v>18</v>
      </c>
      <c r="I2433" s="3">
        <f>+2250759839863</f>
        <v>2250759839863</v>
      </c>
      <c r="J2433" s="3">
        <f>+2250758927452</f>
        <v>2250758927452</v>
      </c>
      <c r="K2433" s="1" t="s">
        <v>19</v>
      </c>
      <c r="L2433" s="4" t="s">
        <v>8263</v>
      </c>
    </row>
    <row r="2434">
      <c r="A2434" s="1" t="s">
        <v>12</v>
      </c>
      <c r="B2434" s="1" t="s">
        <v>8264</v>
      </c>
      <c r="C2434" s="1" t="s">
        <v>8258</v>
      </c>
      <c r="D2434" s="1" t="s">
        <v>8265</v>
      </c>
      <c r="E2434" s="5">
        <v>36880.0</v>
      </c>
      <c r="F2434" s="1" t="s">
        <v>62</v>
      </c>
      <c r="G2434" s="1" t="s">
        <v>17</v>
      </c>
      <c r="H2434" s="1" t="s">
        <v>18</v>
      </c>
      <c r="I2434" s="3">
        <f>+2250779160356</f>
        <v>2250779160356</v>
      </c>
      <c r="J2434" s="3">
        <f>+2250709993566</f>
        <v>2250709993566</v>
      </c>
      <c r="K2434" s="1" t="s">
        <v>19</v>
      </c>
      <c r="L2434" s="4" t="s">
        <v>8266</v>
      </c>
    </row>
    <row r="2435">
      <c r="A2435" s="1" t="s">
        <v>12</v>
      </c>
      <c r="B2435" s="1" t="s">
        <v>8267</v>
      </c>
      <c r="C2435" s="1" t="s">
        <v>8268</v>
      </c>
      <c r="D2435" s="1" t="s">
        <v>8269</v>
      </c>
      <c r="E2435" s="2">
        <v>37162.0</v>
      </c>
      <c r="F2435" s="1" t="s">
        <v>75</v>
      </c>
      <c r="G2435" s="1" t="s">
        <v>31</v>
      </c>
      <c r="H2435" s="1" t="s">
        <v>32</v>
      </c>
      <c r="I2435" s="3">
        <f>+2250789248354</f>
        <v>2250789248354</v>
      </c>
      <c r="J2435" s="3">
        <f>+2250747860084</f>
        <v>2250747860084</v>
      </c>
      <c r="K2435" s="1" t="s">
        <v>19</v>
      </c>
      <c r="L2435" s="4" t="s">
        <v>8270</v>
      </c>
    </row>
    <row r="2436">
      <c r="A2436" s="1" t="s">
        <v>12</v>
      </c>
      <c r="B2436" s="1" t="s">
        <v>8271</v>
      </c>
      <c r="C2436" s="1" t="s">
        <v>8272</v>
      </c>
      <c r="D2436" s="1" t="s">
        <v>8273</v>
      </c>
      <c r="E2436" s="5">
        <v>38333.0</v>
      </c>
      <c r="F2436" s="1" t="s">
        <v>53</v>
      </c>
      <c r="G2436" s="1" t="s">
        <v>25</v>
      </c>
      <c r="H2436" s="1" t="s">
        <v>18</v>
      </c>
      <c r="I2436" s="3">
        <f>+2250759658738</f>
        <v>2250759658738</v>
      </c>
      <c r="J2436" s="3">
        <f>+2250171460566</f>
        <v>2250171460566</v>
      </c>
      <c r="K2436" s="1" t="s">
        <v>19</v>
      </c>
      <c r="L2436" s="4" t="s">
        <v>8274</v>
      </c>
    </row>
    <row r="2437">
      <c r="A2437" s="1" t="s">
        <v>12</v>
      </c>
      <c r="B2437" s="1" t="s">
        <v>8275</v>
      </c>
      <c r="C2437" s="1" t="s">
        <v>8276</v>
      </c>
      <c r="D2437" s="1" t="s">
        <v>8277</v>
      </c>
      <c r="E2437" s="5">
        <v>37217.0</v>
      </c>
      <c r="F2437" s="1" t="s">
        <v>288</v>
      </c>
      <c r="G2437" s="1" t="s">
        <v>31</v>
      </c>
      <c r="H2437" s="1" t="s">
        <v>32</v>
      </c>
      <c r="I2437" s="3">
        <f>+2250103048366</f>
        <v>2250103048366</v>
      </c>
      <c r="J2437" s="3">
        <f>+2250708418922</f>
        <v>2250708418922</v>
      </c>
      <c r="K2437" s="1" t="s">
        <v>19</v>
      </c>
      <c r="L2437" s="4" t="s">
        <v>8278</v>
      </c>
    </row>
    <row r="2438">
      <c r="A2438" s="1" t="s">
        <v>12</v>
      </c>
      <c r="B2438" s="1" t="s">
        <v>8279</v>
      </c>
      <c r="C2438" s="1" t="s">
        <v>8276</v>
      </c>
      <c r="D2438" s="1" t="s">
        <v>8280</v>
      </c>
      <c r="E2438" s="2">
        <v>37830.0</v>
      </c>
      <c r="F2438" s="1" t="s">
        <v>167</v>
      </c>
      <c r="G2438" s="1" t="s">
        <v>17</v>
      </c>
      <c r="H2438" s="1" t="s">
        <v>18</v>
      </c>
      <c r="I2438" s="3">
        <f>+2250576112836</f>
        <v>2250576112836</v>
      </c>
      <c r="J2438" s="3">
        <f>+2250506541903</f>
        <v>2250506541903</v>
      </c>
      <c r="K2438" s="1" t="s">
        <v>19</v>
      </c>
      <c r="L2438" s="4" t="s">
        <v>8281</v>
      </c>
    </row>
    <row r="2439">
      <c r="A2439" s="1" t="s">
        <v>12</v>
      </c>
      <c r="B2439" s="1" t="s">
        <v>8282</v>
      </c>
      <c r="C2439" s="1" t="s">
        <v>8283</v>
      </c>
      <c r="D2439" s="1" t="s">
        <v>8284</v>
      </c>
      <c r="E2439" s="2">
        <v>38208.0</v>
      </c>
      <c r="F2439" s="1" t="s">
        <v>48</v>
      </c>
      <c r="G2439" s="1" t="s">
        <v>76</v>
      </c>
      <c r="H2439" s="1" t="s">
        <v>32</v>
      </c>
      <c r="I2439" s="3">
        <f>+2250757754741</f>
        <v>2250757754741</v>
      </c>
      <c r="J2439" s="3">
        <f>+2250707501752</f>
        <v>2250707501752</v>
      </c>
      <c r="K2439" s="1" t="s">
        <v>8285</v>
      </c>
      <c r="L2439" s="4" t="s">
        <v>8286</v>
      </c>
    </row>
    <row r="2440">
      <c r="A2440" s="1" t="s">
        <v>12</v>
      </c>
      <c r="B2440" s="1" t="s">
        <v>8287</v>
      </c>
      <c r="C2440" s="1" t="s">
        <v>8288</v>
      </c>
      <c r="D2440" s="1" t="s">
        <v>8289</v>
      </c>
      <c r="E2440" s="2">
        <v>39299.0</v>
      </c>
      <c r="F2440" s="1" t="s">
        <v>288</v>
      </c>
      <c r="G2440" s="1" t="s">
        <v>76</v>
      </c>
      <c r="H2440" s="1" t="s">
        <v>32</v>
      </c>
      <c r="I2440" s="3">
        <f>+2250173781083</f>
        <v>2250173781083</v>
      </c>
      <c r="J2440" s="3">
        <f>+2250707428807</f>
        <v>2250707428807</v>
      </c>
      <c r="K2440" s="1" t="s">
        <v>19</v>
      </c>
      <c r="L2440" s="4" t="s">
        <v>8290</v>
      </c>
    </row>
    <row r="2441">
      <c r="A2441" s="1" t="s">
        <v>12</v>
      </c>
      <c r="B2441" s="1" t="s">
        <v>8291</v>
      </c>
      <c r="C2441" s="1" t="s">
        <v>8292</v>
      </c>
      <c r="D2441" s="1" t="s">
        <v>1656</v>
      </c>
      <c r="E2441" s="2">
        <v>38237.0</v>
      </c>
      <c r="F2441" s="1" t="s">
        <v>62</v>
      </c>
      <c r="G2441" s="1" t="s">
        <v>25</v>
      </c>
      <c r="H2441" s="1" t="s">
        <v>18</v>
      </c>
      <c r="I2441" s="3">
        <f>+2250767191346</f>
        <v>2250767191346</v>
      </c>
      <c r="J2441" s="3">
        <f>+2250707100044</f>
        <v>2250707100044</v>
      </c>
      <c r="K2441" s="1" t="s">
        <v>19</v>
      </c>
      <c r="L2441" s="4" t="s">
        <v>8293</v>
      </c>
    </row>
    <row r="2442">
      <c r="A2442" s="1" t="s">
        <v>12</v>
      </c>
      <c r="B2442" s="1" t="s">
        <v>8294</v>
      </c>
      <c r="C2442" s="1" t="s">
        <v>8295</v>
      </c>
      <c r="D2442" s="1" t="s">
        <v>8296</v>
      </c>
      <c r="E2442" s="2">
        <v>36749.0</v>
      </c>
      <c r="F2442" s="1" t="s">
        <v>16</v>
      </c>
      <c r="G2442" s="1" t="s">
        <v>25</v>
      </c>
      <c r="H2442" s="1" t="s">
        <v>18</v>
      </c>
      <c r="I2442" s="3">
        <f>+2250708215271</f>
        <v>2250708215271</v>
      </c>
      <c r="J2442" s="3">
        <f>+2250779806422</f>
        <v>2250779806422</v>
      </c>
      <c r="K2442" s="1" t="s">
        <v>19</v>
      </c>
      <c r="L2442" s="4" t="s">
        <v>8297</v>
      </c>
    </row>
    <row r="2443">
      <c r="A2443" s="1" t="s">
        <v>12</v>
      </c>
      <c r="B2443" s="1" t="s">
        <v>8298</v>
      </c>
      <c r="C2443" s="1" t="s">
        <v>8299</v>
      </c>
      <c r="D2443" s="1" t="s">
        <v>8300</v>
      </c>
      <c r="E2443" s="2">
        <v>37333.0</v>
      </c>
      <c r="F2443" s="1" t="s">
        <v>138</v>
      </c>
      <c r="G2443" s="1" t="s">
        <v>31</v>
      </c>
      <c r="H2443" s="1" t="s">
        <v>32</v>
      </c>
      <c r="I2443" s="3">
        <f t="shared" ref="I2443:J2443" si="75">+2250767182601</f>
        <v>2250767182601</v>
      </c>
      <c r="J2443" s="3">
        <f t="shared" si="75"/>
        <v>2250767182601</v>
      </c>
      <c r="K2443" s="1" t="s">
        <v>19</v>
      </c>
      <c r="L2443" s="4" t="s">
        <v>8301</v>
      </c>
    </row>
    <row r="2444">
      <c r="A2444" s="1" t="s">
        <v>12</v>
      </c>
      <c r="B2444" s="1" t="s">
        <v>8302</v>
      </c>
      <c r="C2444" s="1" t="s">
        <v>8303</v>
      </c>
      <c r="D2444" s="1" t="s">
        <v>8304</v>
      </c>
      <c r="E2444" s="2">
        <v>36765.0</v>
      </c>
      <c r="F2444" s="1" t="s">
        <v>62</v>
      </c>
      <c r="G2444" s="1" t="s">
        <v>17</v>
      </c>
      <c r="H2444" s="1" t="s">
        <v>18</v>
      </c>
      <c r="I2444" s="3">
        <f>+2250768440884</f>
        <v>2250768440884</v>
      </c>
      <c r="J2444" s="3">
        <f>+2250152700726</f>
        <v>2250152700726</v>
      </c>
      <c r="K2444" s="1" t="s">
        <v>19</v>
      </c>
      <c r="L2444" s="4" t="s">
        <v>8305</v>
      </c>
    </row>
    <row r="2445">
      <c r="A2445" s="1" t="s">
        <v>12</v>
      </c>
      <c r="B2445" s="1" t="s">
        <v>8306</v>
      </c>
      <c r="C2445" s="1" t="s">
        <v>8307</v>
      </c>
      <c r="D2445" s="1" t="s">
        <v>8308</v>
      </c>
      <c r="E2445" s="2">
        <v>38565.0</v>
      </c>
      <c r="F2445" s="1" t="s">
        <v>53</v>
      </c>
      <c r="G2445" s="1" t="s">
        <v>25</v>
      </c>
      <c r="H2445" s="1" t="s">
        <v>18</v>
      </c>
      <c r="I2445" s="3">
        <f>+2250501884061</f>
        <v>2250501884061</v>
      </c>
      <c r="J2445" s="3">
        <f>+2250748170985</f>
        <v>2250748170985</v>
      </c>
      <c r="K2445" s="1" t="s">
        <v>19</v>
      </c>
      <c r="L2445" s="4" t="s">
        <v>8309</v>
      </c>
    </row>
    <row r="2446">
      <c r="A2446" s="1" t="s">
        <v>12</v>
      </c>
      <c r="B2446" s="1" t="s">
        <v>8310</v>
      </c>
      <c r="C2446" s="1" t="s">
        <v>8307</v>
      </c>
      <c r="D2446" s="1" t="s">
        <v>8311</v>
      </c>
      <c r="E2446" s="2">
        <v>38231.0</v>
      </c>
      <c r="F2446" s="1" t="s">
        <v>62</v>
      </c>
      <c r="G2446" s="1" t="s">
        <v>17</v>
      </c>
      <c r="H2446" s="1" t="s">
        <v>18</v>
      </c>
      <c r="I2446" s="3">
        <f>+2250748709420</f>
        <v>2250748709420</v>
      </c>
      <c r="J2446" s="3">
        <f>+2250749745797</f>
        <v>2250749745797</v>
      </c>
      <c r="K2446" s="1" t="s">
        <v>19</v>
      </c>
      <c r="L2446" s="4" t="s">
        <v>8312</v>
      </c>
    </row>
    <row r="2447">
      <c r="A2447" s="1" t="s">
        <v>12</v>
      </c>
      <c r="B2447" s="1" t="s">
        <v>8313</v>
      </c>
      <c r="C2447" s="1" t="s">
        <v>8307</v>
      </c>
      <c r="D2447" s="1" t="s">
        <v>8314</v>
      </c>
      <c r="E2447" s="2">
        <v>37642.0</v>
      </c>
      <c r="F2447" s="1" t="s">
        <v>16</v>
      </c>
      <c r="G2447" s="1" t="s">
        <v>17</v>
      </c>
      <c r="H2447" s="1" t="s">
        <v>18</v>
      </c>
      <c r="I2447" s="3">
        <f>+2250759203682</f>
        <v>2250759203682</v>
      </c>
      <c r="J2447" s="3">
        <f>+2250708403094</f>
        <v>2250708403094</v>
      </c>
      <c r="K2447" s="1" t="s">
        <v>19</v>
      </c>
      <c r="L2447" s="4" t="s">
        <v>8315</v>
      </c>
    </row>
    <row r="2448">
      <c r="A2448" s="1" t="s">
        <v>12</v>
      </c>
      <c r="B2448" s="1" t="s">
        <v>8316</v>
      </c>
      <c r="C2448" s="1" t="s">
        <v>8307</v>
      </c>
      <c r="D2448" s="1" t="s">
        <v>8317</v>
      </c>
      <c r="E2448" s="5">
        <v>36083.0</v>
      </c>
      <c r="F2448" s="1" t="s">
        <v>155</v>
      </c>
      <c r="G2448" s="1" t="s">
        <v>82</v>
      </c>
      <c r="H2448" s="1" t="s">
        <v>18</v>
      </c>
      <c r="I2448" s="3">
        <f>+2250102912656</f>
        <v>2250102912656</v>
      </c>
      <c r="J2448" s="3">
        <f>+2250140220883</f>
        <v>2250140220883</v>
      </c>
      <c r="K2448" s="1" t="s">
        <v>19</v>
      </c>
      <c r="L2448" s="4" t="s">
        <v>8318</v>
      </c>
    </row>
    <row r="2449">
      <c r="A2449" s="1" t="s">
        <v>12</v>
      </c>
      <c r="B2449" s="1" t="s">
        <v>8319</v>
      </c>
      <c r="C2449" s="1" t="s">
        <v>8320</v>
      </c>
      <c r="D2449" s="1" t="s">
        <v>2806</v>
      </c>
      <c r="E2449" s="5">
        <v>37571.0</v>
      </c>
      <c r="F2449" s="1" t="s">
        <v>16</v>
      </c>
      <c r="G2449" s="1" t="s">
        <v>25</v>
      </c>
      <c r="H2449" s="1" t="s">
        <v>18</v>
      </c>
      <c r="I2449" s="3">
        <f>+2250173579328</f>
        <v>2250173579328</v>
      </c>
      <c r="J2449" s="3">
        <f>+2250505888547</f>
        <v>2250505888547</v>
      </c>
      <c r="K2449" s="1" t="s">
        <v>19</v>
      </c>
      <c r="L2449" s="4" t="s">
        <v>8321</v>
      </c>
    </row>
    <row r="2450">
      <c r="A2450" s="1" t="s">
        <v>12</v>
      </c>
      <c r="B2450" s="1" t="s">
        <v>8322</v>
      </c>
      <c r="C2450" s="1" t="s">
        <v>8323</v>
      </c>
      <c r="D2450" s="1" t="s">
        <v>8324</v>
      </c>
      <c r="E2450" s="2">
        <v>36993.0</v>
      </c>
      <c r="F2450" s="1" t="s">
        <v>138</v>
      </c>
      <c r="G2450" s="1" t="s">
        <v>31</v>
      </c>
      <c r="H2450" s="1" t="s">
        <v>32</v>
      </c>
      <c r="I2450" s="3">
        <f>+2250768747422</f>
        <v>2250768747422</v>
      </c>
      <c r="J2450" s="3">
        <f>+2250708954791</f>
        <v>2250708954791</v>
      </c>
      <c r="K2450" s="1" t="s">
        <v>19</v>
      </c>
      <c r="L2450" s="4" t="s">
        <v>8325</v>
      </c>
    </row>
    <row r="2451">
      <c r="A2451" s="1" t="s">
        <v>12</v>
      </c>
      <c r="B2451" s="1" t="s">
        <v>8326</v>
      </c>
      <c r="C2451" s="1" t="s">
        <v>8327</v>
      </c>
      <c r="D2451" s="1" t="s">
        <v>8328</v>
      </c>
      <c r="E2451" s="2">
        <v>38052.0</v>
      </c>
      <c r="F2451" s="1" t="s">
        <v>48</v>
      </c>
      <c r="G2451" s="1" t="s">
        <v>31</v>
      </c>
      <c r="H2451" s="1" t="s">
        <v>32</v>
      </c>
      <c r="I2451" s="3">
        <f>+2250757783296</f>
        <v>2250757783296</v>
      </c>
      <c r="J2451" s="3">
        <f>+2250757989015</f>
        <v>2250757989015</v>
      </c>
      <c r="K2451" s="1" t="s">
        <v>19</v>
      </c>
      <c r="L2451" s="4" t="s">
        <v>8329</v>
      </c>
    </row>
    <row r="2452">
      <c r="A2452" s="1" t="s">
        <v>12</v>
      </c>
      <c r="B2452" s="1" t="s">
        <v>8330</v>
      </c>
      <c r="C2452" s="1" t="s">
        <v>8331</v>
      </c>
      <c r="D2452" s="1" t="s">
        <v>8332</v>
      </c>
      <c r="E2452" s="5">
        <v>38348.0</v>
      </c>
      <c r="F2452" s="1" t="s">
        <v>53</v>
      </c>
      <c r="G2452" s="1" t="s">
        <v>17</v>
      </c>
      <c r="H2452" s="1" t="s">
        <v>18</v>
      </c>
      <c r="I2452" s="3">
        <f>+2250101352247</f>
        <v>2250101352247</v>
      </c>
      <c r="J2452" s="3">
        <f>+2250708786960</f>
        <v>2250708786960</v>
      </c>
      <c r="K2452" s="1" t="s">
        <v>19</v>
      </c>
      <c r="L2452" s="4" t="s">
        <v>8333</v>
      </c>
    </row>
    <row r="2453">
      <c r="A2453" s="1" t="s">
        <v>12</v>
      </c>
      <c r="B2453" s="1" t="s">
        <v>8334</v>
      </c>
      <c r="C2453" s="1" t="s">
        <v>8335</v>
      </c>
      <c r="D2453" s="1" t="s">
        <v>8336</v>
      </c>
      <c r="E2453" s="2">
        <v>38436.0</v>
      </c>
      <c r="F2453" s="1" t="s">
        <v>62</v>
      </c>
      <c r="G2453" s="1" t="s">
        <v>17</v>
      </c>
      <c r="H2453" s="1" t="s">
        <v>18</v>
      </c>
      <c r="I2453" s="3">
        <f>+2250171037871</f>
        <v>2250171037871</v>
      </c>
      <c r="J2453" s="3">
        <f>+2250707584489</f>
        <v>2250707584489</v>
      </c>
      <c r="K2453" s="1" t="s">
        <v>19</v>
      </c>
      <c r="L2453" s="4" t="s">
        <v>8337</v>
      </c>
    </row>
    <row r="2454">
      <c r="A2454" s="1" t="s">
        <v>12</v>
      </c>
      <c r="B2454" s="1" t="s">
        <v>8338</v>
      </c>
      <c r="C2454" s="1" t="s">
        <v>8339</v>
      </c>
      <c r="D2454" s="1" t="s">
        <v>8340</v>
      </c>
      <c r="E2454" s="2">
        <v>38055.0</v>
      </c>
      <c r="F2454" s="1" t="s">
        <v>16</v>
      </c>
      <c r="G2454" s="1" t="s">
        <v>17</v>
      </c>
      <c r="H2454" s="1" t="s">
        <v>18</v>
      </c>
      <c r="I2454" s="3">
        <f>+2250102839123</f>
        <v>2250102839123</v>
      </c>
      <c r="J2454" s="3">
        <f>+2250705853630</f>
        <v>2250705853630</v>
      </c>
      <c r="K2454" s="1" t="s">
        <v>19</v>
      </c>
      <c r="L2454" s="4" t="s">
        <v>8341</v>
      </c>
    </row>
    <row r="2455">
      <c r="A2455" s="1" t="s">
        <v>12</v>
      </c>
      <c r="B2455" s="1" t="s">
        <v>8342</v>
      </c>
      <c r="C2455" s="1" t="s">
        <v>8343</v>
      </c>
      <c r="D2455" s="1" t="s">
        <v>8344</v>
      </c>
      <c r="E2455" s="2">
        <v>38859.0</v>
      </c>
      <c r="F2455" s="1" t="s">
        <v>30</v>
      </c>
      <c r="G2455" s="1" t="s">
        <v>76</v>
      </c>
      <c r="H2455" s="1" t="s">
        <v>32</v>
      </c>
      <c r="I2455" s="3">
        <f>+2250150963388</f>
        <v>2250150963388</v>
      </c>
      <c r="J2455" s="3">
        <f>+2250748591327</f>
        <v>2250748591327</v>
      </c>
      <c r="K2455" s="1" t="s">
        <v>19</v>
      </c>
      <c r="L2455" s="4" t="s">
        <v>8345</v>
      </c>
    </row>
    <row r="2456">
      <c r="A2456" s="1" t="s">
        <v>12</v>
      </c>
      <c r="B2456" s="1" t="s">
        <v>8346</v>
      </c>
      <c r="C2456" s="1" t="s">
        <v>8347</v>
      </c>
      <c r="D2456" s="1" t="s">
        <v>8348</v>
      </c>
      <c r="E2456" s="2">
        <v>37729.0</v>
      </c>
      <c r="F2456" s="1" t="s">
        <v>138</v>
      </c>
      <c r="G2456" s="1" t="s">
        <v>31</v>
      </c>
      <c r="H2456" s="1" t="s">
        <v>32</v>
      </c>
      <c r="I2456" s="3">
        <f>+2250506005207</f>
        <v>2250506005207</v>
      </c>
      <c r="J2456" s="3">
        <f>+2250545050569</f>
        <v>2250545050569</v>
      </c>
      <c r="K2456" s="1" t="s">
        <v>19</v>
      </c>
      <c r="L2456" s="4" t="s">
        <v>8349</v>
      </c>
    </row>
    <row r="2457">
      <c r="A2457" s="1" t="s">
        <v>12</v>
      </c>
      <c r="B2457" s="1" t="s">
        <v>8350</v>
      </c>
      <c r="C2457" s="1" t="s">
        <v>8351</v>
      </c>
      <c r="D2457" s="1" t="s">
        <v>8352</v>
      </c>
      <c r="E2457" s="2">
        <v>38255.0</v>
      </c>
      <c r="F2457" s="1" t="s">
        <v>53</v>
      </c>
      <c r="G2457" s="1" t="s">
        <v>17</v>
      </c>
      <c r="H2457" s="1" t="s">
        <v>18</v>
      </c>
      <c r="I2457" s="3">
        <f>+2250789465313</f>
        <v>2250789465313</v>
      </c>
      <c r="J2457" s="3">
        <f>+2250584163013</f>
        <v>2250584163013</v>
      </c>
      <c r="K2457" s="1" t="s">
        <v>19</v>
      </c>
      <c r="L2457" s="4" t="s">
        <v>8353</v>
      </c>
    </row>
    <row r="2458">
      <c r="A2458" s="1" t="s">
        <v>12</v>
      </c>
      <c r="B2458" s="1" t="s">
        <v>8354</v>
      </c>
      <c r="C2458" s="1" t="s">
        <v>8355</v>
      </c>
      <c r="D2458" s="1" t="s">
        <v>8356</v>
      </c>
      <c r="E2458" s="5">
        <v>38348.0</v>
      </c>
      <c r="F2458" s="1" t="s">
        <v>30</v>
      </c>
      <c r="G2458" s="1" t="s">
        <v>76</v>
      </c>
      <c r="H2458" s="1" t="s">
        <v>32</v>
      </c>
      <c r="I2458" s="3">
        <f>+2250554123177</f>
        <v>2250554123177</v>
      </c>
      <c r="J2458" s="3">
        <f>+2250140244047</f>
        <v>2250140244047</v>
      </c>
      <c r="K2458" s="1" t="s">
        <v>19</v>
      </c>
      <c r="L2458" s="4" t="s">
        <v>8357</v>
      </c>
    </row>
    <row r="2459">
      <c r="A2459" s="1" t="s">
        <v>12</v>
      </c>
      <c r="B2459" s="1" t="s">
        <v>8358</v>
      </c>
      <c r="C2459" s="1" t="s">
        <v>8359</v>
      </c>
      <c r="D2459" s="1" t="s">
        <v>8360</v>
      </c>
      <c r="E2459" s="2">
        <v>38045.0</v>
      </c>
      <c r="F2459" s="1" t="s">
        <v>101</v>
      </c>
      <c r="G2459" s="1" t="s">
        <v>76</v>
      </c>
      <c r="H2459" s="1" t="s">
        <v>32</v>
      </c>
      <c r="I2459" s="3">
        <f>+2250150058830</f>
        <v>2250150058830</v>
      </c>
      <c r="J2459" s="3">
        <f>+2250505542003</f>
        <v>2250505542003</v>
      </c>
      <c r="K2459" s="1" t="s">
        <v>19</v>
      </c>
      <c r="L2459" s="4" t="s">
        <v>8361</v>
      </c>
    </row>
    <row r="2460">
      <c r="A2460" s="1" t="s">
        <v>12</v>
      </c>
      <c r="B2460" s="1" t="s">
        <v>8362</v>
      </c>
      <c r="C2460" s="1" t="s">
        <v>8363</v>
      </c>
      <c r="D2460" s="1" t="s">
        <v>8364</v>
      </c>
      <c r="E2460" s="2">
        <v>37364.0</v>
      </c>
      <c r="F2460" s="1" t="s">
        <v>16</v>
      </c>
      <c r="G2460" s="1" t="s">
        <v>17</v>
      </c>
      <c r="H2460" s="1" t="s">
        <v>18</v>
      </c>
      <c r="I2460" s="3">
        <f>+2250789058110</f>
        <v>2250789058110</v>
      </c>
      <c r="J2460" s="3">
        <f>+2250749508436</f>
        <v>2250749508436</v>
      </c>
      <c r="K2460" s="1" t="s">
        <v>19</v>
      </c>
      <c r="L2460" s="4" t="s">
        <v>8365</v>
      </c>
    </row>
    <row r="2461">
      <c r="A2461" s="1" t="s">
        <v>12</v>
      </c>
      <c r="B2461" s="1" t="s">
        <v>8366</v>
      </c>
      <c r="C2461" s="1" t="s">
        <v>8367</v>
      </c>
      <c r="D2461" s="1" t="s">
        <v>8368</v>
      </c>
      <c r="E2461" s="2">
        <v>38067.0</v>
      </c>
      <c r="F2461" s="1" t="s">
        <v>53</v>
      </c>
      <c r="G2461" s="1" t="s">
        <v>17</v>
      </c>
      <c r="H2461" s="1" t="s">
        <v>18</v>
      </c>
      <c r="I2461" s="3">
        <f>+2250758177200</f>
        <v>2250758177200</v>
      </c>
      <c r="J2461" s="3">
        <f>+2250142860826</f>
        <v>2250142860826</v>
      </c>
      <c r="K2461" s="1" t="s">
        <v>19</v>
      </c>
      <c r="L2461" s="4" t="s">
        <v>8369</v>
      </c>
    </row>
    <row r="2462">
      <c r="A2462" s="1" t="s">
        <v>12</v>
      </c>
      <c r="B2462" s="1" t="s">
        <v>8370</v>
      </c>
      <c r="C2462" s="1" t="s">
        <v>8371</v>
      </c>
      <c r="D2462" s="1" t="s">
        <v>8372</v>
      </c>
      <c r="E2462" s="5">
        <v>37223.0</v>
      </c>
      <c r="F2462" s="1" t="s">
        <v>70</v>
      </c>
      <c r="G2462" s="1" t="s">
        <v>31</v>
      </c>
      <c r="H2462" s="1" t="s">
        <v>32</v>
      </c>
      <c r="I2462" s="3">
        <f>+2250150143436</f>
        <v>2250150143436</v>
      </c>
      <c r="J2462" s="3">
        <f>+2250556838332</f>
        <v>2250556838332</v>
      </c>
      <c r="K2462" s="1" t="s">
        <v>19</v>
      </c>
      <c r="L2462" s="4" t="s">
        <v>8373</v>
      </c>
    </row>
    <row r="2463">
      <c r="A2463" s="1" t="s">
        <v>12</v>
      </c>
      <c r="B2463" s="1" t="s">
        <v>8374</v>
      </c>
      <c r="C2463" s="1" t="s">
        <v>8375</v>
      </c>
      <c r="D2463" s="1" t="s">
        <v>8376</v>
      </c>
      <c r="E2463" s="2">
        <v>37155.0</v>
      </c>
      <c r="F2463" s="1" t="s">
        <v>110</v>
      </c>
      <c r="G2463" s="1" t="s">
        <v>82</v>
      </c>
      <c r="H2463" s="1" t="s">
        <v>18</v>
      </c>
      <c r="I2463" s="3">
        <f>+2250757825005</f>
        <v>2250757825005</v>
      </c>
      <c r="J2463" s="3">
        <f>+2250757866356</f>
        <v>2250757866356</v>
      </c>
      <c r="K2463" s="1" t="s">
        <v>19</v>
      </c>
      <c r="L2463" s="4" t="s">
        <v>8377</v>
      </c>
    </row>
    <row r="2464">
      <c r="A2464" s="1" t="s">
        <v>12</v>
      </c>
      <c r="B2464" s="1" t="s">
        <v>8378</v>
      </c>
      <c r="C2464" s="1" t="s">
        <v>8379</v>
      </c>
      <c r="D2464" s="1" t="s">
        <v>4867</v>
      </c>
      <c r="E2464" s="2">
        <v>37056.0</v>
      </c>
      <c r="F2464" s="1" t="s">
        <v>92</v>
      </c>
      <c r="G2464" s="1" t="s">
        <v>31</v>
      </c>
      <c r="H2464" s="1" t="s">
        <v>32</v>
      </c>
      <c r="I2464" s="3">
        <f>+2250777343350</f>
        <v>2250777343350</v>
      </c>
      <c r="J2464" s="3">
        <f>+2250707207721</f>
        <v>2250707207721</v>
      </c>
      <c r="K2464" s="1" t="s">
        <v>19</v>
      </c>
      <c r="L2464" s="4" t="s">
        <v>8380</v>
      </c>
    </row>
    <row r="2465">
      <c r="A2465" s="1" t="s">
        <v>12</v>
      </c>
      <c r="B2465" s="1" t="s">
        <v>8381</v>
      </c>
      <c r="C2465" s="1" t="s">
        <v>8382</v>
      </c>
      <c r="D2465" s="1" t="s">
        <v>8383</v>
      </c>
      <c r="E2465" s="2">
        <v>38396.0</v>
      </c>
      <c r="F2465" s="1" t="s">
        <v>24</v>
      </c>
      <c r="G2465" s="1" t="s">
        <v>17</v>
      </c>
      <c r="H2465" s="1" t="s">
        <v>18</v>
      </c>
      <c r="I2465" s="3">
        <f>+2250103570097</f>
        <v>2250103570097</v>
      </c>
      <c r="J2465" s="3">
        <f>+2250102841907</f>
        <v>2250102841907</v>
      </c>
      <c r="K2465" s="1" t="s">
        <v>19</v>
      </c>
      <c r="L2465" s="4" t="s">
        <v>8384</v>
      </c>
    </row>
    <row r="2466">
      <c r="A2466" s="1" t="s">
        <v>12</v>
      </c>
      <c r="B2466" s="1" t="s">
        <v>8385</v>
      </c>
      <c r="C2466" s="1" t="s">
        <v>8386</v>
      </c>
      <c r="D2466" s="1" t="s">
        <v>8387</v>
      </c>
      <c r="E2466" s="2">
        <v>38596.0</v>
      </c>
      <c r="F2466" s="1" t="s">
        <v>16</v>
      </c>
      <c r="G2466" s="1" t="s">
        <v>25</v>
      </c>
      <c r="H2466" s="1" t="s">
        <v>18</v>
      </c>
      <c r="I2466" s="3">
        <f>+2250153232638</f>
        <v>2250153232638</v>
      </c>
      <c r="J2466" s="3">
        <f>+2250759650676</f>
        <v>2250759650676</v>
      </c>
      <c r="K2466" s="1" t="s">
        <v>19</v>
      </c>
      <c r="L2466" s="4" t="s">
        <v>8388</v>
      </c>
    </row>
    <row r="2467">
      <c r="A2467" s="1" t="s">
        <v>12</v>
      </c>
      <c r="B2467" s="1" t="s">
        <v>8389</v>
      </c>
      <c r="C2467" s="1" t="s">
        <v>8390</v>
      </c>
      <c r="D2467" s="1" t="s">
        <v>8391</v>
      </c>
      <c r="E2467" s="2">
        <v>38556.0</v>
      </c>
      <c r="F2467" s="1" t="s">
        <v>70</v>
      </c>
      <c r="G2467" s="1" t="s">
        <v>76</v>
      </c>
      <c r="H2467" s="1" t="s">
        <v>32</v>
      </c>
      <c r="I2467" s="3">
        <f>+2250140558554</f>
        <v>2250140558554</v>
      </c>
      <c r="J2467" s="3">
        <f>+2250748036888</f>
        <v>2250748036888</v>
      </c>
      <c r="K2467" s="1" t="s">
        <v>19</v>
      </c>
      <c r="L2467" s="4" t="s">
        <v>8392</v>
      </c>
    </row>
    <row r="2468">
      <c r="A2468" s="1" t="s">
        <v>12</v>
      </c>
      <c r="B2468" s="1" t="s">
        <v>8393</v>
      </c>
      <c r="C2468" s="1" t="s">
        <v>8394</v>
      </c>
      <c r="D2468" s="1" t="s">
        <v>8395</v>
      </c>
      <c r="E2468" s="2">
        <v>38165.0</v>
      </c>
      <c r="F2468" s="1" t="s">
        <v>155</v>
      </c>
      <c r="G2468" s="1" t="s">
        <v>31</v>
      </c>
      <c r="H2468" s="1" t="s">
        <v>32</v>
      </c>
      <c r="I2468" s="3">
        <f>+2250143455533</f>
        <v>2250143455533</v>
      </c>
      <c r="J2468" s="3">
        <f>+2250141753812</f>
        <v>2250141753812</v>
      </c>
      <c r="K2468" s="1" t="s">
        <v>19</v>
      </c>
      <c r="L2468" s="4" t="s">
        <v>8396</v>
      </c>
    </row>
    <row r="2469">
      <c r="A2469" s="1" t="s">
        <v>12</v>
      </c>
      <c r="B2469" s="1" t="s">
        <v>8397</v>
      </c>
      <c r="C2469" s="1" t="s">
        <v>8398</v>
      </c>
      <c r="D2469" s="1" t="s">
        <v>8399</v>
      </c>
      <c r="E2469" s="2">
        <v>37780.0</v>
      </c>
      <c r="F2469" s="1" t="s">
        <v>1219</v>
      </c>
      <c r="G2469" s="1" t="s">
        <v>82</v>
      </c>
      <c r="H2469" s="1" t="s">
        <v>18</v>
      </c>
      <c r="I2469" s="3">
        <f>+2250170374302</f>
        <v>2250170374302</v>
      </c>
      <c r="J2469" s="3">
        <f>+2250778145486</f>
        <v>2250778145486</v>
      </c>
      <c r="K2469" s="1" t="s">
        <v>19</v>
      </c>
      <c r="L2469" s="4" t="s">
        <v>8400</v>
      </c>
    </row>
    <row r="2470">
      <c r="A2470" s="1" t="s">
        <v>12</v>
      </c>
      <c r="B2470" s="1" t="s">
        <v>8401</v>
      </c>
      <c r="C2470" s="1" t="s">
        <v>8402</v>
      </c>
      <c r="D2470" s="1" t="s">
        <v>8403</v>
      </c>
      <c r="E2470" s="5">
        <v>37922.0</v>
      </c>
      <c r="F2470" s="1" t="s">
        <v>87</v>
      </c>
      <c r="G2470" s="1" t="s">
        <v>31</v>
      </c>
      <c r="H2470" s="1" t="s">
        <v>32</v>
      </c>
      <c r="I2470" s="3">
        <f>+2250797315322</f>
        <v>2250797315322</v>
      </c>
      <c r="J2470" s="3">
        <f>+2250789467544</f>
        <v>2250789467544</v>
      </c>
      <c r="K2470" s="1" t="s">
        <v>19</v>
      </c>
      <c r="L2470" s="4" t="s">
        <v>8404</v>
      </c>
    </row>
    <row r="2471">
      <c r="A2471" s="1" t="s">
        <v>12</v>
      </c>
      <c r="B2471" s="1" t="s">
        <v>8405</v>
      </c>
      <c r="C2471" s="1" t="s">
        <v>8406</v>
      </c>
      <c r="D2471" s="1" t="s">
        <v>8407</v>
      </c>
      <c r="E2471" s="2">
        <v>38579.0</v>
      </c>
      <c r="F2471" s="1" t="s">
        <v>53</v>
      </c>
      <c r="G2471" s="1" t="s">
        <v>17</v>
      </c>
      <c r="H2471" s="1" t="s">
        <v>18</v>
      </c>
      <c r="I2471" s="3">
        <f>+2250101372798</f>
        <v>2250101372798</v>
      </c>
      <c r="J2471" s="3">
        <f>+2250748808366</f>
        <v>2250748808366</v>
      </c>
      <c r="K2471" s="1" t="s">
        <v>19</v>
      </c>
      <c r="L2471" s="4" t="s">
        <v>8408</v>
      </c>
    </row>
    <row r="2472">
      <c r="A2472" s="1" t="s">
        <v>12</v>
      </c>
      <c r="B2472" s="1" t="s">
        <v>8409</v>
      </c>
      <c r="C2472" s="1" t="s">
        <v>8410</v>
      </c>
      <c r="D2472" s="1" t="s">
        <v>8411</v>
      </c>
      <c r="E2472" s="2">
        <v>36926.0</v>
      </c>
      <c r="F2472" s="1" t="s">
        <v>16</v>
      </c>
      <c r="G2472" s="1" t="s">
        <v>82</v>
      </c>
      <c r="H2472" s="1" t="s">
        <v>18</v>
      </c>
      <c r="I2472" s="3">
        <f>+2250711662576</f>
        <v>2250711662576</v>
      </c>
      <c r="J2472" s="3">
        <f>+2250505786930</f>
        <v>2250505786930</v>
      </c>
      <c r="K2472" s="1" t="s">
        <v>19</v>
      </c>
      <c r="L2472" s="4" t="s">
        <v>8412</v>
      </c>
    </row>
    <row r="2473">
      <c r="A2473" s="1" t="s">
        <v>12</v>
      </c>
      <c r="B2473" s="1" t="s">
        <v>8413</v>
      </c>
      <c r="C2473" s="1" t="s">
        <v>8414</v>
      </c>
      <c r="D2473" s="1" t="s">
        <v>8415</v>
      </c>
      <c r="E2473" s="2">
        <v>37860.0</v>
      </c>
      <c r="F2473" s="1" t="s">
        <v>155</v>
      </c>
      <c r="G2473" s="1" t="s">
        <v>76</v>
      </c>
      <c r="H2473" s="1" t="s">
        <v>32</v>
      </c>
      <c r="I2473" s="3">
        <f>+2250769966211</f>
        <v>2250769966211</v>
      </c>
      <c r="J2473" s="3">
        <f>+2250749758341</f>
        <v>2250749758341</v>
      </c>
      <c r="K2473" s="1" t="s">
        <v>19</v>
      </c>
      <c r="L2473" s="4" t="s">
        <v>8416</v>
      </c>
    </row>
    <row r="2474">
      <c r="A2474" s="1" t="s">
        <v>12</v>
      </c>
      <c r="B2474" s="1" t="s">
        <v>8417</v>
      </c>
      <c r="C2474" s="1" t="s">
        <v>8418</v>
      </c>
      <c r="D2474" s="1" t="s">
        <v>8419</v>
      </c>
      <c r="E2474" s="2">
        <v>37743.0</v>
      </c>
      <c r="F2474" s="1" t="s">
        <v>101</v>
      </c>
      <c r="G2474" s="1" t="s">
        <v>31</v>
      </c>
      <c r="H2474" s="1" t="s">
        <v>32</v>
      </c>
      <c r="I2474" s="3">
        <f>+2250170733635</f>
        <v>2250170733635</v>
      </c>
      <c r="J2474" s="3">
        <f>+2250102252354</f>
        <v>2250102252354</v>
      </c>
      <c r="K2474" s="1" t="s">
        <v>19</v>
      </c>
      <c r="L2474" s="4" t="s">
        <v>8420</v>
      </c>
    </row>
    <row r="2475">
      <c r="A2475" s="1" t="s">
        <v>12</v>
      </c>
      <c r="B2475" s="1" t="s">
        <v>8421</v>
      </c>
      <c r="C2475" s="1" t="s">
        <v>8422</v>
      </c>
      <c r="D2475" s="1" t="s">
        <v>8423</v>
      </c>
      <c r="E2475" s="2">
        <v>38367.0</v>
      </c>
      <c r="F2475" s="1" t="s">
        <v>16</v>
      </c>
      <c r="G2475" s="1" t="s">
        <v>25</v>
      </c>
      <c r="H2475" s="1" t="s">
        <v>18</v>
      </c>
      <c r="I2475" s="3" t="str">
        <f>+2250787O10338</f>
        <v>#ERROR!</v>
      </c>
      <c r="J2475" s="3">
        <f>+2250708226795</f>
        <v>2250708226795</v>
      </c>
      <c r="K2475" s="1" t="s">
        <v>19</v>
      </c>
      <c r="L2475" s="4" t="s">
        <v>8424</v>
      </c>
    </row>
    <row r="2476">
      <c r="A2476" s="1" t="s">
        <v>12</v>
      </c>
      <c r="B2476" s="1" t="s">
        <v>8425</v>
      </c>
      <c r="C2476" s="1" t="s">
        <v>8422</v>
      </c>
      <c r="D2476" s="1" t="s">
        <v>8426</v>
      </c>
      <c r="E2476" s="2">
        <v>38691.0</v>
      </c>
      <c r="F2476" s="1" t="s">
        <v>62</v>
      </c>
      <c r="G2476" s="1" t="s">
        <v>25</v>
      </c>
      <c r="H2476" s="1" t="s">
        <v>18</v>
      </c>
      <c r="I2476" s="3">
        <f>+2250576986686</f>
        <v>2250576986686</v>
      </c>
      <c r="J2476" s="3">
        <f>+2250707336673</f>
        <v>2250707336673</v>
      </c>
      <c r="K2476" s="1" t="s">
        <v>19</v>
      </c>
      <c r="L2476" s="4" t="s">
        <v>8427</v>
      </c>
    </row>
    <row r="2477">
      <c r="A2477" s="1" t="s">
        <v>12</v>
      </c>
      <c r="B2477" s="1" t="s">
        <v>8428</v>
      </c>
      <c r="C2477" s="1" t="s">
        <v>8422</v>
      </c>
      <c r="D2477" s="1" t="s">
        <v>8429</v>
      </c>
      <c r="E2477" s="2">
        <v>37808.0</v>
      </c>
      <c r="F2477" s="1" t="s">
        <v>155</v>
      </c>
      <c r="G2477" s="1" t="s">
        <v>31</v>
      </c>
      <c r="H2477" s="1" t="s">
        <v>32</v>
      </c>
      <c r="I2477" s="3">
        <f>+2250759810351</f>
        <v>2250759810351</v>
      </c>
      <c r="J2477" s="3">
        <f>+2250788360408</f>
        <v>2250788360408</v>
      </c>
      <c r="K2477" s="1" t="s">
        <v>19</v>
      </c>
      <c r="L2477" s="4" t="s">
        <v>8430</v>
      </c>
    </row>
    <row r="2478">
      <c r="A2478" s="1" t="s">
        <v>12</v>
      </c>
      <c r="B2478" s="1" t="s">
        <v>8431</v>
      </c>
      <c r="C2478" s="1" t="s">
        <v>8432</v>
      </c>
      <c r="D2478" s="1" t="s">
        <v>8433</v>
      </c>
      <c r="E2478" s="2">
        <v>38062.0</v>
      </c>
      <c r="F2478" s="1" t="s">
        <v>62</v>
      </c>
      <c r="G2478" s="1" t="s">
        <v>25</v>
      </c>
      <c r="H2478" s="1" t="s">
        <v>18</v>
      </c>
      <c r="I2478" s="3">
        <f>+2250777005680</f>
        <v>2250777005680</v>
      </c>
      <c r="J2478" s="3">
        <f>+2250748808856</f>
        <v>2250748808856</v>
      </c>
      <c r="K2478" s="1" t="s">
        <v>19</v>
      </c>
      <c r="L2478" s="4" t="s">
        <v>8434</v>
      </c>
    </row>
    <row r="2479">
      <c r="A2479" s="1" t="s">
        <v>12</v>
      </c>
      <c r="B2479" s="1" t="s">
        <v>8435</v>
      </c>
      <c r="C2479" s="1" t="s">
        <v>8436</v>
      </c>
      <c r="D2479" s="1" t="s">
        <v>8437</v>
      </c>
      <c r="E2479" s="5">
        <v>37251.0</v>
      </c>
      <c r="F2479" s="1" t="s">
        <v>167</v>
      </c>
      <c r="G2479" s="1" t="s">
        <v>17</v>
      </c>
      <c r="H2479" s="1" t="s">
        <v>18</v>
      </c>
      <c r="I2479" s="3">
        <f>+2250747892940</f>
        <v>2250747892940</v>
      </c>
      <c r="J2479" s="3">
        <f>+2250709421431</f>
        <v>2250709421431</v>
      </c>
      <c r="K2479" s="1" t="s">
        <v>19</v>
      </c>
      <c r="L2479" s="4" t="s">
        <v>8438</v>
      </c>
    </row>
    <row r="2480">
      <c r="A2480" s="1" t="s">
        <v>12</v>
      </c>
      <c r="B2480" s="1" t="s">
        <v>8439</v>
      </c>
      <c r="C2480" s="1" t="s">
        <v>8440</v>
      </c>
      <c r="D2480" s="1" t="s">
        <v>8441</v>
      </c>
      <c r="E2480" s="2">
        <v>36171.0</v>
      </c>
      <c r="F2480" s="1" t="s">
        <v>53</v>
      </c>
      <c r="G2480" s="1" t="s">
        <v>17</v>
      </c>
      <c r="H2480" s="1" t="s">
        <v>18</v>
      </c>
      <c r="I2480" s="3">
        <f>+2250502815287</f>
        <v>2250502815287</v>
      </c>
      <c r="J2480" s="3">
        <f>+2250749385502</f>
        <v>2250749385502</v>
      </c>
      <c r="K2480" s="1" t="s">
        <v>19</v>
      </c>
      <c r="L2480" s="4" t="s">
        <v>8442</v>
      </c>
    </row>
    <row r="2481">
      <c r="A2481" s="1" t="s">
        <v>12</v>
      </c>
      <c r="B2481" s="1" t="s">
        <v>8443</v>
      </c>
      <c r="C2481" s="1" t="s">
        <v>8440</v>
      </c>
      <c r="D2481" s="1" t="s">
        <v>8444</v>
      </c>
      <c r="E2481" s="2">
        <v>38469.0</v>
      </c>
      <c r="F2481" s="1" t="s">
        <v>62</v>
      </c>
      <c r="G2481" s="1" t="s">
        <v>25</v>
      </c>
      <c r="H2481" s="1" t="s">
        <v>18</v>
      </c>
      <c r="I2481" s="3">
        <f>+2250758141799</f>
        <v>2250758141799</v>
      </c>
      <c r="J2481" s="3">
        <f>+2250707060888</f>
        <v>2250707060888</v>
      </c>
      <c r="K2481" s="1" t="s">
        <v>19</v>
      </c>
      <c r="L2481" s="4" t="s">
        <v>8445</v>
      </c>
    </row>
    <row r="2482">
      <c r="A2482" s="1" t="s">
        <v>12</v>
      </c>
      <c r="B2482" s="1" t="s">
        <v>8446</v>
      </c>
      <c r="C2482" s="1" t="s">
        <v>8447</v>
      </c>
      <c r="D2482" s="1" t="s">
        <v>8448</v>
      </c>
      <c r="E2482" s="5">
        <v>37619.0</v>
      </c>
      <c r="F2482" s="1" t="s">
        <v>16</v>
      </c>
      <c r="G2482" s="1" t="s">
        <v>17</v>
      </c>
      <c r="H2482" s="1" t="s">
        <v>18</v>
      </c>
      <c r="I2482" s="3">
        <f>+2250142999670</f>
        <v>2250142999670</v>
      </c>
      <c r="J2482" s="3">
        <f>+2250101536528</f>
        <v>2250101536528</v>
      </c>
      <c r="K2482" s="1" t="s">
        <v>19</v>
      </c>
      <c r="L2482" s="4" t="s">
        <v>8449</v>
      </c>
    </row>
    <row r="2483">
      <c r="A2483" s="1" t="s">
        <v>12</v>
      </c>
      <c r="B2483" s="1" t="s">
        <v>8450</v>
      </c>
      <c r="C2483" s="1" t="s">
        <v>8451</v>
      </c>
      <c r="D2483" s="1" t="s">
        <v>8452</v>
      </c>
      <c r="E2483" s="5">
        <v>37937.0</v>
      </c>
      <c r="F2483" s="1" t="s">
        <v>155</v>
      </c>
      <c r="G2483" s="1" t="s">
        <v>31</v>
      </c>
      <c r="H2483" s="1" t="s">
        <v>32</v>
      </c>
      <c r="I2483" s="3">
        <f>+2250506832602</f>
        <v>2250506832602</v>
      </c>
      <c r="J2483" s="3">
        <f>+2250151918028</f>
        <v>2250151918028</v>
      </c>
      <c r="K2483" s="1" t="s">
        <v>19</v>
      </c>
      <c r="L2483" s="4" t="s">
        <v>8453</v>
      </c>
    </row>
    <row r="2484">
      <c r="A2484" s="1" t="s">
        <v>12</v>
      </c>
      <c r="B2484" s="1" t="s">
        <v>8454</v>
      </c>
      <c r="C2484" s="1" t="s">
        <v>8455</v>
      </c>
      <c r="D2484" s="1" t="s">
        <v>8456</v>
      </c>
      <c r="E2484" s="5">
        <v>37235.0</v>
      </c>
      <c r="F2484" s="1" t="s">
        <v>37</v>
      </c>
      <c r="G2484" s="1" t="s">
        <v>82</v>
      </c>
      <c r="H2484" s="1" t="s">
        <v>18</v>
      </c>
      <c r="I2484" s="3">
        <f t="shared" ref="I2484:J2484" si="76">+2250787993736</f>
        <v>2250787993736</v>
      </c>
      <c r="J2484" s="3">
        <f t="shared" si="76"/>
        <v>2250787993736</v>
      </c>
      <c r="K2484" s="1" t="s">
        <v>19</v>
      </c>
      <c r="L2484" s="4" t="s">
        <v>8457</v>
      </c>
    </row>
    <row r="2485">
      <c r="A2485" s="1" t="s">
        <v>12</v>
      </c>
      <c r="B2485" s="1" t="s">
        <v>8458</v>
      </c>
      <c r="C2485" s="1" t="s">
        <v>2979</v>
      </c>
      <c r="D2485" s="1" t="s">
        <v>8459</v>
      </c>
      <c r="E2485" s="2">
        <v>37635.0</v>
      </c>
      <c r="F2485" s="1" t="s">
        <v>48</v>
      </c>
      <c r="G2485" s="1" t="s">
        <v>31</v>
      </c>
      <c r="H2485" s="1" t="s">
        <v>32</v>
      </c>
      <c r="I2485" s="3">
        <f>+2250768870562</f>
        <v>2250768870562</v>
      </c>
      <c r="J2485" s="3">
        <f>+2250787502249</f>
        <v>2250787502249</v>
      </c>
      <c r="K2485" s="1" t="s">
        <v>19</v>
      </c>
      <c r="L2485" s="4" t="s">
        <v>8460</v>
      </c>
    </row>
    <row r="2486">
      <c r="A2486" s="1" t="s">
        <v>12</v>
      </c>
      <c r="B2486" s="1" t="s">
        <v>8461</v>
      </c>
      <c r="C2486" s="1" t="s">
        <v>8462</v>
      </c>
      <c r="D2486" s="1" t="s">
        <v>8463</v>
      </c>
      <c r="E2486" s="2">
        <v>37087.0</v>
      </c>
      <c r="F2486" s="1" t="s">
        <v>167</v>
      </c>
      <c r="G2486" s="1" t="s">
        <v>82</v>
      </c>
      <c r="H2486" s="1" t="s">
        <v>18</v>
      </c>
      <c r="I2486" s="3">
        <f>+2250705587999</f>
        <v>2250705587999</v>
      </c>
      <c r="J2486" s="3">
        <f>+2250565703118</f>
        <v>2250565703118</v>
      </c>
      <c r="K2486" s="1" t="s">
        <v>19</v>
      </c>
      <c r="L2486" s="4" t="s">
        <v>8464</v>
      </c>
    </row>
    <row r="2487">
      <c r="A2487" s="1" t="s">
        <v>12</v>
      </c>
      <c r="B2487" s="1" t="s">
        <v>8465</v>
      </c>
      <c r="C2487" s="1" t="s">
        <v>8462</v>
      </c>
      <c r="D2487" s="1" t="s">
        <v>8466</v>
      </c>
      <c r="E2487" s="2">
        <v>37407.0</v>
      </c>
      <c r="F2487" s="1" t="s">
        <v>101</v>
      </c>
      <c r="G2487" s="1" t="s">
        <v>31</v>
      </c>
      <c r="H2487" s="1" t="s">
        <v>32</v>
      </c>
      <c r="I2487" s="3">
        <f>+2250757460902</f>
        <v>2250757460902</v>
      </c>
      <c r="J2487" s="3">
        <f>+2250707683107</f>
        <v>2250707683107</v>
      </c>
      <c r="K2487" s="1" t="s">
        <v>19</v>
      </c>
      <c r="L2487" s="4" t="s">
        <v>8467</v>
      </c>
    </row>
    <row r="2488">
      <c r="A2488" s="1" t="s">
        <v>12</v>
      </c>
      <c r="B2488" s="1" t="s">
        <v>8468</v>
      </c>
      <c r="C2488" s="1" t="s">
        <v>8469</v>
      </c>
      <c r="D2488" s="1" t="s">
        <v>8470</v>
      </c>
      <c r="E2488" s="2">
        <v>37301.0</v>
      </c>
      <c r="F2488" s="1" t="s">
        <v>182</v>
      </c>
      <c r="G2488" s="1" t="s">
        <v>82</v>
      </c>
      <c r="H2488" s="1" t="s">
        <v>18</v>
      </c>
      <c r="I2488" s="3">
        <f>+2250759310453</f>
        <v>2250759310453</v>
      </c>
      <c r="J2488" s="3">
        <f>+2250708561592</f>
        <v>2250708561592</v>
      </c>
      <c r="K2488" s="1" t="s">
        <v>19</v>
      </c>
      <c r="L2488" s="4" t="s">
        <v>8471</v>
      </c>
    </row>
    <row r="2489">
      <c r="A2489" s="1" t="s">
        <v>12</v>
      </c>
      <c r="B2489" s="1" t="s">
        <v>8472</v>
      </c>
      <c r="C2489" s="1" t="s">
        <v>8469</v>
      </c>
      <c r="D2489" s="1" t="s">
        <v>8473</v>
      </c>
      <c r="E2489" s="5">
        <v>37906.0</v>
      </c>
      <c r="F2489" s="1" t="s">
        <v>110</v>
      </c>
      <c r="G2489" s="1" t="s">
        <v>82</v>
      </c>
      <c r="H2489" s="1" t="s">
        <v>18</v>
      </c>
      <c r="I2489" s="3">
        <f>+2250172443123</f>
        <v>2250172443123</v>
      </c>
      <c r="J2489" s="3">
        <f>+2250749063534</f>
        <v>2250749063534</v>
      </c>
      <c r="K2489" s="1" t="s">
        <v>19</v>
      </c>
      <c r="L2489" s="4" t="s">
        <v>8474</v>
      </c>
    </row>
    <row r="2490">
      <c r="A2490" s="1" t="s">
        <v>12</v>
      </c>
      <c r="B2490" s="1" t="s">
        <v>8475</v>
      </c>
      <c r="C2490" s="1" t="s">
        <v>8469</v>
      </c>
      <c r="D2490" s="1" t="s">
        <v>8476</v>
      </c>
      <c r="E2490" s="2">
        <v>38386.0</v>
      </c>
      <c r="F2490" s="1" t="s">
        <v>48</v>
      </c>
      <c r="G2490" s="1" t="s">
        <v>76</v>
      </c>
      <c r="H2490" s="1" t="s">
        <v>32</v>
      </c>
      <c r="I2490" s="3">
        <f>+2250787671986</f>
        <v>2250787671986</v>
      </c>
      <c r="J2490" s="3">
        <f t="shared" ref="J2490:J2491" si="77">+2250708561592</f>
        <v>2250708561592</v>
      </c>
      <c r="K2490" s="1" t="s">
        <v>19</v>
      </c>
      <c r="L2490" s="4" t="s">
        <v>8477</v>
      </c>
    </row>
    <row r="2491">
      <c r="A2491" s="1" t="s">
        <v>12</v>
      </c>
      <c r="B2491" s="1" t="s">
        <v>8478</v>
      </c>
      <c r="C2491" s="1" t="s">
        <v>8469</v>
      </c>
      <c r="D2491" s="1" t="s">
        <v>8479</v>
      </c>
      <c r="E2491" s="2">
        <v>36616.0</v>
      </c>
      <c r="F2491" s="1" t="s">
        <v>110</v>
      </c>
      <c r="G2491" s="1" t="s">
        <v>82</v>
      </c>
      <c r="H2491" s="1" t="s">
        <v>18</v>
      </c>
      <c r="I2491" s="3">
        <f>+2250768901171</f>
        <v>2250768901171</v>
      </c>
      <c r="J2491" s="3">
        <f t="shared" si="77"/>
        <v>2250708561592</v>
      </c>
      <c r="K2491" s="1" t="s">
        <v>19</v>
      </c>
      <c r="L2491" s="4" t="s">
        <v>8480</v>
      </c>
    </row>
    <row r="2492">
      <c r="A2492" s="1" t="s">
        <v>12</v>
      </c>
      <c r="B2492" s="1" t="s">
        <v>8481</v>
      </c>
      <c r="C2492" s="1" t="s">
        <v>8469</v>
      </c>
      <c r="D2492" s="1" t="s">
        <v>8482</v>
      </c>
      <c r="E2492" s="2">
        <v>37897.0</v>
      </c>
      <c r="F2492" s="1" t="s">
        <v>16</v>
      </c>
      <c r="G2492" s="1" t="s">
        <v>17</v>
      </c>
      <c r="H2492" s="1" t="s">
        <v>18</v>
      </c>
      <c r="I2492" s="3">
        <f>+2250757612167</f>
        <v>2250757612167</v>
      </c>
      <c r="J2492" s="3">
        <f>+2250505502222</f>
        <v>2250505502222</v>
      </c>
      <c r="K2492" s="1" t="s">
        <v>19</v>
      </c>
      <c r="L2492" s="4" t="s">
        <v>8483</v>
      </c>
    </row>
    <row r="2493">
      <c r="A2493" s="1" t="s">
        <v>12</v>
      </c>
      <c r="B2493" s="1" t="s">
        <v>8484</v>
      </c>
      <c r="C2493" s="1" t="s">
        <v>8469</v>
      </c>
      <c r="D2493" s="1" t="s">
        <v>8485</v>
      </c>
      <c r="E2493" s="5">
        <v>39014.0</v>
      </c>
      <c r="F2493" s="1" t="s">
        <v>351</v>
      </c>
      <c r="G2493" s="1" t="s">
        <v>76</v>
      </c>
      <c r="H2493" s="1" t="s">
        <v>32</v>
      </c>
      <c r="I2493" s="3">
        <f>+2250777644665</f>
        <v>2250777644665</v>
      </c>
      <c r="J2493" s="3">
        <f>+2250707342647</f>
        <v>2250707342647</v>
      </c>
      <c r="K2493" s="1" t="s">
        <v>19</v>
      </c>
      <c r="L2493" s="4" t="s">
        <v>8486</v>
      </c>
    </row>
    <row r="2494">
      <c r="A2494" s="1" t="s">
        <v>12</v>
      </c>
      <c r="B2494" s="1" t="s">
        <v>8487</v>
      </c>
      <c r="C2494" s="1" t="s">
        <v>8488</v>
      </c>
      <c r="D2494" s="1" t="s">
        <v>8489</v>
      </c>
      <c r="E2494" s="2">
        <v>39236.0</v>
      </c>
      <c r="F2494" s="1" t="s">
        <v>70</v>
      </c>
      <c r="G2494" s="1" t="s">
        <v>76</v>
      </c>
      <c r="H2494" s="1" t="s">
        <v>32</v>
      </c>
      <c r="I2494" s="3">
        <f>+2250595432358</f>
        <v>2250595432358</v>
      </c>
      <c r="J2494" s="3">
        <f>+2250140940801</f>
        <v>2250140940801</v>
      </c>
      <c r="K2494" s="1" t="s">
        <v>19</v>
      </c>
      <c r="L2494" s="4" t="s">
        <v>8490</v>
      </c>
    </row>
    <row r="2495">
      <c r="A2495" s="1" t="s">
        <v>12</v>
      </c>
      <c r="B2495" s="1" t="s">
        <v>8491</v>
      </c>
      <c r="C2495" s="1" t="s">
        <v>8488</v>
      </c>
      <c r="D2495" s="1" t="s">
        <v>8492</v>
      </c>
      <c r="E2495" s="2">
        <v>37964.0</v>
      </c>
      <c r="F2495" s="1" t="s">
        <v>62</v>
      </c>
      <c r="G2495" s="1" t="s">
        <v>25</v>
      </c>
      <c r="H2495" s="1" t="s">
        <v>18</v>
      </c>
      <c r="I2495" s="3">
        <f>+2250576260531</f>
        <v>2250576260531</v>
      </c>
      <c r="J2495" s="3">
        <f>+2250141206687</f>
        <v>2250141206687</v>
      </c>
      <c r="K2495" s="1" t="s">
        <v>19</v>
      </c>
      <c r="L2495" s="4" t="s">
        <v>8493</v>
      </c>
    </row>
    <row r="2496">
      <c r="A2496" s="1" t="s">
        <v>12</v>
      </c>
      <c r="B2496" s="1" t="s">
        <v>8494</v>
      </c>
      <c r="C2496" s="1" t="s">
        <v>8488</v>
      </c>
      <c r="D2496" s="1" t="s">
        <v>8495</v>
      </c>
      <c r="E2496" s="2">
        <v>38209.0</v>
      </c>
      <c r="F2496" s="1" t="s">
        <v>53</v>
      </c>
      <c r="G2496" s="1" t="s">
        <v>25</v>
      </c>
      <c r="H2496" s="1" t="s">
        <v>18</v>
      </c>
      <c r="I2496" s="3">
        <f>+2250153417189</f>
        <v>2250153417189</v>
      </c>
      <c r="J2496" s="3">
        <f>+2250546322999</f>
        <v>2250546322999</v>
      </c>
      <c r="K2496" s="1" t="s">
        <v>19</v>
      </c>
      <c r="L2496" s="4" t="s">
        <v>8496</v>
      </c>
    </row>
    <row r="2497">
      <c r="A2497" s="1" t="s">
        <v>12</v>
      </c>
      <c r="B2497" s="1" t="s">
        <v>8497</v>
      </c>
      <c r="C2497" s="1" t="s">
        <v>8498</v>
      </c>
      <c r="D2497" s="1" t="s">
        <v>8499</v>
      </c>
      <c r="E2497" s="2">
        <v>38156.0</v>
      </c>
      <c r="F2497" s="1" t="s">
        <v>62</v>
      </c>
      <c r="G2497" s="1" t="s">
        <v>25</v>
      </c>
      <c r="H2497" s="1" t="s">
        <v>18</v>
      </c>
      <c r="I2497" s="3">
        <f>+2250767749385</f>
        <v>2250767749385</v>
      </c>
      <c r="J2497" s="3">
        <f>+2250708391215</f>
        <v>2250708391215</v>
      </c>
      <c r="K2497" s="1" t="s">
        <v>19</v>
      </c>
      <c r="L2497" s="4" t="s">
        <v>8500</v>
      </c>
    </row>
    <row r="2498">
      <c r="A2498" s="1" t="s">
        <v>12</v>
      </c>
      <c r="B2498" s="1" t="s">
        <v>8501</v>
      </c>
      <c r="C2498" s="1" t="s">
        <v>8502</v>
      </c>
      <c r="D2498" s="1" t="s">
        <v>8503</v>
      </c>
      <c r="E2498" s="2">
        <v>38601.0</v>
      </c>
      <c r="F2498" s="1" t="s">
        <v>75</v>
      </c>
      <c r="G2498" s="1" t="s">
        <v>76</v>
      </c>
      <c r="H2498" s="1" t="s">
        <v>32</v>
      </c>
      <c r="I2498" s="3">
        <f>+2250566346278</f>
        <v>2250566346278</v>
      </c>
      <c r="J2498" s="3">
        <f>+2250777046456</f>
        <v>2250777046456</v>
      </c>
      <c r="K2498" s="1" t="s">
        <v>19</v>
      </c>
      <c r="L2498" s="4" t="s">
        <v>8504</v>
      </c>
    </row>
    <row r="2499">
      <c r="A2499" s="1" t="s">
        <v>12</v>
      </c>
      <c r="B2499" s="1" t="s">
        <v>8505</v>
      </c>
      <c r="C2499" s="1" t="s">
        <v>8506</v>
      </c>
      <c r="D2499" s="1" t="s">
        <v>8507</v>
      </c>
      <c r="E2499" s="5">
        <v>37918.0</v>
      </c>
      <c r="F2499" s="1" t="s">
        <v>110</v>
      </c>
      <c r="G2499" s="1" t="s">
        <v>82</v>
      </c>
      <c r="H2499" s="1" t="s">
        <v>18</v>
      </c>
      <c r="I2499" s="3">
        <f>+2250787974770</f>
        <v>2250787974770</v>
      </c>
      <c r="J2499" s="3">
        <f>+2250708053599</f>
        <v>2250708053599</v>
      </c>
      <c r="K2499" s="1" t="s">
        <v>19</v>
      </c>
      <c r="L2499" s="4" t="s">
        <v>8508</v>
      </c>
    </row>
    <row r="2500">
      <c r="A2500" s="1" t="s">
        <v>12</v>
      </c>
      <c r="B2500" s="1" t="s">
        <v>8509</v>
      </c>
      <c r="C2500" s="1" t="s">
        <v>8506</v>
      </c>
      <c r="D2500" s="1" t="s">
        <v>8510</v>
      </c>
      <c r="E2500" s="2">
        <v>37385.0</v>
      </c>
      <c r="F2500" s="1" t="s">
        <v>1723</v>
      </c>
      <c r="G2500" s="1" t="s">
        <v>82</v>
      </c>
      <c r="H2500" s="1" t="s">
        <v>18</v>
      </c>
      <c r="I2500" s="3">
        <f>+2250778042831</f>
        <v>2250778042831</v>
      </c>
      <c r="J2500" s="3">
        <f>+2250707958739</f>
        <v>2250707958739</v>
      </c>
      <c r="K2500" s="1" t="s">
        <v>19</v>
      </c>
      <c r="L2500" s="4" t="s">
        <v>8511</v>
      </c>
    </row>
    <row r="2501">
      <c r="A2501" s="1" t="s">
        <v>12</v>
      </c>
      <c r="B2501" s="1" t="s">
        <v>8512</v>
      </c>
      <c r="C2501" s="1" t="s">
        <v>8513</v>
      </c>
      <c r="D2501" s="1" t="s">
        <v>8514</v>
      </c>
      <c r="E2501" s="5">
        <v>37611.0</v>
      </c>
      <c r="F2501" s="1" t="s">
        <v>16</v>
      </c>
      <c r="G2501" s="1" t="s">
        <v>82</v>
      </c>
      <c r="H2501" s="1" t="s">
        <v>18</v>
      </c>
      <c r="I2501" s="3">
        <f>+2250799399663</f>
        <v>2250799399663</v>
      </c>
      <c r="J2501" s="3">
        <f>+2250748318544</f>
        <v>2250748318544</v>
      </c>
      <c r="K2501" s="1" t="s">
        <v>19</v>
      </c>
      <c r="L2501" s="4" t="s">
        <v>8515</v>
      </c>
    </row>
    <row r="2502">
      <c r="A2502" s="1" t="s">
        <v>12</v>
      </c>
      <c r="B2502" s="1" t="s">
        <v>8516</v>
      </c>
      <c r="C2502" s="1" t="s">
        <v>8517</v>
      </c>
      <c r="D2502" s="1" t="s">
        <v>8518</v>
      </c>
      <c r="E2502" s="2">
        <v>36676.0</v>
      </c>
      <c r="F2502" s="1" t="s">
        <v>62</v>
      </c>
      <c r="G2502" s="1" t="s">
        <v>17</v>
      </c>
      <c r="H2502" s="1" t="s">
        <v>18</v>
      </c>
      <c r="I2502" s="3">
        <f>+2250586761901</f>
        <v>2250586761901</v>
      </c>
      <c r="J2502" s="3">
        <f>+2250504411043</f>
        <v>2250504411043</v>
      </c>
      <c r="K2502" s="1" t="s">
        <v>19</v>
      </c>
      <c r="L2502" s="4" t="s">
        <v>8519</v>
      </c>
    </row>
    <row r="2503">
      <c r="A2503" s="1" t="s">
        <v>12</v>
      </c>
      <c r="B2503" s="1" t="s">
        <v>8520</v>
      </c>
      <c r="C2503" s="1" t="s">
        <v>8517</v>
      </c>
      <c r="D2503" s="1" t="s">
        <v>8521</v>
      </c>
      <c r="E2503" s="2">
        <v>38438.0</v>
      </c>
      <c r="F2503" s="1" t="s">
        <v>30</v>
      </c>
      <c r="G2503" s="1" t="s">
        <v>31</v>
      </c>
      <c r="H2503" s="1" t="s">
        <v>32</v>
      </c>
      <c r="I2503" s="3">
        <f>+2250771221116</f>
        <v>2250771221116</v>
      </c>
      <c r="J2503" s="3">
        <f>+22505075808</f>
        <v>22505075808</v>
      </c>
      <c r="K2503" s="1" t="s">
        <v>19</v>
      </c>
      <c r="L2503" s="4" t="s">
        <v>8522</v>
      </c>
    </row>
    <row r="2504">
      <c r="A2504" s="1" t="s">
        <v>12</v>
      </c>
      <c r="B2504" s="1" t="s">
        <v>8523</v>
      </c>
      <c r="C2504" s="1" t="s">
        <v>8524</v>
      </c>
      <c r="D2504" s="1" t="s">
        <v>8525</v>
      </c>
      <c r="E2504" s="2">
        <v>37424.0</v>
      </c>
      <c r="F2504" s="1" t="s">
        <v>138</v>
      </c>
      <c r="G2504" s="1" t="s">
        <v>31</v>
      </c>
      <c r="H2504" s="1" t="s">
        <v>32</v>
      </c>
      <c r="I2504" s="3">
        <f>+2250797701530</f>
        <v>2250797701530</v>
      </c>
      <c r="J2504" s="3">
        <f>+2250140298881</f>
        <v>2250140298881</v>
      </c>
      <c r="K2504" s="1" t="s">
        <v>19</v>
      </c>
      <c r="L2504" s="4" t="s">
        <v>8526</v>
      </c>
    </row>
    <row r="2505">
      <c r="A2505" s="1" t="s">
        <v>12</v>
      </c>
      <c r="B2505" s="1" t="s">
        <v>8527</v>
      </c>
      <c r="C2505" s="1" t="s">
        <v>8528</v>
      </c>
      <c r="D2505" s="1" t="s">
        <v>1656</v>
      </c>
      <c r="E2505" s="2">
        <v>36935.0</v>
      </c>
      <c r="F2505" s="1" t="s">
        <v>62</v>
      </c>
      <c r="G2505" s="1" t="s">
        <v>17</v>
      </c>
      <c r="H2505" s="1" t="s">
        <v>18</v>
      </c>
      <c r="I2505" s="3">
        <f>+2250748487875</f>
        <v>2250748487875</v>
      </c>
      <c r="J2505" s="3">
        <f>+2250758759991</f>
        <v>2250758759991</v>
      </c>
      <c r="K2505" s="1" t="s">
        <v>19</v>
      </c>
      <c r="L2505" s="4" t="s">
        <v>8529</v>
      </c>
    </row>
    <row r="2506">
      <c r="A2506" s="1" t="s">
        <v>12</v>
      </c>
      <c r="B2506" s="1" t="s">
        <v>8530</v>
      </c>
      <c r="C2506" s="1" t="s">
        <v>8528</v>
      </c>
      <c r="D2506" s="1" t="s">
        <v>8531</v>
      </c>
      <c r="E2506" s="2">
        <v>36989.0</v>
      </c>
      <c r="F2506" s="1" t="s">
        <v>288</v>
      </c>
      <c r="G2506" s="1" t="s">
        <v>31</v>
      </c>
      <c r="H2506" s="1" t="s">
        <v>32</v>
      </c>
      <c r="I2506" s="3">
        <f>+2250767975172</f>
        <v>2250767975172</v>
      </c>
      <c r="J2506" s="3">
        <f>+2250709804440</f>
        <v>2250709804440</v>
      </c>
      <c r="K2506" s="1" t="s">
        <v>19</v>
      </c>
      <c r="L2506" s="4" t="s">
        <v>8532</v>
      </c>
    </row>
    <row r="2507">
      <c r="A2507" s="1" t="s">
        <v>12</v>
      </c>
      <c r="B2507" s="1" t="s">
        <v>8533</v>
      </c>
      <c r="C2507" s="1" t="s">
        <v>8534</v>
      </c>
      <c r="D2507" s="1" t="s">
        <v>8535</v>
      </c>
      <c r="E2507" s="2">
        <v>37862.0</v>
      </c>
      <c r="F2507" s="1" t="s">
        <v>110</v>
      </c>
      <c r="G2507" s="1" t="s">
        <v>82</v>
      </c>
      <c r="H2507" s="1" t="s">
        <v>18</v>
      </c>
      <c r="I2507" s="3">
        <f>+2250143269718</f>
        <v>2250143269718</v>
      </c>
      <c r="J2507" s="3">
        <f>+2250143496261</f>
        <v>2250143496261</v>
      </c>
      <c r="K2507" s="1" t="s">
        <v>19</v>
      </c>
      <c r="L2507" s="4" t="s">
        <v>8536</v>
      </c>
    </row>
    <row r="2508">
      <c r="A2508" s="1" t="s">
        <v>12</v>
      </c>
      <c r="B2508" s="1" t="s">
        <v>8537</v>
      </c>
      <c r="C2508" s="1" t="s">
        <v>8538</v>
      </c>
      <c r="D2508" s="1" t="s">
        <v>8539</v>
      </c>
      <c r="E2508" s="2">
        <v>37290.0</v>
      </c>
      <c r="F2508" s="1" t="s">
        <v>87</v>
      </c>
      <c r="G2508" s="1" t="s">
        <v>31</v>
      </c>
      <c r="H2508" s="1" t="s">
        <v>32</v>
      </c>
      <c r="I2508" s="3">
        <f>+2250709315263</f>
        <v>2250709315263</v>
      </c>
      <c r="J2508" s="3">
        <f>+2250505465587</f>
        <v>2250505465587</v>
      </c>
      <c r="K2508" s="1" t="s">
        <v>19</v>
      </c>
      <c r="L2508" s="4" t="s">
        <v>8540</v>
      </c>
    </row>
    <row r="2509">
      <c r="A2509" s="1" t="s">
        <v>12</v>
      </c>
      <c r="B2509" s="1" t="s">
        <v>8541</v>
      </c>
      <c r="C2509" s="1" t="s">
        <v>8542</v>
      </c>
      <c r="D2509" s="1" t="s">
        <v>8543</v>
      </c>
      <c r="E2509" s="2">
        <v>38198.0</v>
      </c>
      <c r="F2509" s="1" t="s">
        <v>62</v>
      </c>
      <c r="G2509" s="1" t="s">
        <v>17</v>
      </c>
      <c r="H2509" s="1" t="s">
        <v>18</v>
      </c>
      <c r="I2509" s="3">
        <f>+2250574835001</f>
        <v>2250574835001</v>
      </c>
      <c r="J2509" s="3">
        <f>+2250707333229</f>
        <v>2250707333229</v>
      </c>
      <c r="K2509" s="1" t="s">
        <v>19</v>
      </c>
      <c r="L2509" s="4" t="s">
        <v>8544</v>
      </c>
    </row>
    <row r="2510">
      <c r="A2510" s="1" t="s">
        <v>12</v>
      </c>
      <c r="B2510" s="1" t="s">
        <v>8545</v>
      </c>
      <c r="C2510" s="1" t="s">
        <v>8542</v>
      </c>
      <c r="D2510" s="1" t="s">
        <v>8546</v>
      </c>
      <c r="E2510" s="2">
        <v>38548.0</v>
      </c>
      <c r="F2510" s="1" t="s">
        <v>62</v>
      </c>
      <c r="G2510" s="1" t="s">
        <v>25</v>
      </c>
      <c r="H2510" s="1" t="s">
        <v>18</v>
      </c>
      <c r="I2510" s="3">
        <f>+2250103051844</f>
        <v>2250103051844</v>
      </c>
      <c r="J2510" s="3">
        <f>+2250707335728</f>
        <v>2250707335728</v>
      </c>
      <c r="K2510" s="1" t="s">
        <v>19</v>
      </c>
      <c r="L2510" s="4" t="s">
        <v>8547</v>
      </c>
    </row>
    <row r="2511">
      <c r="A2511" s="1" t="s">
        <v>12</v>
      </c>
      <c r="B2511" s="1" t="s">
        <v>8548</v>
      </c>
      <c r="C2511" s="1" t="s">
        <v>8549</v>
      </c>
      <c r="D2511" s="1" t="s">
        <v>8550</v>
      </c>
      <c r="E2511" s="2">
        <v>37408.0</v>
      </c>
      <c r="F2511" s="1" t="s">
        <v>167</v>
      </c>
      <c r="G2511" s="1" t="s">
        <v>82</v>
      </c>
      <c r="H2511" s="1" t="s">
        <v>18</v>
      </c>
      <c r="I2511" s="3">
        <f>+2250702978338</f>
        <v>2250702978338</v>
      </c>
      <c r="J2511" s="3">
        <f>+2250709282648</f>
        <v>2250709282648</v>
      </c>
      <c r="K2511" s="1" t="s">
        <v>19</v>
      </c>
      <c r="L2511" s="4" t="s">
        <v>8551</v>
      </c>
    </row>
    <row r="2512">
      <c r="A2512" s="1" t="s">
        <v>12</v>
      </c>
      <c r="B2512" s="1" t="s">
        <v>8552</v>
      </c>
      <c r="C2512" s="1" t="s">
        <v>8553</v>
      </c>
      <c r="D2512" s="1" t="s">
        <v>8554</v>
      </c>
      <c r="E2512" s="5">
        <v>38335.0</v>
      </c>
      <c r="F2512" s="1" t="s">
        <v>62</v>
      </c>
      <c r="G2512" s="1" t="s">
        <v>17</v>
      </c>
      <c r="H2512" s="1" t="s">
        <v>18</v>
      </c>
      <c r="I2512" s="3">
        <f>+2250777541314</f>
        <v>2250777541314</v>
      </c>
      <c r="J2512" s="3">
        <f>+2250545759475</f>
        <v>2250545759475</v>
      </c>
      <c r="K2512" s="1" t="s">
        <v>19</v>
      </c>
      <c r="L2512" s="4" t="s">
        <v>8555</v>
      </c>
    </row>
    <row r="2513">
      <c r="A2513" s="1" t="s">
        <v>12</v>
      </c>
      <c r="B2513" s="1" t="s">
        <v>8556</v>
      </c>
      <c r="C2513" s="1" t="s">
        <v>8553</v>
      </c>
      <c r="D2513" s="1" t="s">
        <v>8557</v>
      </c>
      <c r="E2513" s="2">
        <v>38217.0</v>
      </c>
      <c r="F2513" s="1" t="s">
        <v>16</v>
      </c>
      <c r="G2513" s="1" t="s">
        <v>25</v>
      </c>
      <c r="H2513" s="1" t="s">
        <v>18</v>
      </c>
      <c r="I2513" s="3">
        <f>+2250171976232</f>
        <v>2250171976232</v>
      </c>
      <c r="J2513" s="3">
        <f>+2250707173408</f>
        <v>2250707173408</v>
      </c>
      <c r="K2513" s="1" t="s">
        <v>19</v>
      </c>
      <c r="L2513" s="4" t="s">
        <v>8558</v>
      </c>
    </row>
    <row r="2514">
      <c r="A2514" s="1" t="s">
        <v>12</v>
      </c>
      <c r="B2514" s="1" t="s">
        <v>8559</v>
      </c>
      <c r="C2514" s="1" t="s">
        <v>8553</v>
      </c>
      <c r="D2514" s="1" t="s">
        <v>8560</v>
      </c>
      <c r="E2514" s="2">
        <v>37522.0</v>
      </c>
      <c r="F2514" s="1" t="s">
        <v>62</v>
      </c>
      <c r="G2514" s="1" t="s">
        <v>17</v>
      </c>
      <c r="H2514" s="1" t="s">
        <v>18</v>
      </c>
      <c r="I2514" s="3">
        <f>+2250171982977</f>
        <v>2250171982977</v>
      </c>
      <c r="J2514" s="3">
        <f>+2250102614406</f>
        <v>2250102614406</v>
      </c>
      <c r="K2514" s="1" t="s">
        <v>19</v>
      </c>
      <c r="L2514" s="4" t="s">
        <v>8561</v>
      </c>
    </row>
    <row r="2515">
      <c r="A2515" s="1" t="s">
        <v>12</v>
      </c>
      <c r="B2515" s="1" t="s">
        <v>8562</v>
      </c>
      <c r="C2515" s="1" t="s">
        <v>8563</v>
      </c>
      <c r="D2515" s="1" t="s">
        <v>8564</v>
      </c>
      <c r="E2515" s="2">
        <v>37389.0</v>
      </c>
      <c r="F2515" s="1" t="s">
        <v>138</v>
      </c>
      <c r="G2515" s="1" t="s">
        <v>76</v>
      </c>
      <c r="H2515" s="1" t="s">
        <v>32</v>
      </c>
      <c r="I2515" s="3">
        <f>+2250712838028</f>
        <v>2250712838028</v>
      </c>
      <c r="J2515" s="3" t="str">
        <f>+225+229 55901</f>
        <v>#ERROR!</v>
      </c>
      <c r="K2515" s="1" t="s">
        <v>19</v>
      </c>
      <c r="L2515" s="4" t="s">
        <v>8565</v>
      </c>
    </row>
    <row r="2516">
      <c r="A2516" s="1" t="s">
        <v>12</v>
      </c>
      <c r="B2516" s="1" t="s">
        <v>8566</v>
      </c>
      <c r="C2516" s="1" t="s">
        <v>8567</v>
      </c>
      <c r="D2516" s="1" t="s">
        <v>8568</v>
      </c>
      <c r="E2516" s="5">
        <v>37615.0</v>
      </c>
      <c r="F2516" s="1" t="s">
        <v>24</v>
      </c>
      <c r="G2516" s="1" t="s">
        <v>82</v>
      </c>
      <c r="H2516" s="1" t="s">
        <v>18</v>
      </c>
      <c r="I2516" s="3">
        <f>+2250797262353</f>
        <v>2250797262353</v>
      </c>
      <c r="J2516" s="3">
        <f>+2250708424411</f>
        <v>2250708424411</v>
      </c>
      <c r="K2516" s="1" t="s">
        <v>19</v>
      </c>
      <c r="L2516" s="4" t="s">
        <v>8569</v>
      </c>
    </row>
    <row r="2517">
      <c r="A2517" s="1" t="s">
        <v>12</v>
      </c>
      <c r="B2517" s="1" t="s">
        <v>8570</v>
      </c>
      <c r="C2517" s="1" t="s">
        <v>8567</v>
      </c>
      <c r="D2517" s="1" t="s">
        <v>8571</v>
      </c>
      <c r="E2517" s="2">
        <v>35269.0</v>
      </c>
      <c r="F2517" s="1" t="s">
        <v>578</v>
      </c>
      <c r="G2517" s="1" t="s">
        <v>82</v>
      </c>
      <c r="H2517" s="1" t="s">
        <v>18</v>
      </c>
      <c r="I2517" s="3">
        <f>+2250779660632</f>
        <v>2250779660632</v>
      </c>
      <c r="J2517" s="3">
        <f>+2250747901750</f>
        <v>2250747901750</v>
      </c>
      <c r="K2517" s="1" t="s">
        <v>19</v>
      </c>
      <c r="L2517" s="4" t="s">
        <v>8572</v>
      </c>
    </row>
    <row r="2518">
      <c r="A2518" s="1" t="s">
        <v>12</v>
      </c>
      <c r="B2518" s="1" t="s">
        <v>8573</v>
      </c>
      <c r="C2518" s="1" t="s">
        <v>8574</v>
      </c>
      <c r="D2518" s="1" t="s">
        <v>8575</v>
      </c>
      <c r="E2518" s="2">
        <v>37354.0</v>
      </c>
      <c r="F2518" s="1" t="s">
        <v>62</v>
      </c>
      <c r="G2518" s="1" t="s">
        <v>25</v>
      </c>
      <c r="H2518" s="1" t="s">
        <v>18</v>
      </c>
      <c r="I2518" s="3">
        <f>+2250705828282</f>
        <v>2250705828282</v>
      </c>
      <c r="J2518" s="3">
        <f>+2250544755715</f>
        <v>2250544755715</v>
      </c>
      <c r="K2518" s="1" t="s">
        <v>19</v>
      </c>
      <c r="L2518" s="4" t="s">
        <v>8576</v>
      </c>
    </row>
    <row r="2519">
      <c r="A2519" s="1" t="s">
        <v>12</v>
      </c>
      <c r="B2519" s="1" t="s">
        <v>8577</v>
      </c>
      <c r="C2519" s="1" t="s">
        <v>8578</v>
      </c>
      <c r="D2519" s="1" t="s">
        <v>8579</v>
      </c>
      <c r="E2519" s="2">
        <v>37961.0</v>
      </c>
      <c r="F2519" s="1" t="s">
        <v>24</v>
      </c>
      <c r="G2519" s="1" t="s">
        <v>82</v>
      </c>
      <c r="H2519" s="1" t="s">
        <v>18</v>
      </c>
      <c r="I2519" s="3">
        <f>+2250749133505</f>
        <v>2250749133505</v>
      </c>
      <c r="J2519" s="3">
        <f>+2250707667935</f>
        <v>2250707667935</v>
      </c>
      <c r="K2519" s="1" t="s">
        <v>19</v>
      </c>
      <c r="L2519" s="4" t="s">
        <v>8580</v>
      </c>
    </row>
    <row r="2520">
      <c r="A2520" s="1" t="s">
        <v>12</v>
      </c>
      <c r="B2520" s="1" t="s">
        <v>8581</v>
      </c>
      <c r="C2520" s="1" t="s">
        <v>8582</v>
      </c>
      <c r="D2520" s="1" t="s">
        <v>8583</v>
      </c>
      <c r="E2520" s="2">
        <v>37387.0</v>
      </c>
      <c r="F2520" s="1" t="s">
        <v>30</v>
      </c>
      <c r="G2520" s="1" t="s">
        <v>76</v>
      </c>
      <c r="H2520" s="1" t="s">
        <v>32</v>
      </c>
      <c r="I2520" s="3">
        <f>+2250103135523</f>
        <v>2250103135523</v>
      </c>
      <c r="J2520" s="3">
        <f>+2250101550708</f>
        <v>2250101550708</v>
      </c>
      <c r="K2520" s="1" t="s">
        <v>19</v>
      </c>
      <c r="L2520" s="4" t="s">
        <v>8584</v>
      </c>
    </row>
    <row r="2521">
      <c r="A2521" s="1" t="s">
        <v>12</v>
      </c>
      <c r="B2521" s="1" t="s">
        <v>8585</v>
      </c>
      <c r="C2521" s="1" t="s">
        <v>8586</v>
      </c>
      <c r="D2521" s="1" t="s">
        <v>8587</v>
      </c>
      <c r="E2521" s="2">
        <v>37231.0</v>
      </c>
      <c r="F2521" s="1" t="s">
        <v>16</v>
      </c>
      <c r="G2521" s="1" t="s">
        <v>17</v>
      </c>
      <c r="H2521" s="1" t="s">
        <v>18</v>
      </c>
      <c r="I2521" s="3">
        <f>+2250173115735</f>
        <v>2250173115735</v>
      </c>
      <c r="J2521" s="3">
        <f>+2250595151420</f>
        <v>2250595151420</v>
      </c>
      <c r="K2521" s="1" t="s">
        <v>19</v>
      </c>
      <c r="L2521" s="4" t="s">
        <v>8588</v>
      </c>
    </row>
    <row r="2522">
      <c r="A2522" s="1" t="s">
        <v>12</v>
      </c>
      <c r="B2522" s="1" t="s">
        <v>8589</v>
      </c>
      <c r="C2522" s="1" t="s">
        <v>8590</v>
      </c>
      <c r="D2522" s="1" t="s">
        <v>8591</v>
      </c>
      <c r="E2522" s="2">
        <v>36358.0</v>
      </c>
      <c r="F2522" s="1" t="s">
        <v>16</v>
      </c>
      <c r="G2522" s="1" t="s">
        <v>17</v>
      </c>
      <c r="H2522" s="1" t="s">
        <v>18</v>
      </c>
      <c r="I2522" s="3">
        <f>+2250769657821</f>
        <v>2250769657821</v>
      </c>
      <c r="J2522" s="3">
        <f>+2250172366962</f>
        <v>2250172366962</v>
      </c>
      <c r="K2522" s="1" t="s">
        <v>19</v>
      </c>
      <c r="L2522" s="4" t="s">
        <v>8592</v>
      </c>
    </row>
    <row r="2523">
      <c r="A2523" s="1" t="s">
        <v>12</v>
      </c>
      <c r="B2523" s="1" t="s">
        <v>8593</v>
      </c>
      <c r="C2523" s="1" t="s">
        <v>8590</v>
      </c>
      <c r="D2523" s="1" t="s">
        <v>8594</v>
      </c>
      <c r="E2523" s="2">
        <v>37029.0</v>
      </c>
      <c r="F2523" s="1" t="s">
        <v>62</v>
      </c>
      <c r="G2523" s="1" t="s">
        <v>17</v>
      </c>
      <c r="H2523" s="1" t="s">
        <v>18</v>
      </c>
      <c r="I2523" s="3">
        <f>+2250779036210</f>
        <v>2250779036210</v>
      </c>
      <c r="J2523" s="3">
        <f>+2250709334959</f>
        <v>2250709334959</v>
      </c>
      <c r="K2523" s="1" t="s">
        <v>19</v>
      </c>
      <c r="L2523" s="4" t="s">
        <v>8595</v>
      </c>
    </row>
    <row r="2524">
      <c r="A2524" s="1" t="s">
        <v>12</v>
      </c>
      <c r="B2524" s="1" t="s">
        <v>8596</v>
      </c>
      <c r="C2524" s="1" t="s">
        <v>8597</v>
      </c>
      <c r="D2524" s="1" t="s">
        <v>8598</v>
      </c>
      <c r="E2524" s="2">
        <v>37734.0</v>
      </c>
      <c r="F2524" s="1" t="s">
        <v>92</v>
      </c>
      <c r="G2524" s="1" t="s">
        <v>31</v>
      </c>
      <c r="H2524" s="1" t="s">
        <v>32</v>
      </c>
      <c r="I2524" s="3">
        <f>+2250757057855</f>
        <v>2250757057855</v>
      </c>
      <c r="J2524" s="3">
        <f>+2250101352045</f>
        <v>2250101352045</v>
      </c>
      <c r="K2524" s="1" t="s">
        <v>19</v>
      </c>
      <c r="L2524" s="4" t="s">
        <v>8599</v>
      </c>
    </row>
    <row r="2525">
      <c r="A2525" s="1" t="s">
        <v>12</v>
      </c>
      <c r="B2525" s="1" t="s">
        <v>8600</v>
      </c>
      <c r="C2525" s="1" t="s">
        <v>8597</v>
      </c>
      <c r="D2525" s="1" t="s">
        <v>178</v>
      </c>
      <c r="E2525" s="5">
        <v>37907.0</v>
      </c>
      <c r="F2525" s="1" t="s">
        <v>92</v>
      </c>
      <c r="G2525" s="1" t="s">
        <v>76</v>
      </c>
      <c r="H2525" s="1" t="s">
        <v>32</v>
      </c>
      <c r="I2525" s="3">
        <f>+2250140371761</f>
        <v>2250140371761</v>
      </c>
      <c r="J2525" s="3">
        <f>+2250102822943</f>
        <v>2250102822943</v>
      </c>
      <c r="K2525" s="1" t="s">
        <v>19</v>
      </c>
      <c r="L2525" s="4" t="s">
        <v>8601</v>
      </c>
    </row>
    <row r="2526">
      <c r="A2526" s="1" t="s">
        <v>12</v>
      </c>
      <c r="B2526" s="1" t="s">
        <v>8602</v>
      </c>
      <c r="C2526" s="1" t="s">
        <v>8597</v>
      </c>
      <c r="D2526" s="1" t="s">
        <v>3367</v>
      </c>
      <c r="E2526" s="2">
        <v>37831.0</v>
      </c>
      <c r="F2526" s="1" t="s">
        <v>48</v>
      </c>
      <c r="G2526" s="1" t="s">
        <v>76</v>
      </c>
      <c r="H2526" s="1" t="s">
        <v>32</v>
      </c>
      <c r="I2526" s="3">
        <f>+2250787759709</f>
        <v>2250787759709</v>
      </c>
      <c r="J2526" s="3">
        <f>+2250708527753</f>
        <v>2250708527753</v>
      </c>
      <c r="K2526" s="1" t="s">
        <v>19</v>
      </c>
      <c r="L2526" s="4" t="s">
        <v>8603</v>
      </c>
    </row>
    <row r="2527">
      <c r="A2527" s="1" t="s">
        <v>12</v>
      </c>
      <c r="B2527" s="1" t="s">
        <v>8604</v>
      </c>
      <c r="C2527" s="1" t="s">
        <v>8605</v>
      </c>
      <c r="D2527" s="1" t="s">
        <v>4516</v>
      </c>
      <c r="E2527" s="2">
        <v>38487.0</v>
      </c>
      <c r="F2527" s="1" t="s">
        <v>16</v>
      </c>
      <c r="G2527" s="1" t="s">
        <v>25</v>
      </c>
      <c r="H2527" s="1" t="s">
        <v>18</v>
      </c>
      <c r="I2527" s="3">
        <f>+2250151161843</f>
        <v>2250151161843</v>
      </c>
      <c r="J2527" s="3">
        <f>+2250103292807</f>
        <v>2250103292807</v>
      </c>
      <c r="K2527" s="1" t="s">
        <v>19</v>
      </c>
      <c r="L2527" s="4" t="s">
        <v>8606</v>
      </c>
    </row>
    <row r="2528">
      <c r="A2528" s="1" t="s">
        <v>12</v>
      </c>
      <c r="B2528" s="1" t="s">
        <v>8607</v>
      </c>
      <c r="C2528" s="1" t="s">
        <v>8605</v>
      </c>
      <c r="D2528" s="1" t="s">
        <v>8608</v>
      </c>
      <c r="E2528" s="2">
        <v>36913.0</v>
      </c>
      <c r="F2528" s="1" t="s">
        <v>138</v>
      </c>
      <c r="G2528" s="1" t="s">
        <v>31</v>
      </c>
      <c r="H2528" s="1" t="s">
        <v>32</v>
      </c>
      <c r="I2528" s="3">
        <f>+2250101686123</f>
        <v>2250101686123</v>
      </c>
      <c r="J2528" s="3">
        <f>+2250747718829</f>
        <v>2250747718829</v>
      </c>
      <c r="K2528" s="1" t="s">
        <v>19</v>
      </c>
      <c r="L2528" s="4" t="s">
        <v>8609</v>
      </c>
    </row>
    <row r="2529">
      <c r="A2529" s="1" t="s">
        <v>12</v>
      </c>
      <c r="B2529" s="1" t="s">
        <v>8610</v>
      </c>
      <c r="C2529" s="1" t="s">
        <v>8605</v>
      </c>
      <c r="D2529" s="1" t="s">
        <v>8611</v>
      </c>
      <c r="E2529" s="2">
        <v>38963.0</v>
      </c>
      <c r="F2529" s="1" t="s">
        <v>155</v>
      </c>
      <c r="G2529" s="1" t="s">
        <v>76</v>
      </c>
      <c r="H2529" s="1" t="s">
        <v>32</v>
      </c>
      <c r="I2529" s="3">
        <f>+2250172323844</f>
        <v>2250172323844</v>
      </c>
      <c r="J2529" s="3">
        <f>+2250758333318</f>
        <v>2250758333318</v>
      </c>
      <c r="K2529" s="1" t="s">
        <v>19</v>
      </c>
      <c r="L2529" s="4" t="s">
        <v>8612</v>
      </c>
    </row>
    <row r="2530">
      <c r="A2530" s="1" t="s">
        <v>12</v>
      </c>
      <c r="B2530" s="1" t="s">
        <v>8613</v>
      </c>
      <c r="C2530" s="1" t="s">
        <v>8614</v>
      </c>
      <c r="D2530" s="1" t="s">
        <v>8615</v>
      </c>
      <c r="E2530" s="2">
        <v>37641.0</v>
      </c>
      <c r="F2530" s="1" t="s">
        <v>138</v>
      </c>
      <c r="G2530" s="1" t="s">
        <v>31</v>
      </c>
      <c r="H2530" s="1" t="s">
        <v>32</v>
      </c>
      <c r="I2530" s="3">
        <f>+2250143961117</f>
        <v>2250143961117</v>
      </c>
      <c r="J2530" s="3">
        <f>+2250103632987</f>
        <v>2250103632987</v>
      </c>
      <c r="K2530" s="1" t="s">
        <v>19</v>
      </c>
      <c r="L2530" s="4" t="s">
        <v>8616</v>
      </c>
    </row>
    <row r="2531">
      <c r="A2531" s="1" t="s">
        <v>12</v>
      </c>
      <c r="B2531" s="1" t="s">
        <v>8617</v>
      </c>
      <c r="C2531" s="1" t="s">
        <v>8618</v>
      </c>
      <c r="D2531" s="1" t="s">
        <v>8619</v>
      </c>
      <c r="E2531" s="5">
        <v>37544.0</v>
      </c>
      <c r="F2531" s="1" t="s">
        <v>24</v>
      </c>
      <c r="G2531" s="1" t="s">
        <v>17</v>
      </c>
      <c r="H2531" s="1" t="s">
        <v>18</v>
      </c>
      <c r="I2531" s="3">
        <f>+2250574671670</f>
        <v>2250574671670</v>
      </c>
      <c r="J2531" s="3">
        <f>+2250574130126</f>
        <v>2250574130126</v>
      </c>
      <c r="K2531" s="1" t="s">
        <v>19</v>
      </c>
      <c r="L2531" s="4" t="s">
        <v>8620</v>
      </c>
    </row>
    <row r="2532">
      <c r="A2532" s="1" t="s">
        <v>12</v>
      </c>
      <c r="B2532" s="1" t="s">
        <v>8621</v>
      </c>
      <c r="C2532" s="1" t="s">
        <v>8622</v>
      </c>
      <c r="D2532" s="1" t="s">
        <v>8623</v>
      </c>
      <c r="E2532" s="2">
        <v>38172.0</v>
      </c>
      <c r="F2532" s="1" t="s">
        <v>48</v>
      </c>
      <c r="G2532" s="1" t="s">
        <v>31</v>
      </c>
      <c r="H2532" s="1" t="s">
        <v>32</v>
      </c>
      <c r="I2532" s="3">
        <f>+2250150145987</f>
        <v>2250150145987</v>
      </c>
      <c r="J2532" s="3">
        <f>+2250778632692</f>
        <v>2250778632692</v>
      </c>
      <c r="K2532" s="1" t="s">
        <v>19</v>
      </c>
      <c r="L2532" s="4" t="s">
        <v>8624</v>
      </c>
    </row>
    <row r="2533">
      <c r="A2533" s="1" t="s">
        <v>12</v>
      </c>
      <c r="B2533" s="1" t="s">
        <v>8625</v>
      </c>
      <c r="C2533" s="1" t="s">
        <v>8626</v>
      </c>
      <c r="D2533" s="1" t="s">
        <v>8627</v>
      </c>
      <c r="E2533" s="2">
        <v>38140.0</v>
      </c>
      <c r="F2533" s="1" t="s">
        <v>16</v>
      </c>
      <c r="G2533" s="1" t="s">
        <v>17</v>
      </c>
      <c r="H2533" s="1" t="s">
        <v>18</v>
      </c>
      <c r="I2533" s="3">
        <f>+2250757040732</f>
        <v>2250757040732</v>
      </c>
      <c r="J2533" s="3">
        <f>+2250709347850</f>
        <v>2250709347850</v>
      </c>
      <c r="K2533" s="1" t="s">
        <v>19</v>
      </c>
      <c r="L2533" s="4" t="s">
        <v>8628</v>
      </c>
    </row>
    <row r="2534">
      <c r="A2534" s="1" t="s">
        <v>12</v>
      </c>
      <c r="B2534" s="1" t="s">
        <v>8629</v>
      </c>
      <c r="C2534" s="1" t="s">
        <v>8630</v>
      </c>
      <c r="D2534" s="1" t="s">
        <v>8631</v>
      </c>
      <c r="E2534" s="2">
        <v>38384.0</v>
      </c>
      <c r="F2534" s="1" t="s">
        <v>48</v>
      </c>
      <c r="G2534" s="1" t="s">
        <v>76</v>
      </c>
      <c r="H2534" s="1" t="s">
        <v>32</v>
      </c>
      <c r="I2534" s="3">
        <f>+2250574981183</f>
        <v>2250574981183</v>
      </c>
      <c r="J2534" s="3">
        <f>+2250505363043</f>
        <v>2250505363043</v>
      </c>
      <c r="K2534" s="1" t="s">
        <v>19</v>
      </c>
      <c r="L2534" s="4" t="s">
        <v>8632</v>
      </c>
    </row>
    <row r="2535">
      <c r="A2535" s="1" t="s">
        <v>12</v>
      </c>
      <c r="B2535" s="1" t="s">
        <v>8633</v>
      </c>
      <c r="C2535" s="1" t="s">
        <v>8634</v>
      </c>
      <c r="D2535" s="1" t="s">
        <v>8635</v>
      </c>
      <c r="E2535" s="2">
        <v>36695.0</v>
      </c>
      <c r="F2535" s="1" t="s">
        <v>30</v>
      </c>
      <c r="G2535" s="1" t="s">
        <v>76</v>
      </c>
      <c r="H2535" s="1" t="s">
        <v>32</v>
      </c>
      <c r="I2535" s="3">
        <f>+2250586345757</f>
        <v>2250586345757</v>
      </c>
      <c r="J2535" s="3">
        <f>+2250757742186</f>
        <v>2250757742186</v>
      </c>
      <c r="K2535" s="1" t="s">
        <v>19</v>
      </c>
      <c r="L2535" s="4" t="s">
        <v>8636</v>
      </c>
    </row>
    <row r="2536">
      <c r="A2536" s="1" t="s">
        <v>12</v>
      </c>
      <c r="B2536" s="1" t="s">
        <v>8637</v>
      </c>
      <c r="C2536" s="1" t="s">
        <v>8638</v>
      </c>
      <c r="D2536" s="1" t="s">
        <v>178</v>
      </c>
      <c r="E2536" s="2">
        <v>38089.0</v>
      </c>
      <c r="F2536" s="1" t="s">
        <v>30</v>
      </c>
      <c r="G2536" s="1" t="s">
        <v>76</v>
      </c>
      <c r="H2536" s="1" t="s">
        <v>32</v>
      </c>
      <c r="I2536" s="3">
        <f>+2250576156737</f>
        <v>2250576156737</v>
      </c>
      <c r="J2536" s="3">
        <f>+2250748756106</f>
        <v>2250748756106</v>
      </c>
      <c r="K2536" s="1" t="s">
        <v>19</v>
      </c>
      <c r="L2536" s="4" t="s">
        <v>8639</v>
      </c>
    </row>
    <row r="2537">
      <c r="A2537" s="1" t="s">
        <v>12</v>
      </c>
      <c r="B2537" s="1" t="s">
        <v>8640</v>
      </c>
      <c r="C2537" s="1" t="s">
        <v>8638</v>
      </c>
      <c r="D2537" s="1" t="s">
        <v>2806</v>
      </c>
      <c r="E2537" s="5">
        <v>36887.0</v>
      </c>
      <c r="F2537" s="1" t="s">
        <v>351</v>
      </c>
      <c r="G2537" s="1" t="s">
        <v>76</v>
      </c>
      <c r="H2537" s="1" t="s">
        <v>32</v>
      </c>
      <c r="I2537" s="3">
        <f>+2250585604876</f>
        <v>2250585604876</v>
      </c>
      <c r="J2537" s="3">
        <f>+2250779830864</f>
        <v>2250779830864</v>
      </c>
      <c r="K2537" s="1" t="s">
        <v>19</v>
      </c>
      <c r="L2537" s="4" t="s">
        <v>8641</v>
      </c>
    </row>
    <row r="2538">
      <c r="A2538" s="1" t="s">
        <v>12</v>
      </c>
      <c r="B2538" s="1" t="s">
        <v>8642</v>
      </c>
      <c r="C2538" s="1" t="s">
        <v>8643</v>
      </c>
      <c r="D2538" s="1" t="s">
        <v>8644</v>
      </c>
      <c r="E2538" s="2">
        <v>37666.0</v>
      </c>
      <c r="F2538" s="1" t="s">
        <v>1219</v>
      </c>
      <c r="G2538" s="1" t="s">
        <v>82</v>
      </c>
      <c r="H2538" s="1" t="s">
        <v>18</v>
      </c>
      <c r="I2538" s="3">
        <f>+2250748390660</f>
        <v>2250748390660</v>
      </c>
      <c r="J2538" s="3">
        <f>+2250749860214</f>
        <v>2250749860214</v>
      </c>
      <c r="K2538" s="1" t="s">
        <v>19</v>
      </c>
      <c r="L2538" s="4" t="s">
        <v>8645</v>
      </c>
    </row>
    <row r="2539">
      <c r="A2539" s="1" t="s">
        <v>12</v>
      </c>
      <c r="B2539" s="1" t="s">
        <v>8646</v>
      </c>
      <c r="C2539" s="1" t="s">
        <v>8647</v>
      </c>
      <c r="D2539" s="1" t="s">
        <v>8648</v>
      </c>
      <c r="E2539" s="2">
        <v>37765.0</v>
      </c>
      <c r="F2539" s="1" t="s">
        <v>62</v>
      </c>
      <c r="G2539" s="1" t="s">
        <v>17</v>
      </c>
      <c r="H2539" s="1" t="s">
        <v>18</v>
      </c>
      <c r="I2539" s="3">
        <f>+2250747266366</f>
        <v>2250747266366</v>
      </c>
      <c r="J2539" s="3">
        <f>+2250505255012</f>
        <v>2250505255012</v>
      </c>
      <c r="K2539" s="1" t="s">
        <v>19</v>
      </c>
      <c r="L2539" s="4" t="s">
        <v>8649</v>
      </c>
    </row>
    <row r="2540">
      <c r="A2540" s="1" t="s">
        <v>12</v>
      </c>
      <c r="B2540" s="1" t="s">
        <v>8650</v>
      </c>
      <c r="C2540" s="1" t="s">
        <v>8651</v>
      </c>
      <c r="D2540" s="1" t="s">
        <v>8652</v>
      </c>
      <c r="E2540" s="2">
        <v>37647.0</v>
      </c>
      <c r="F2540" s="1" t="s">
        <v>53</v>
      </c>
      <c r="G2540" s="1" t="s">
        <v>25</v>
      </c>
      <c r="H2540" s="1" t="s">
        <v>18</v>
      </c>
      <c r="I2540" s="3">
        <f>+2250788198529</f>
        <v>2250788198529</v>
      </c>
      <c r="J2540" s="3">
        <f>+2250708757463</f>
        <v>2250708757463</v>
      </c>
      <c r="K2540" s="1" t="s">
        <v>19</v>
      </c>
      <c r="L2540" s="4" t="s">
        <v>8653</v>
      </c>
    </row>
    <row r="2541">
      <c r="A2541" s="1" t="s">
        <v>12</v>
      </c>
      <c r="B2541" s="1" t="s">
        <v>8654</v>
      </c>
      <c r="C2541" s="1" t="s">
        <v>8651</v>
      </c>
      <c r="D2541" s="1" t="s">
        <v>8655</v>
      </c>
      <c r="E2541" s="2">
        <v>38077.0</v>
      </c>
      <c r="F2541" s="1" t="s">
        <v>167</v>
      </c>
      <c r="G2541" s="1" t="s">
        <v>17</v>
      </c>
      <c r="H2541" s="1" t="s">
        <v>18</v>
      </c>
      <c r="I2541" s="3">
        <f>+2250575087799</f>
        <v>2250575087799</v>
      </c>
      <c r="J2541" s="3">
        <f>+2250749549537</f>
        <v>2250749549537</v>
      </c>
      <c r="K2541" s="1" t="s">
        <v>19</v>
      </c>
      <c r="L2541" s="4" t="s">
        <v>8656</v>
      </c>
    </row>
    <row r="2542">
      <c r="A2542" s="1" t="s">
        <v>12</v>
      </c>
      <c r="B2542" s="1" t="s">
        <v>8657</v>
      </c>
      <c r="C2542" s="1" t="s">
        <v>8658</v>
      </c>
      <c r="D2542" s="1" t="s">
        <v>8659</v>
      </c>
      <c r="E2542" s="2">
        <v>36737.0</v>
      </c>
      <c r="F2542" s="1" t="s">
        <v>53</v>
      </c>
      <c r="G2542" s="1" t="s">
        <v>17</v>
      </c>
      <c r="H2542" s="1" t="s">
        <v>18</v>
      </c>
      <c r="I2542" s="3">
        <f>+2250711630423</f>
        <v>2250711630423</v>
      </c>
      <c r="J2542" s="3">
        <f>+2250707262525</f>
        <v>2250707262525</v>
      </c>
      <c r="K2542" s="1" t="s">
        <v>19</v>
      </c>
      <c r="L2542" s="4" t="s">
        <v>8660</v>
      </c>
    </row>
    <row r="2543">
      <c r="A2543" s="1" t="s">
        <v>12</v>
      </c>
      <c r="B2543" s="1" t="s">
        <v>8661</v>
      </c>
      <c r="C2543" s="1" t="s">
        <v>8662</v>
      </c>
      <c r="D2543" s="1" t="s">
        <v>8663</v>
      </c>
      <c r="E2543" s="2">
        <v>37311.0</v>
      </c>
      <c r="F2543" s="1" t="s">
        <v>1723</v>
      </c>
      <c r="G2543" s="1" t="s">
        <v>82</v>
      </c>
      <c r="H2543" s="1" t="s">
        <v>18</v>
      </c>
      <c r="I2543" s="3">
        <f t="shared" ref="I2543:J2543" si="78">+2250747486604</f>
        <v>2250747486604</v>
      </c>
      <c r="J2543" s="3">
        <f t="shared" si="78"/>
        <v>2250747486604</v>
      </c>
      <c r="K2543" s="1" t="s">
        <v>19</v>
      </c>
      <c r="L2543" s="4" t="s">
        <v>8664</v>
      </c>
    </row>
    <row r="2544">
      <c r="A2544" s="1" t="s">
        <v>12</v>
      </c>
      <c r="B2544" s="1" t="s">
        <v>8665</v>
      </c>
      <c r="C2544" s="1" t="s">
        <v>8666</v>
      </c>
      <c r="D2544" s="1" t="s">
        <v>8667</v>
      </c>
      <c r="E2544" s="2">
        <v>38074.0</v>
      </c>
      <c r="F2544" s="1" t="s">
        <v>53</v>
      </c>
      <c r="G2544" s="1" t="s">
        <v>25</v>
      </c>
      <c r="H2544" s="1" t="s">
        <v>18</v>
      </c>
      <c r="I2544" s="3">
        <f>+2250586312125</f>
        <v>2250586312125</v>
      </c>
      <c r="J2544" s="3">
        <f>+2250709114123</f>
        <v>2250709114123</v>
      </c>
      <c r="K2544" s="1" t="s">
        <v>19</v>
      </c>
      <c r="L2544" s="4" t="s">
        <v>8668</v>
      </c>
    </row>
    <row r="2545">
      <c r="A2545" s="1" t="s">
        <v>12</v>
      </c>
      <c r="B2545" s="1" t="s">
        <v>8669</v>
      </c>
      <c r="C2545" s="1" t="s">
        <v>8666</v>
      </c>
      <c r="D2545" s="1" t="s">
        <v>8670</v>
      </c>
      <c r="E2545" s="2">
        <v>37361.0</v>
      </c>
      <c r="F2545" s="1" t="s">
        <v>53</v>
      </c>
      <c r="G2545" s="1" t="s">
        <v>17</v>
      </c>
      <c r="H2545" s="1" t="s">
        <v>18</v>
      </c>
      <c r="I2545" s="3">
        <f>+2250142849360</f>
        <v>2250142849360</v>
      </c>
      <c r="J2545" s="3">
        <f>+2250101005794</f>
        <v>2250101005794</v>
      </c>
      <c r="K2545" s="1" t="s">
        <v>19</v>
      </c>
      <c r="L2545" s="4" t="s">
        <v>8671</v>
      </c>
    </row>
    <row r="2546">
      <c r="A2546" s="1" t="s">
        <v>12</v>
      </c>
      <c r="B2546" s="1" t="s">
        <v>8672</v>
      </c>
      <c r="C2546" s="1" t="s">
        <v>8673</v>
      </c>
      <c r="D2546" s="1" t="s">
        <v>8674</v>
      </c>
      <c r="E2546" s="2">
        <v>38692.0</v>
      </c>
      <c r="F2546" s="1" t="s">
        <v>101</v>
      </c>
      <c r="G2546" s="1" t="s">
        <v>76</v>
      </c>
      <c r="H2546" s="1" t="s">
        <v>32</v>
      </c>
      <c r="I2546" s="3">
        <f>+2250140792000</f>
        <v>2250140792000</v>
      </c>
      <c r="J2546" s="3">
        <f>+2250702272703</f>
        <v>2250702272703</v>
      </c>
      <c r="K2546" s="1" t="s">
        <v>19</v>
      </c>
      <c r="L2546" s="4" t="s">
        <v>8675</v>
      </c>
    </row>
    <row r="2547">
      <c r="A2547" s="1" t="s">
        <v>12</v>
      </c>
      <c r="B2547" s="1" t="s">
        <v>8676</v>
      </c>
      <c r="C2547" s="1" t="s">
        <v>8677</v>
      </c>
      <c r="D2547" s="1" t="s">
        <v>8678</v>
      </c>
      <c r="E2547" s="2">
        <v>38556.0</v>
      </c>
      <c r="F2547" s="1" t="s">
        <v>155</v>
      </c>
      <c r="G2547" s="1" t="s">
        <v>31</v>
      </c>
      <c r="H2547" s="1" t="s">
        <v>32</v>
      </c>
      <c r="I2547" s="3">
        <f>+2250173034742</f>
        <v>2250173034742</v>
      </c>
      <c r="J2547" s="3">
        <f>+2250759141016</f>
        <v>2250759141016</v>
      </c>
      <c r="K2547" s="1" t="s">
        <v>19</v>
      </c>
      <c r="L2547" s="4" t="s">
        <v>8679</v>
      </c>
    </row>
    <row r="2548">
      <c r="A2548" s="1" t="s">
        <v>12</v>
      </c>
      <c r="B2548" s="1" t="s">
        <v>8680</v>
      </c>
      <c r="C2548" s="1" t="s">
        <v>8681</v>
      </c>
      <c r="D2548" s="1" t="s">
        <v>8682</v>
      </c>
      <c r="E2548" s="2">
        <v>37889.0</v>
      </c>
      <c r="F2548" s="1" t="s">
        <v>16</v>
      </c>
      <c r="G2548" s="1" t="s">
        <v>17</v>
      </c>
      <c r="H2548" s="1" t="s">
        <v>18</v>
      </c>
      <c r="I2548" s="3">
        <f>+2250153888056</f>
        <v>2250153888056</v>
      </c>
      <c r="J2548" s="3">
        <f>+2250747507600</f>
        <v>2250747507600</v>
      </c>
      <c r="K2548" s="1" t="s">
        <v>19</v>
      </c>
      <c r="L2548" s="4" t="s">
        <v>8683</v>
      </c>
    </row>
    <row r="2549">
      <c r="A2549" s="1" t="s">
        <v>12</v>
      </c>
      <c r="B2549" s="1" t="s">
        <v>8684</v>
      </c>
      <c r="C2549" s="1" t="s">
        <v>8685</v>
      </c>
      <c r="D2549" s="1" t="s">
        <v>8686</v>
      </c>
      <c r="E2549" s="2">
        <v>37726.0</v>
      </c>
      <c r="F2549" s="1" t="s">
        <v>16</v>
      </c>
      <c r="G2549" s="1" t="s">
        <v>17</v>
      </c>
      <c r="H2549" s="1" t="s">
        <v>18</v>
      </c>
      <c r="I2549" s="3">
        <f>+2250758257268</f>
        <v>2250758257268</v>
      </c>
      <c r="J2549" s="3">
        <f>+2250757752701</f>
        <v>2250757752701</v>
      </c>
      <c r="K2549" s="1" t="s">
        <v>19</v>
      </c>
      <c r="L2549" s="4" t="s">
        <v>8687</v>
      </c>
    </row>
    <row r="2550">
      <c r="A2550" s="1" t="s">
        <v>12</v>
      </c>
      <c r="B2550" s="1" t="s">
        <v>8688</v>
      </c>
      <c r="C2550" s="1" t="s">
        <v>8689</v>
      </c>
      <c r="D2550" s="1" t="s">
        <v>8690</v>
      </c>
      <c r="E2550" s="2">
        <v>38075.0</v>
      </c>
      <c r="F2550" s="1" t="s">
        <v>16</v>
      </c>
      <c r="G2550" s="1" t="s">
        <v>25</v>
      </c>
      <c r="H2550" s="1" t="s">
        <v>18</v>
      </c>
      <c r="I2550" s="3">
        <f t="shared" ref="I2550:J2550" si="79">+2250705304976</f>
        <v>2250705304976</v>
      </c>
      <c r="J2550" s="3">
        <f t="shared" si="79"/>
        <v>2250705304976</v>
      </c>
      <c r="K2550" s="1" t="s">
        <v>19</v>
      </c>
      <c r="L2550" s="4" t="s">
        <v>8691</v>
      </c>
    </row>
    <row r="2551">
      <c r="A2551" s="1" t="s">
        <v>12</v>
      </c>
      <c r="B2551" s="1" t="s">
        <v>8692</v>
      </c>
      <c r="C2551" s="1" t="s">
        <v>8693</v>
      </c>
      <c r="D2551" s="1" t="s">
        <v>8694</v>
      </c>
      <c r="E2551" s="2">
        <v>37901.0</v>
      </c>
      <c r="F2551" s="1" t="s">
        <v>167</v>
      </c>
      <c r="G2551" s="1" t="s">
        <v>17</v>
      </c>
      <c r="H2551" s="1" t="s">
        <v>18</v>
      </c>
      <c r="I2551" s="3">
        <f>+2250141371691</f>
        <v>2250141371691</v>
      </c>
      <c r="J2551" s="3">
        <f>+2250502187989</f>
        <v>2250502187989</v>
      </c>
      <c r="K2551" s="1" t="s">
        <v>19</v>
      </c>
      <c r="L2551" s="4" t="s">
        <v>8695</v>
      </c>
    </row>
    <row r="2552">
      <c r="A2552" s="1" t="s">
        <v>12</v>
      </c>
      <c r="B2552" s="1" t="s">
        <v>8696</v>
      </c>
      <c r="C2552" s="1" t="s">
        <v>8697</v>
      </c>
      <c r="D2552" s="1" t="s">
        <v>8698</v>
      </c>
      <c r="E2552" s="5">
        <v>37978.0</v>
      </c>
      <c r="F2552" s="1" t="s">
        <v>24</v>
      </c>
      <c r="G2552" s="1" t="s">
        <v>25</v>
      </c>
      <c r="H2552" s="1" t="s">
        <v>18</v>
      </c>
      <c r="I2552" s="3">
        <f>+2250575527040</f>
        <v>2250575527040</v>
      </c>
      <c r="J2552" s="3">
        <f>+2250707068795</f>
        <v>2250707068795</v>
      </c>
      <c r="K2552" s="1" t="s">
        <v>19</v>
      </c>
      <c r="L2552" s="4" t="s">
        <v>8699</v>
      </c>
    </row>
    <row r="2553">
      <c r="A2553" s="1" t="s">
        <v>12</v>
      </c>
      <c r="B2553" s="1" t="s">
        <v>8700</v>
      </c>
      <c r="C2553" s="1" t="s">
        <v>8701</v>
      </c>
      <c r="D2553" s="1" t="s">
        <v>8702</v>
      </c>
      <c r="E2553" s="2">
        <v>38174.0</v>
      </c>
      <c r="F2553" s="1" t="s">
        <v>30</v>
      </c>
      <c r="G2553" s="1" t="s">
        <v>31</v>
      </c>
      <c r="H2553" s="1" t="s">
        <v>32</v>
      </c>
      <c r="I2553" s="3">
        <f>+2250704213311</f>
        <v>2250704213311</v>
      </c>
      <c r="J2553" s="3">
        <f>+2250707213311</f>
        <v>2250707213311</v>
      </c>
      <c r="K2553" s="1" t="s">
        <v>19</v>
      </c>
      <c r="L2553" s="4" t="s">
        <v>8703</v>
      </c>
    </row>
    <row r="2554">
      <c r="A2554" s="1" t="s">
        <v>12</v>
      </c>
      <c r="B2554" s="1" t="s">
        <v>8704</v>
      </c>
      <c r="C2554" s="1" t="s">
        <v>8705</v>
      </c>
      <c r="D2554" s="1" t="s">
        <v>8706</v>
      </c>
      <c r="E2554" s="2">
        <v>37377.0</v>
      </c>
      <c r="F2554" s="1" t="s">
        <v>62</v>
      </c>
      <c r="G2554" s="1" t="s">
        <v>25</v>
      </c>
      <c r="H2554" s="1" t="s">
        <v>18</v>
      </c>
      <c r="I2554" s="3">
        <f>+2250173868477</f>
        <v>2250173868477</v>
      </c>
      <c r="J2554" s="3">
        <f>+2250709389696</f>
        <v>2250709389696</v>
      </c>
      <c r="K2554" s="1" t="s">
        <v>19</v>
      </c>
      <c r="L2554" s="4" t="s">
        <v>8707</v>
      </c>
    </row>
    <row r="2555">
      <c r="A2555" s="1" t="s">
        <v>12</v>
      </c>
      <c r="B2555" s="1" t="s">
        <v>8708</v>
      </c>
      <c r="C2555" s="1" t="s">
        <v>8709</v>
      </c>
      <c r="D2555" s="1" t="s">
        <v>8710</v>
      </c>
      <c r="E2555" s="2">
        <v>36337.0</v>
      </c>
      <c r="F2555" s="1" t="s">
        <v>30</v>
      </c>
      <c r="G2555" s="1" t="s">
        <v>31</v>
      </c>
      <c r="H2555" s="1" t="s">
        <v>32</v>
      </c>
      <c r="I2555" s="3">
        <f>+2250152651911</f>
        <v>2250152651911</v>
      </c>
      <c r="J2555" s="3">
        <f>+2250505898601</f>
        <v>2250505898601</v>
      </c>
      <c r="K2555" s="1" t="s">
        <v>19</v>
      </c>
      <c r="L2555" s="4" t="s">
        <v>8711</v>
      </c>
    </row>
    <row r="2556">
      <c r="A2556" s="1" t="s">
        <v>12</v>
      </c>
      <c r="B2556" s="1" t="s">
        <v>8712</v>
      </c>
      <c r="C2556" s="1" t="s">
        <v>8713</v>
      </c>
      <c r="D2556" s="1" t="s">
        <v>8714</v>
      </c>
      <c r="E2556" s="2">
        <v>37687.0</v>
      </c>
      <c r="F2556" s="1" t="s">
        <v>16</v>
      </c>
      <c r="G2556" s="1" t="s">
        <v>17</v>
      </c>
      <c r="H2556" s="1" t="s">
        <v>18</v>
      </c>
      <c r="I2556" s="3">
        <f>+2250171402137</f>
        <v>2250171402137</v>
      </c>
      <c r="J2556" s="3">
        <f>+2250505043130</f>
        <v>2250505043130</v>
      </c>
      <c r="K2556" s="1" t="s">
        <v>19</v>
      </c>
      <c r="L2556" s="4" t="s">
        <v>8715</v>
      </c>
    </row>
    <row r="2557">
      <c r="A2557" s="1" t="s">
        <v>12</v>
      </c>
      <c r="B2557" s="1" t="s">
        <v>8716</v>
      </c>
      <c r="C2557" s="1" t="s">
        <v>8717</v>
      </c>
      <c r="D2557" s="1" t="s">
        <v>8718</v>
      </c>
      <c r="E2557" s="2">
        <v>37649.0</v>
      </c>
      <c r="F2557" s="1" t="s">
        <v>24</v>
      </c>
      <c r="G2557" s="1" t="s">
        <v>82</v>
      </c>
      <c r="H2557" s="1" t="s">
        <v>18</v>
      </c>
      <c r="I2557" s="3">
        <f>+2250700735267</f>
        <v>2250700735267</v>
      </c>
      <c r="J2557" s="3">
        <f>+2250748007260</f>
        <v>2250748007260</v>
      </c>
      <c r="K2557" s="1" t="s">
        <v>19</v>
      </c>
      <c r="L2557" s="4" t="s">
        <v>8719</v>
      </c>
    </row>
    <row r="2558">
      <c r="A2558" s="1" t="s">
        <v>12</v>
      </c>
      <c r="B2558" s="1" t="s">
        <v>8720</v>
      </c>
      <c r="C2558" s="1" t="s">
        <v>8721</v>
      </c>
      <c r="D2558" s="1" t="s">
        <v>8722</v>
      </c>
      <c r="E2558" s="2">
        <v>35469.0</v>
      </c>
      <c r="F2558" s="1" t="s">
        <v>288</v>
      </c>
      <c r="G2558" s="1" t="s">
        <v>82</v>
      </c>
      <c r="H2558" s="1" t="s">
        <v>18</v>
      </c>
      <c r="I2558" s="3">
        <f>+2250544957786</f>
        <v>2250544957786</v>
      </c>
      <c r="J2558" s="3">
        <f>+2250707629559</f>
        <v>2250707629559</v>
      </c>
      <c r="K2558" s="1" t="s">
        <v>19</v>
      </c>
      <c r="L2558" s="4" t="s">
        <v>8723</v>
      </c>
    </row>
    <row r="2559">
      <c r="A2559" s="1" t="s">
        <v>12</v>
      </c>
      <c r="B2559" s="1" t="s">
        <v>8724</v>
      </c>
      <c r="C2559" s="1" t="s">
        <v>8725</v>
      </c>
      <c r="D2559" s="1" t="s">
        <v>8726</v>
      </c>
      <c r="E2559" s="2">
        <v>38514.0</v>
      </c>
      <c r="F2559" s="1" t="s">
        <v>155</v>
      </c>
      <c r="G2559" s="1" t="s">
        <v>31</v>
      </c>
      <c r="H2559" s="1" t="s">
        <v>32</v>
      </c>
      <c r="I2559" s="3">
        <f>+2250584400005</f>
        <v>2250584400005</v>
      </c>
      <c r="J2559" s="3">
        <f>+2250103746134</f>
        <v>2250103746134</v>
      </c>
      <c r="K2559" s="1" t="s">
        <v>19</v>
      </c>
      <c r="L2559" s="4" t="s">
        <v>8727</v>
      </c>
    </row>
    <row r="2560">
      <c r="A2560" s="1" t="s">
        <v>12</v>
      </c>
      <c r="B2560" s="1" t="s">
        <v>8728</v>
      </c>
      <c r="C2560" s="1" t="s">
        <v>8729</v>
      </c>
      <c r="D2560" s="1" t="s">
        <v>8730</v>
      </c>
      <c r="E2560" s="2">
        <v>37997.0</v>
      </c>
      <c r="F2560" s="1" t="s">
        <v>75</v>
      </c>
      <c r="G2560" s="1" t="s">
        <v>76</v>
      </c>
      <c r="H2560" s="1" t="s">
        <v>32</v>
      </c>
      <c r="I2560" s="3">
        <f>+2250767212654</f>
        <v>2250767212654</v>
      </c>
      <c r="J2560" s="3">
        <f>+2250768794609</f>
        <v>2250768794609</v>
      </c>
      <c r="K2560" s="1" t="s">
        <v>19</v>
      </c>
      <c r="L2560" s="4" t="s">
        <v>8731</v>
      </c>
    </row>
    <row r="2561">
      <c r="A2561" s="1" t="s">
        <v>12</v>
      </c>
      <c r="B2561" s="1" t="s">
        <v>8732</v>
      </c>
      <c r="C2561" s="1" t="s">
        <v>8729</v>
      </c>
      <c r="D2561" s="1" t="s">
        <v>8733</v>
      </c>
      <c r="E2561" s="2">
        <v>36900.0</v>
      </c>
      <c r="F2561" s="1" t="s">
        <v>16</v>
      </c>
      <c r="G2561" s="1" t="s">
        <v>25</v>
      </c>
      <c r="H2561" s="1" t="s">
        <v>18</v>
      </c>
      <c r="I2561" s="3">
        <f>+2250701212885</f>
        <v>2250701212885</v>
      </c>
      <c r="J2561" s="3">
        <f>+2250545002223</f>
        <v>2250545002223</v>
      </c>
      <c r="K2561" s="1" t="s">
        <v>19</v>
      </c>
      <c r="L2561" s="4" t="s">
        <v>8734</v>
      </c>
    </row>
    <row r="2562">
      <c r="A2562" s="1" t="s">
        <v>12</v>
      </c>
      <c r="B2562" s="1" t="s">
        <v>8735</v>
      </c>
      <c r="C2562" s="1" t="s">
        <v>8736</v>
      </c>
      <c r="D2562" s="1" t="s">
        <v>2686</v>
      </c>
      <c r="E2562" s="5">
        <v>37223.0</v>
      </c>
      <c r="F2562" s="1" t="s">
        <v>16</v>
      </c>
      <c r="G2562" s="1" t="s">
        <v>25</v>
      </c>
      <c r="H2562" s="1" t="s">
        <v>18</v>
      </c>
      <c r="I2562" s="3">
        <f>+2250787901331</f>
        <v>2250787901331</v>
      </c>
      <c r="J2562" s="3">
        <f>+2250172597907</f>
        <v>2250172597907</v>
      </c>
      <c r="K2562" s="1" t="s">
        <v>19</v>
      </c>
      <c r="L2562" s="4" t="s">
        <v>8737</v>
      </c>
    </row>
    <row r="2563">
      <c r="A2563" s="1" t="s">
        <v>12</v>
      </c>
      <c r="B2563" s="1" t="s">
        <v>8738</v>
      </c>
      <c r="C2563" s="1" t="s">
        <v>8736</v>
      </c>
      <c r="D2563" s="1" t="s">
        <v>2686</v>
      </c>
      <c r="E2563" s="5">
        <v>36872.0</v>
      </c>
      <c r="F2563" s="1" t="s">
        <v>62</v>
      </c>
      <c r="G2563" s="1" t="s">
        <v>17</v>
      </c>
      <c r="H2563" s="1" t="s">
        <v>18</v>
      </c>
      <c r="I2563" s="3">
        <f>+2250584238615</f>
        <v>2250584238615</v>
      </c>
      <c r="J2563" s="3">
        <f>+2250748525898</f>
        <v>2250748525898</v>
      </c>
      <c r="K2563" s="1" t="s">
        <v>19</v>
      </c>
      <c r="L2563" s="4" t="s">
        <v>8739</v>
      </c>
    </row>
    <row r="2564">
      <c r="A2564" s="1" t="s">
        <v>12</v>
      </c>
      <c r="B2564" s="1" t="s">
        <v>8740</v>
      </c>
      <c r="C2564" s="1" t="s">
        <v>8736</v>
      </c>
      <c r="D2564" s="1" t="s">
        <v>8741</v>
      </c>
      <c r="E2564" s="2">
        <v>37597.0</v>
      </c>
      <c r="F2564" s="1" t="s">
        <v>155</v>
      </c>
      <c r="G2564" s="1" t="s">
        <v>76</v>
      </c>
      <c r="H2564" s="1" t="s">
        <v>32</v>
      </c>
      <c r="I2564" s="3">
        <f>+2250576176401</f>
        <v>2250576176401</v>
      </c>
      <c r="J2564" s="3">
        <f>+2250708087311</f>
        <v>2250708087311</v>
      </c>
      <c r="K2564" s="1" t="s">
        <v>19</v>
      </c>
      <c r="L2564" s="4" t="s">
        <v>8742</v>
      </c>
    </row>
    <row r="2565">
      <c r="A2565" s="1" t="s">
        <v>12</v>
      </c>
      <c r="B2565" s="1" t="s">
        <v>8743</v>
      </c>
      <c r="C2565" s="1" t="s">
        <v>8736</v>
      </c>
      <c r="D2565" s="1" t="s">
        <v>1714</v>
      </c>
      <c r="E2565" s="2">
        <v>38488.0</v>
      </c>
      <c r="F2565" s="1" t="s">
        <v>62</v>
      </c>
      <c r="G2565" s="1" t="s">
        <v>17</v>
      </c>
      <c r="H2565" s="1" t="s">
        <v>18</v>
      </c>
      <c r="I2565" s="3">
        <f>+2250586717559</f>
        <v>2250586717559</v>
      </c>
      <c r="J2565" s="3">
        <f>+2250556943594</f>
        <v>2250556943594</v>
      </c>
      <c r="K2565" s="1" t="s">
        <v>19</v>
      </c>
      <c r="L2565" s="4" t="s">
        <v>8744</v>
      </c>
    </row>
    <row r="2566">
      <c r="A2566" s="1" t="s">
        <v>12</v>
      </c>
      <c r="B2566" s="1" t="s">
        <v>8745</v>
      </c>
      <c r="C2566" s="1" t="s">
        <v>8736</v>
      </c>
      <c r="D2566" s="1" t="s">
        <v>8746</v>
      </c>
      <c r="E2566" s="5">
        <v>37587.0</v>
      </c>
      <c r="F2566" s="1" t="s">
        <v>62</v>
      </c>
      <c r="G2566" s="1" t="s">
        <v>17</v>
      </c>
      <c r="H2566" s="1" t="s">
        <v>18</v>
      </c>
      <c r="I2566" s="3">
        <f>+2250700304542</f>
        <v>2250700304542</v>
      </c>
      <c r="J2566" s="3">
        <f>+2250709088031</f>
        <v>2250709088031</v>
      </c>
      <c r="K2566" s="1" t="s">
        <v>19</v>
      </c>
      <c r="L2566" s="4" t="s">
        <v>8747</v>
      </c>
    </row>
    <row r="2567">
      <c r="A2567" s="1" t="s">
        <v>12</v>
      </c>
      <c r="B2567" s="1" t="s">
        <v>8748</v>
      </c>
      <c r="C2567" s="1" t="s">
        <v>8749</v>
      </c>
      <c r="D2567" s="1" t="s">
        <v>8750</v>
      </c>
      <c r="E2567" s="2">
        <v>38194.0</v>
      </c>
      <c r="F2567" s="1" t="s">
        <v>62</v>
      </c>
      <c r="G2567" s="1" t="s">
        <v>17</v>
      </c>
      <c r="H2567" s="1" t="s">
        <v>18</v>
      </c>
      <c r="I2567" s="3">
        <f>+2250576721451</f>
        <v>2250576721451</v>
      </c>
      <c r="J2567" s="3">
        <f>+2250545424564</f>
        <v>2250545424564</v>
      </c>
      <c r="K2567" s="1" t="s">
        <v>19</v>
      </c>
      <c r="L2567" s="4" t="s">
        <v>8751</v>
      </c>
    </row>
    <row r="2568">
      <c r="A2568" s="1" t="s">
        <v>12</v>
      </c>
      <c r="B2568" s="1" t="s">
        <v>8752</v>
      </c>
      <c r="C2568" s="1" t="s">
        <v>8749</v>
      </c>
      <c r="D2568" s="1" t="s">
        <v>8753</v>
      </c>
      <c r="E2568" s="2">
        <v>38480.0</v>
      </c>
      <c r="F2568" s="1" t="s">
        <v>48</v>
      </c>
      <c r="G2568" s="1" t="s">
        <v>76</v>
      </c>
      <c r="H2568" s="1" t="s">
        <v>32</v>
      </c>
      <c r="I2568" s="3">
        <f>+2250768580265</f>
        <v>2250768580265</v>
      </c>
      <c r="J2568" s="3">
        <f>+2250749629229</f>
        <v>2250749629229</v>
      </c>
      <c r="K2568" s="1" t="s">
        <v>19</v>
      </c>
      <c r="L2568" s="4" t="s">
        <v>8754</v>
      </c>
    </row>
    <row r="2569">
      <c r="A2569" s="1" t="s">
        <v>12</v>
      </c>
      <c r="B2569" s="1" t="s">
        <v>8755</v>
      </c>
      <c r="C2569" s="1" t="s">
        <v>8756</v>
      </c>
      <c r="D2569" s="1" t="s">
        <v>8757</v>
      </c>
      <c r="E2569" s="2">
        <v>37770.0</v>
      </c>
      <c r="F2569" s="1" t="s">
        <v>53</v>
      </c>
      <c r="G2569" s="1" t="s">
        <v>17</v>
      </c>
      <c r="H2569" s="1" t="s">
        <v>18</v>
      </c>
      <c r="I2569" s="3">
        <f>+2250140734022</f>
        <v>2250140734022</v>
      </c>
      <c r="J2569" s="3">
        <f>+2250171496560</f>
        <v>2250171496560</v>
      </c>
      <c r="K2569" s="1" t="s">
        <v>19</v>
      </c>
      <c r="L2569" s="4" t="s">
        <v>8758</v>
      </c>
    </row>
    <row r="2570">
      <c r="A2570" s="1" t="s">
        <v>12</v>
      </c>
      <c r="B2570" s="1" t="s">
        <v>8759</v>
      </c>
      <c r="C2570" s="1" t="s">
        <v>8760</v>
      </c>
      <c r="D2570" s="1" t="s">
        <v>8761</v>
      </c>
      <c r="E2570" s="2">
        <v>37891.0</v>
      </c>
      <c r="F2570" s="1" t="s">
        <v>147</v>
      </c>
      <c r="G2570" s="1" t="s">
        <v>82</v>
      </c>
      <c r="H2570" s="1" t="s">
        <v>18</v>
      </c>
      <c r="I2570" s="3">
        <f>+2250779909141</f>
        <v>2250779909141</v>
      </c>
      <c r="J2570" s="3">
        <f>+2250708669124</f>
        <v>2250708669124</v>
      </c>
      <c r="K2570" s="1" t="s">
        <v>19</v>
      </c>
      <c r="L2570" s="4" t="s">
        <v>8762</v>
      </c>
    </row>
    <row r="2571">
      <c r="A2571" s="1" t="s">
        <v>12</v>
      </c>
      <c r="B2571" s="1" t="s">
        <v>8763</v>
      </c>
      <c r="C2571" s="1" t="s">
        <v>8764</v>
      </c>
      <c r="D2571" s="1" t="s">
        <v>8765</v>
      </c>
      <c r="E2571" s="2">
        <v>38377.0</v>
      </c>
      <c r="F2571" s="1" t="s">
        <v>138</v>
      </c>
      <c r="G2571" s="1" t="s">
        <v>76</v>
      </c>
      <c r="H2571" s="1" t="s">
        <v>32</v>
      </c>
      <c r="I2571" s="3">
        <f>+2250705495826</f>
        <v>2250705495826</v>
      </c>
      <c r="J2571" s="3">
        <f>+2250707838337</f>
        <v>2250707838337</v>
      </c>
      <c r="K2571" s="1" t="s">
        <v>19</v>
      </c>
      <c r="L2571" s="4" t="s">
        <v>8766</v>
      </c>
    </row>
    <row r="2572">
      <c r="A2572" s="1" t="s">
        <v>12</v>
      </c>
      <c r="B2572" s="1" t="s">
        <v>8767</v>
      </c>
      <c r="C2572" s="1" t="s">
        <v>8768</v>
      </c>
      <c r="D2572" s="1" t="s">
        <v>8769</v>
      </c>
      <c r="E2572" s="2">
        <v>37319.0</v>
      </c>
      <c r="F2572" s="1" t="s">
        <v>16</v>
      </c>
      <c r="G2572" s="1" t="s">
        <v>25</v>
      </c>
      <c r="H2572" s="1" t="s">
        <v>18</v>
      </c>
      <c r="I2572" s="3">
        <f>+2250594525146</f>
        <v>2250594525146</v>
      </c>
      <c r="J2572" s="3">
        <f>+2250708394034</f>
        <v>2250708394034</v>
      </c>
      <c r="K2572" s="1" t="s">
        <v>19</v>
      </c>
      <c r="L2572" s="4" t="s">
        <v>8770</v>
      </c>
    </row>
    <row r="2573">
      <c r="A2573" s="1" t="s">
        <v>12</v>
      </c>
      <c r="B2573" s="1" t="s">
        <v>8771</v>
      </c>
      <c r="C2573" s="1" t="s">
        <v>8768</v>
      </c>
      <c r="D2573" s="1" t="s">
        <v>8772</v>
      </c>
      <c r="E2573" s="2">
        <v>38614.0</v>
      </c>
      <c r="F2573" s="1" t="s">
        <v>16</v>
      </c>
      <c r="G2573" s="1" t="s">
        <v>25</v>
      </c>
      <c r="H2573" s="1" t="s">
        <v>18</v>
      </c>
      <c r="I2573" s="3">
        <f>+2250711761003</f>
        <v>2250711761003</v>
      </c>
      <c r="J2573" s="3">
        <f>+2250505934908</f>
        <v>2250505934908</v>
      </c>
      <c r="K2573" s="1" t="s">
        <v>19</v>
      </c>
      <c r="L2573" s="4" t="s">
        <v>8773</v>
      </c>
    </row>
    <row r="2574">
      <c r="A2574" s="1" t="s">
        <v>12</v>
      </c>
      <c r="B2574" s="1" t="s">
        <v>8774</v>
      </c>
      <c r="C2574" s="1" t="s">
        <v>8775</v>
      </c>
      <c r="D2574" s="1" t="s">
        <v>8776</v>
      </c>
      <c r="E2574" s="2">
        <v>38725.0</v>
      </c>
      <c r="F2574" s="1" t="s">
        <v>48</v>
      </c>
      <c r="G2574" s="1" t="s">
        <v>76</v>
      </c>
      <c r="H2574" s="1" t="s">
        <v>32</v>
      </c>
      <c r="I2574" s="3">
        <f>+2250152370667</f>
        <v>2250152370667</v>
      </c>
      <c r="J2574" s="3">
        <f>+2250152370793</f>
        <v>2250152370793</v>
      </c>
      <c r="K2574" s="1" t="s">
        <v>19</v>
      </c>
      <c r="L2574" s="4" t="s">
        <v>8777</v>
      </c>
    </row>
    <row r="2575">
      <c r="A2575" s="1" t="s">
        <v>12</v>
      </c>
      <c r="B2575" s="1" t="s">
        <v>8778</v>
      </c>
      <c r="C2575" s="1" t="s">
        <v>8775</v>
      </c>
      <c r="D2575" s="1" t="s">
        <v>8779</v>
      </c>
      <c r="E2575" s="2">
        <v>38397.0</v>
      </c>
      <c r="F2575" s="1" t="s">
        <v>16</v>
      </c>
      <c r="G2575" s="1" t="s">
        <v>17</v>
      </c>
      <c r="H2575" s="1" t="s">
        <v>18</v>
      </c>
      <c r="I2575" s="3">
        <f>+2250150625259</f>
        <v>2250150625259</v>
      </c>
      <c r="J2575" s="3">
        <f>+2250505779729</f>
        <v>2250505779729</v>
      </c>
      <c r="K2575" s="1" t="s">
        <v>19</v>
      </c>
      <c r="L2575" s="4" t="s">
        <v>8780</v>
      </c>
    </row>
    <row r="2576">
      <c r="A2576" s="1" t="s">
        <v>12</v>
      </c>
      <c r="B2576" s="1" t="s">
        <v>8781</v>
      </c>
      <c r="C2576" s="1" t="s">
        <v>8782</v>
      </c>
      <c r="D2576" s="1" t="s">
        <v>8783</v>
      </c>
      <c r="E2576" s="2">
        <v>38546.0</v>
      </c>
      <c r="F2576" s="1" t="s">
        <v>138</v>
      </c>
      <c r="G2576" s="1" t="s">
        <v>31</v>
      </c>
      <c r="H2576" s="1" t="s">
        <v>32</v>
      </c>
      <c r="I2576" s="3">
        <f>+2250703420825</f>
        <v>2250703420825</v>
      </c>
      <c r="J2576" s="3">
        <f>+2250152130215</f>
        <v>2250152130215</v>
      </c>
      <c r="K2576" s="1" t="s">
        <v>19</v>
      </c>
      <c r="L2576" s="4" t="s">
        <v>8784</v>
      </c>
    </row>
    <row r="2577">
      <c r="A2577" s="1" t="s">
        <v>12</v>
      </c>
      <c r="B2577" s="1" t="s">
        <v>8785</v>
      </c>
      <c r="C2577" s="1" t="s">
        <v>8786</v>
      </c>
      <c r="D2577" s="1" t="s">
        <v>8787</v>
      </c>
      <c r="E2577" s="2">
        <v>37266.0</v>
      </c>
      <c r="F2577" s="1" t="s">
        <v>16</v>
      </c>
      <c r="G2577" s="1" t="s">
        <v>17</v>
      </c>
      <c r="H2577" s="1" t="s">
        <v>18</v>
      </c>
      <c r="I2577" s="3">
        <f>+2250777133960</f>
        <v>2250777133960</v>
      </c>
      <c r="J2577" s="3">
        <f>+2250102696126</f>
        <v>2250102696126</v>
      </c>
      <c r="K2577" s="1" t="s">
        <v>19</v>
      </c>
      <c r="L2577" s="4" t="s">
        <v>8788</v>
      </c>
    </row>
    <row r="2578">
      <c r="A2578" s="1" t="s">
        <v>12</v>
      </c>
      <c r="B2578" s="1" t="s">
        <v>8789</v>
      </c>
      <c r="C2578" s="1" t="s">
        <v>8790</v>
      </c>
      <c r="D2578" s="1" t="s">
        <v>8791</v>
      </c>
      <c r="E2578" s="5">
        <v>33589.0</v>
      </c>
      <c r="F2578" s="1" t="s">
        <v>48</v>
      </c>
      <c r="G2578" s="1" t="s">
        <v>82</v>
      </c>
      <c r="H2578" s="1" t="s">
        <v>18</v>
      </c>
      <c r="I2578" s="3">
        <f>+2250757588747</f>
        <v>2250757588747</v>
      </c>
      <c r="J2578" s="3">
        <f>+2250778094900</f>
        <v>2250778094900</v>
      </c>
      <c r="K2578" s="1" t="s">
        <v>19</v>
      </c>
      <c r="L2578" s="4" t="s">
        <v>8792</v>
      </c>
    </row>
    <row r="2579">
      <c r="A2579" s="1" t="s">
        <v>12</v>
      </c>
      <c r="B2579" s="1" t="s">
        <v>8793</v>
      </c>
      <c r="C2579" s="1" t="s">
        <v>8790</v>
      </c>
      <c r="D2579" s="1" t="s">
        <v>8794</v>
      </c>
      <c r="E2579" s="2">
        <v>35404.0</v>
      </c>
      <c r="F2579" s="1" t="s">
        <v>342</v>
      </c>
      <c r="G2579" s="1" t="s">
        <v>82</v>
      </c>
      <c r="H2579" s="1" t="s">
        <v>18</v>
      </c>
      <c r="I2579" s="3">
        <f>+2250778094900</f>
        <v>2250778094900</v>
      </c>
      <c r="J2579" s="3">
        <f>+2250757588747</f>
        <v>2250757588747</v>
      </c>
      <c r="K2579" s="1" t="s">
        <v>19</v>
      </c>
      <c r="L2579" s="4" t="s">
        <v>8795</v>
      </c>
    </row>
    <row r="2580">
      <c r="A2580" s="1" t="s">
        <v>12</v>
      </c>
      <c r="B2580" s="1" t="s">
        <v>8796</v>
      </c>
      <c r="C2580" s="1" t="s">
        <v>8797</v>
      </c>
      <c r="D2580" s="1" t="s">
        <v>8798</v>
      </c>
      <c r="E2580" s="5">
        <v>37951.0</v>
      </c>
      <c r="F2580" s="1" t="s">
        <v>62</v>
      </c>
      <c r="G2580" s="1" t="s">
        <v>25</v>
      </c>
      <c r="H2580" s="1" t="s">
        <v>18</v>
      </c>
      <c r="I2580" s="3">
        <f>+2250704502098</f>
        <v>2250704502098</v>
      </c>
      <c r="J2580" s="3">
        <f>+2250748402750</f>
        <v>2250748402750</v>
      </c>
      <c r="K2580" s="1" t="s">
        <v>19</v>
      </c>
      <c r="L2580" s="4" t="s">
        <v>8799</v>
      </c>
    </row>
    <row r="2581">
      <c r="A2581" s="1" t="s">
        <v>12</v>
      </c>
      <c r="B2581" s="1" t="s">
        <v>8800</v>
      </c>
      <c r="C2581" s="1" t="s">
        <v>8801</v>
      </c>
      <c r="D2581" s="1" t="s">
        <v>8802</v>
      </c>
      <c r="E2581" s="2">
        <v>38202.0</v>
      </c>
      <c r="F2581" s="1" t="s">
        <v>62</v>
      </c>
      <c r="G2581" s="1" t="s">
        <v>17</v>
      </c>
      <c r="H2581" s="1" t="s">
        <v>18</v>
      </c>
      <c r="I2581" s="3">
        <f>+2250702553958</f>
        <v>2250702553958</v>
      </c>
      <c r="J2581" s="3">
        <f>+2250101838755</f>
        <v>2250101838755</v>
      </c>
      <c r="K2581" s="1" t="s">
        <v>19</v>
      </c>
      <c r="L2581" s="4" t="s">
        <v>8803</v>
      </c>
    </row>
    <row r="2582">
      <c r="A2582" s="1" t="s">
        <v>12</v>
      </c>
      <c r="B2582" s="1" t="s">
        <v>8804</v>
      </c>
      <c r="C2582" s="1" t="s">
        <v>8805</v>
      </c>
      <c r="D2582" s="1" t="s">
        <v>8806</v>
      </c>
      <c r="E2582" s="5">
        <v>36524.0</v>
      </c>
      <c r="F2582" s="1" t="s">
        <v>1219</v>
      </c>
      <c r="G2582" s="1" t="s">
        <v>82</v>
      </c>
      <c r="H2582" s="1" t="s">
        <v>18</v>
      </c>
      <c r="I2582" s="3">
        <f>+2250759871951</f>
        <v>2250759871951</v>
      </c>
      <c r="J2582" s="3">
        <f>+2250707606707</f>
        <v>2250707606707</v>
      </c>
      <c r="K2582" s="1" t="s">
        <v>19</v>
      </c>
      <c r="L2582" s="4" t="s">
        <v>8807</v>
      </c>
    </row>
    <row r="2583">
      <c r="A2583" s="1" t="s">
        <v>12</v>
      </c>
      <c r="B2583" s="1" t="s">
        <v>8808</v>
      </c>
      <c r="C2583" s="1" t="s">
        <v>8809</v>
      </c>
      <c r="D2583" s="1" t="s">
        <v>8810</v>
      </c>
      <c r="E2583" s="2">
        <v>38044.0</v>
      </c>
      <c r="F2583" s="1" t="s">
        <v>155</v>
      </c>
      <c r="G2583" s="1" t="s">
        <v>76</v>
      </c>
      <c r="H2583" s="1" t="s">
        <v>32</v>
      </c>
      <c r="I2583" s="3">
        <f t="shared" ref="I2583:J2583" si="80">+2250707032626</f>
        <v>2250707032626</v>
      </c>
      <c r="J2583" s="3">
        <f t="shared" si="80"/>
        <v>2250707032626</v>
      </c>
      <c r="K2583" s="1" t="s">
        <v>19</v>
      </c>
      <c r="L2583" s="4" t="s">
        <v>8811</v>
      </c>
    </row>
    <row r="2584">
      <c r="A2584" s="1" t="s">
        <v>12</v>
      </c>
      <c r="B2584" s="1" t="s">
        <v>8812</v>
      </c>
      <c r="C2584" s="1" t="s">
        <v>8809</v>
      </c>
      <c r="D2584" s="1" t="s">
        <v>8813</v>
      </c>
      <c r="E2584" s="2">
        <v>37708.0</v>
      </c>
      <c r="F2584" s="1" t="s">
        <v>138</v>
      </c>
      <c r="G2584" s="1" t="s">
        <v>76</v>
      </c>
      <c r="H2584" s="1" t="s">
        <v>32</v>
      </c>
      <c r="I2584" s="3">
        <f>+2250700290836</f>
        <v>2250700290836</v>
      </c>
      <c r="J2584" s="3">
        <f>+2250777370444</f>
        <v>2250777370444</v>
      </c>
      <c r="K2584" s="1" t="s">
        <v>19</v>
      </c>
      <c r="L2584" s="4" t="s">
        <v>8814</v>
      </c>
    </row>
    <row r="2585">
      <c r="A2585" s="1" t="s">
        <v>12</v>
      </c>
      <c r="B2585" s="1" t="s">
        <v>8815</v>
      </c>
      <c r="C2585" s="1" t="s">
        <v>8809</v>
      </c>
      <c r="D2585" s="1" t="s">
        <v>8816</v>
      </c>
      <c r="E2585" s="2">
        <v>37306.0</v>
      </c>
      <c r="F2585" s="1" t="s">
        <v>48</v>
      </c>
      <c r="G2585" s="1" t="s">
        <v>31</v>
      </c>
      <c r="H2585" s="1" t="s">
        <v>32</v>
      </c>
      <c r="I2585" s="3">
        <f>+2250748092727</f>
        <v>2250748092727</v>
      </c>
      <c r="J2585" s="3">
        <f>+2250707080019</f>
        <v>2250707080019</v>
      </c>
      <c r="K2585" s="1" t="s">
        <v>19</v>
      </c>
      <c r="L2585" s="4" t="s">
        <v>8817</v>
      </c>
    </row>
    <row r="2586">
      <c r="A2586" s="1" t="s">
        <v>12</v>
      </c>
      <c r="B2586" s="1" t="s">
        <v>8818</v>
      </c>
      <c r="C2586" s="1" t="s">
        <v>8809</v>
      </c>
      <c r="D2586" s="1" t="s">
        <v>8819</v>
      </c>
      <c r="E2586" s="2">
        <v>38616.0</v>
      </c>
      <c r="F2586" s="1" t="s">
        <v>16</v>
      </c>
      <c r="G2586" s="1" t="s">
        <v>17</v>
      </c>
      <c r="H2586" s="1" t="s">
        <v>18</v>
      </c>
      <c r="I2586" s="3">
        <f t="shared" ref="I2586:J2586" si="81">+2250140611787</f>
        <v>2250140611787</v>
      </c>
      <c r="J2586" s="3">
        <f t="shared" si="81"/>
        <v>2250140611787</v>
      </c>
      <c r="K2586" s="1" t="s">
        <v>19</v>
      </c>
      <c r="L2586" s="4" t="s">
        <v>8820</v>
      </c>
    </row>
    <row r="2587">
      <c r="A2587" s="1" t="s">
        <v>12</v>
      </c>
      <c r="B2587" s="1" t="s">
        <v>8821</v>
      </c>
      <c r="C2587" s="1" t="s">
        <v>8822</v>
      </c>
      <c r="D2587" s="1" t="s">
        <v>205</v>
      </c>
      <c r="E2587" s="2">
        <v>36917.0</v>
      </c>
      <c r="F2587" s="1" t="s">
        <v>342</v>
      </c>
      <c r="G2587" s="1" t="s">
        <v>82</v>
      </c>
      <c r="H2587" s="1" t="s">
        <v>18</v>
      </c>
      <c r="I2587" s="3">
        <f>+2250564465458</f>
        <v>2250564465458</v>
      </c>
      <c r="J2587" s="3">
        <f>+2250757993943</f>
        <v>2250757993943</v>
      </c>
      <c r="K2587" s="1" t="s">
        <v>19</v>
      </c>
      <c r="L2587" s="4" t="s">
        <v>8823</v>
      </c>
    </row>
    <row r="2588">
      <c r="A2588" s="1" t="s">
        <v>12</v>
      </c>
      <c r="B2588" s="1" t="s">
        <v>8824</v>
      </c>
      <c r="C2588" s="1" t="s">
        <v>8825</v>
      </c>
      <c r="D2588" s="1" t="s">
        <v>8826</v>
      </c>
      <c r="E2588" s="2">
        <v>37054.0</v>
      </c>
      <c r="F2588" s="1" t="s">
        <v>92</v>
      </c>
      <c r="G2588" s="1" t="s">
        <v>31</v>
      </c>
      <c r="H2588" s="1" t="s">
        <v>32</v>
      </c>
      <c r="I2588" s="3">
        <f>+2250142114248</f>
        <v>2250142114248</v>
      </c>
      <c r="J2588" s="3">
        <f>+2250103893970</f>
        <v>2250103893970</v>
      </c>
      <c r="K2588" s="1" t="s">
        <v>19</v>
      </c>
      <c r="L2588" s="4" t="s">
        <v>8827</v>
      </c>
    </row>
    <row r="2589">
      <c r="A2589" s="1" t="s">
        <v>12</v>
      </c>
      <c r="B2589" s="1" t="s">
        <v>8828</v>
      </c>
      <c r="C2589" s="1" t="s">
        <v>8829</v>
      </c>
      <c r="D2589" s="1" t="s">
        <v>8830</v>
      </c>
      <c r="E2589" s="2">
        <v>37645.0</v>
      </c>
      <c r="F2589" s="1" t="s">
        <v>70</v>
      </c>
      <c r="G2589" s="1" t="s">
        <v>31</v>
      </c>
      <c r="H2589" s="1" t="s">
        <v>32</v>
      </c>
      <c r="I2589" s="3">
        <f>+2250758639330</f>
        <v>2250758639330</v>
      </c>
      <c r="J2589" s="3">
        <f>+2250708681757</f>
        <v>2250708681757</v>
      </c>
      <c r="K2589" s="1" t="s">
        <v>19</v>
      </c>
      <c r="L2589" s="4" t="s">
        <v>8831</v>
      </c>
    </row>
    <row r="2590">
      <c r="A2590" s="1" t="s">
        <v>12</v>
      </c>
      <c r="B2590" s="1" t="s">
        <v>8832</v>
      </c>
      <c r="C2590" s="1" t="s">
        <v>8833</v>
      </c>
      <c r="D2590" s="1" t="s">
        <v>8834</v>
      </c>
      <c r="E2590" s="2">
        <v>37665.0</v>
      </c>
      <c r="F2590" s="1" t="s">
        <v>62</v>
      </c>
      <c r="G2590" s="1" t="s">
        <v>25</v>
      </c>
      <c r="H2590" s="1" t="s">
        <v>18</v>
      </c>
      <c r="I2590" s="3">
        <f>+2250102113613</f>
        <v>2250102113613</v>
      </c>
      <c r="J2590" s="3">
        <f>+2250502673803</f>
        <v>2250502673803</v>
      </c>
      <c r="K2590" s="1" t="s">
        <v>19</v>
      </c>
      <c r="L2590" s="4" t="s">
        <v>8835</v>
      </c>
    </row>
    <row r="2591">
      <c r="A2591" s="1" t="s">
        <v>12</v>
      </c>
      <c r="B2591" s="1" t="s">
        <v>8836</v>
      </c>
      <c r="C2591" s="1" t="s">
        <v>8837</v>
      </c>
      <c r="D2591" s="1" t="s">
        <v>8838</v>
      </c>
      <c r="E2591" s="2">
        <v>36894.0</v>
      </c>
      <c r="F2591" s="1" t="s">
        <v>8839</v>
      </c>
      <c r="G2591" s="1" t="s">
        <v>82</v>
      </c>
      <c r="H2591" s="1" t="s">
        <v>18</v>
      </c>
      <c r="I2591" s="3">
        <f>+2250768369067</f>
        <v>2250768369067</v>
      </c>
      <c r="J2591" s="3">
        <f>+2250787008334</f>
        <v>2250787008334</v>
      </c>
      <c r="K2591" s="1" t="s">
        <v>19</v>
      </c>
      <c r="L2591" s="4" t="s">
        <v>8840</v>
      </c>
    </row>
    <row r="2592">
      <c r="A2592" s="1" t="s">
        <v>12</v>
      </c>
      <c r="B2592" s="1" t="s">
        <v>8841</v>
      </c>
      <c r="C2592" s="1" t="s">
        <v>8842</v>
      </c>
      <c r="D2592" s="1" t="s">
        <v>8843</v>
      </c>
      <c r="E2592" s="2">
        <v>38481.0</v>
      </c>
      <c r="F2592" s="1" t="s">
        <v>75</v>
      </c>
      <c r="G2592" s="1" t="s">
        <v>76</v>
      </c>
      <c r="H2592" s="1" t="s">
        <v>32</v>
      </c>
      <c r="I2592" s="3">
        <f>+2250759843276</f>
        <v>2250759843276</v>
      </c>
      <c r="J2592" s="3">
        <f>+2250779545559</f>
        <v>2250779545559</v>
      </c>
      <c r="K2592" s="1" t="s">
        <v>19</v>
      </c>
      <c r="L2592" s="4" t="s">
        <v>8844</v>
      </c>
    </row>
    <row r="2593">
      <c r="A2593" s="1" t="s">
        <v>12</v>
      </c>
      <c r="B2593" s="1" t="s">
        <v>8845</v>
      </c>
      <c r="C2593" s="1" t="s">
        <v>8846</v>
      </c>
      <c r="D2593" s="1" t="s">
        <v>2702</v>
      </c>
      <c r="E2593" s="2">
        <v>37258.0</v>
      </c>
      <c r="F2593" s="1" t="s">
        <v>62</v>
      </c>
      <c r="G2593" s="1" t="s">
        <v>17</v>
      </c>
      <c r="H2593" s="1" t="s">
        <v>18</v>
      </c>
      <c r="I2593" s="3">
        <f>+2250757831720</f>
        <v>2250757831720</v>
      </c>
      <c r="J2593" s="3">
        <f>+2250709438667</f>
        <v>2250709438667</v>
      </c>
      <c r="K2593" s="1" t="s">
        <v>19</v>
      </c>
      <c r="L2593" s="4" t="s">
        <v>8847</v>
      </c>
    </row>
    <row r="2594">
      <c r="A2594" s="1" t="s">
        <v>12</v>
      </c>
      <c r="B2594" s="1" t="s">
        <v>8848</v>
      </c>
      <c r="C2594" s="1" t="s">
        <v>8849</v>
      </c>
      <c r="D2594" s="1" t="s">
        <v>8850</v>
      </c>
      <c r="E2594" s="2">
        <v>36939.0</v>
      </c>
      <c r="F2594" s="1" t="s">
        <v>16</v>
      </c>
      <c r="G2594" s="1" t="s">
        <v>17</v>
      </c>
      <c r="H2594" s="1" t="s">
        <v>18</v>
      </c>
      <c r="I2594" s="3">
        <f>+2250709002473</f>
        <v>2250709002473</v>
      </c>
      <c r="J2594" s="3">
        <f>+2250708002473</f>
        <v>2250708002473</v>
      </c>
      <c r="K2594" s="1" t="s">
        <v>19</v>
      </c>
      <c r="L2594" s="4" t="s">
        <v>8851</v>
      </c>
    </row>
    <row r="2595">
      <c r="A2595" s="1" t="s">
        <v>12</v>
      </c>
      <c r="B2595" s="1" t="s">
        <v>8852</v>
      </c>
      <c r="C2595" s="1" t="s">
        <v>8853</v>
      </c>
      <c r="D2595" s="1" t="s">
        <v>8854</v>
      </c>
      <c r="E2595" s="2">
        <v>37760.0</v>
      </c>
      <c r="F2595" s="1" t="s">
        <v>62</v>
      </c>
      <c r="G2595" s="1" t="s">
        <v>17</v>
      </c>
      <c r="H2595" s="1" t="s">
        <v>18</v>
      </c>
      <c r="I2595" s="3">
        <f>+2250576601199</f>
        <v>2250576601199</v>
      </c>
      <c r="J2595" s="3">
        <f>+2250140226125</f>
        <v>2250140226125</v>
      </c>
      <c r="K2595" s="1" t="s">
        <v>19</v>
      </c>
      <c r="L2595" s="4" t="s">
        <v>8855</v>
      </c>
    </row>
    <row r="2596">
      <c r="A2596" s="1" t="s">
        <v>12</v>
      </c>
      <c r="B2596" s="1" t="s">
        <v>8856</v>
      </c>
      <c r="C2596" s="1" t="s">
        <v>8853</v>
      </c>
      <c r="D2596" s="1" t="s">
        <v>8857</v>
      </c>
      <c r="E2596" s="2">
        <v>37096.0</v>
      </c>
      <c r="F2596" s="1" t="s">
        <v>48</v>
      </c>
      <c r="G2596" s="1" t="s">
        <v>31</v>
      </c>
      <c r="H2596" s="1" t="s">
        <v>32</v>
      </c>
      <c r="I2596" s="3">
        <f>+2250757387111</f>
        <v>2250757387111</v>
      </c>
      <c r="J2596" s="3">
        <f>+2250143261182</f>
        <v>2250143261182</v>
      </c>
      <c r="K2596" s="1" t="s">
        <v>19</v>
      </c>
      <c r="L2596" s="4" t="s">
        <v>8858</v>
      </c>
    </row>
    <row r="2597">
      <c r="A2597" s="1" t="s">
        <v>12</v>
      </c>
      <c r="B2597" s="1" t="s">
        <v>8859</v>
      </c>
      <c r="C2597" s="1" t="s">
        <v>8853</v>
      </c>
      <c r="D2597" s="1" t="s">
        <v>8860</v>
      </c>
      <c r="E2597" s="2">
        <v>37811.0</v>
      </c>
      <c r="F2597" s="1" t="s">
        <v>75</v>
      </c>
      <c r="G2597" s="1" t="s">
        <v>76</v>
      </c>
      <c r="H2597" s="1" t="s">
        <v>32</v>
      </c>
      <c r="I2597" s="3">
        <f>+2250143447830</f>
        <v>2250143447830</v>
      </c>
      <c r="J2597" s="3">
        <f>+2250779923763</f>
        <v>2250779923763</v>
      </c>
      <c r="K2597" s="1" t="s">
        <v>19</v>
      </c>
      <c r="L2597" s="4" t="s">
        <v>8861</v>
      </c>
    </row>
    <row r="2598">
      <c r="A2598" s="1" t="s">
        <v>12</v>
      </c>
      <c r="B2598" s="1" t="s">
        <v>8862</v>
      </c>
      <c r="C2598" s="1" t="s">
        <v>8853</v>
      </c>
      <c r="D2598" s="1" t="s">
        <v>8863</v>
      </c>
      <c r="E2598" s="2">
        <v>38764.0</v>
      </c>
      <c r="F2598" s="1" t="s">
        <v>62</v>
      </c>
      <c r="G2598" s="1" t="s">
        <v>25</v>
      </c>
      <c r="H2598" s="1" t="s">
        <v>18</v>
      </c>
      <c r="I2598" s="3">
        <f>+2250787765569</f>
        <v>2250787765569</v>
      </c>
      <c r="J2598" s="3">
        <f>+2250506543769</f>
        <v>2250506543769</v>
      </c>
      <c r="K2598" s="1" t="s">
        <v>19</v>
      </c>
      <c r="L2598" s="4" t="s">
        <v>8864</v>
      </c>
    </row>
    <row r="2599">
      <c r="A2599" s="1" t="s">
        <v>12</v>
      </c>
      <c r="B2599" s="1" t="s">
        <v>8865</v>
      </c>
      <c r="C2599" s="1" t="s">
        <v>8866</v>
      </c>
      <c r="D2599" s="1" t="s">
        <v>8867</v>
      </c>
      <c r="E2599" s="2">
        <v>37203.0</v>
      </c>
      <c r="F2599" s="1" t="s">
        <v>92</v>
      </c>
      <c r="G2599" s="1" t="s">
        <v>76</v>
      </c>
      <c r="H2599" s="1" t="s">
        <v>32</v>
      </c>
      <c r="I2599" s="3">
        <f>+2250789639343</f>
        <v>2250789639343</v>
      </c>
      <c r="J2599" s="3">
        <f>+2250504138395</f>
        <v>2250504138395</v>
      </c>
      <c r="K2599" s="1" t="s">
        <v>19</v>
      </c>
      <c r="L2599" s="4" t="s">
        <v>8868</v>
      </c>
    </row>
    <row r="2600">
      <c r="A2600" s="1" t="s">
        <v>12</v>
      </c>
      <c r="B2600" s="1" t="s">
        <v>8869</v>
      </c>
      <c r="C2600" s="1" t="s">
        <v>2806</v>
      </c>
      <c r="D2600" s="1" t="s">
        <v>8870</v>
      </c>
      <c r="E2600" s="2">
        <v>36971.0</v>
      </c>
      <c r="F2600" s="1" t="s">
        <v>138</v>
      </c>
      <c r="G2600" s="1" t="s">
        <v>76</v>
      </c>
      <c r="H2600" s="1" t="s">
        <v>32</v>
      </c>
      <c r="I2600" s="3">
        <f>+2250768650605</f>
        <v>2250768650605</v>
      </c>
      <c r="J2600" s="3">
        <f>+2250747598256</f>
        <v>2250747598256</v>
      </c>
      <c r="K2600" s="1" t="s">
        <v>19</v>
      </c>
      <c r="L2600" s="4" t="s">
        <v>8871</v>
      </c>
    </row>
    <row r="2601">
      <c r="A2601" s="1" t="s">
        <v>12</v>
      </c>
      <c r="B2601" s="1" t="s">
        <v>8872</v>
      </c>
      <c r="C2601" s="1" t="s">
        <v>8873</v>
      </c>
      <c r="D2601" s="1" t="s">
        <v>8874</v>
      </c>
      <c r="E2601" s="2">
        <v>37450.0</v>
      </c>
      <c r="F2601" s="1" t="s">
        <v>570</v>
      </c>
      <c r="G2601" s="1" t="s">
        <v>82</v>
      </c>
      <c r="H2601" s="1" t="s">
        <v>18</v>
      </c>
      <c r="I2601" s="3">
        <f>+2250704733639</f>
        <v>2250704733639</v>
      </c>
      <c r="J2601" s="3">
        <f>+2250779078535</f>
        <v>2250779078535</v>
      </c>
      <c r="K2601" s="1" t="s">
        <v>19</v>
      </c>
      <c r="L2601" s="4" t="s">
        <v>8875</v>
      </c>
    </row>
    <row r="2602">
      <c r="A2602" s="1" t="s">
        <v>12</v>
      </c>
      <c r="B2602" s="1" t="s">
        <v>8876</v>
      </c>
      <c r="C2602" s="1" t="s">
        <v>8877</v>
      </c>
      <c r="D2602" s="1" t="s">
        <v>1643</v>
      </c>
      <c r="E2602" s="2">
        <v>37024.0</v>
      </c>
      <c r="F2602" s="1" t="s">
        <v>16</v>
      </c>
      <c r="G2602" s="1" t="s">
        <v>17</v>
      </c>
      <c r="H2602" s="1" t="s">
        <v>18</v>
      </c>
      <c r="I2602" s="3">
        <f>+2250798236379</f>
        <v>2250798236379</v>
      </c>
      <c r="J2602" s="3">
        <f>+2250759493011</f>
        <v>2250759493011</v>
      </c>
      <c r="K2602" s="1" t="s">
        <v>19</v>
      </c>
      <c r="L2602" s="4" t="s">
        <v>8878</v>
      </c>
    </row>
    <row r="2603">
      <c r="A2603" s="1" t="s">
        <v>12</v>
      </c>
      <c r="B2603" s="1" t="s">
        <v>8879</v>
      </c>
      <c r="C2603" s="1" t="s">
        <v>8880</v>
      </c>
      <c r="D2603" s="1" t="s">
        <v>8881</v>
      </c>
      <c r="E2603" s="5">
        <v>37981.0</v>
      </c>
      <c r="F2603" s="1" t="s">
        <v>48</v>
      </c>
      <c r="G2603" s="1" t="s">
        <v>31</v>
      </c>
      <c r="H2603" s="1" t="s">
        <v>32</v>
      </c>
      <c r="I2603" s="3">
        <f>+2250700330740</f>
        <v>2250700330740</v>
      </c>
      <c r="J2603" s="3">
        <f>+2250506435757</f>
        <v>2250506435757</v>
      </c>
      <c r="K2603" s="1" t="s">
        <v>19</v>
      </c>
      <c r="L2603" s="4" t="s">
        <v>8882</v>
      </c>
    </row>
    <row r="2604">
      <c r="A2604" s="1" t="s">
        <v>12</v>
      </c>
      <c r="B2604" s="1" t="s">
        <v>8883</v>
      </c>
      <c r="C2604" s="1" t="s">
        <v>8884</v>
      </c>
      <c r="D2604" s="1" t="s">
        <v>8885</v>
      </c>
      <c r="E2604" s="2">
        <v>37510.0</v>
      </c>
      <c r="F2604" s="1" t="s">
        <v>53</v>
      </c>
      <c r="G2604" s="1" t="s">
        <v>17</v>
      </c>
      <c r="H2604" s="1" t="s">
        <v>18</v>
      </c>
      <c r="I2604" s="3">
        <f>+2250708286181</f>
        <v>2250708286181</v>
      </c>
      <c r="J2604" s="3">
        <f>+2250707426875</f>
        <v>2250707426875</v>
      </c>
      <c r="K2604" s="1" t="s">
        <v>19</v>
      </c>
      <c r="L2604" s="4" t="s">
        <v>8886</v>
      </c>
    </row>
    <row r="2605">
      <c r="A2605" s="1" t="s">
        <v>12</v>
      </c>
      <c r="B2605" s="1" t="s">
        <v>8887</v>
      </c>
      <c r="C2605" s="1" t="s">
        <v>8888</v>
      </c>
      <c r="D2605" s="1" t="s">
        <v>8889</v>
      </c>
      <c r="E2605" s="2">
        <v>38593.0</v>
      </c>
      <c r="F2605" s="1" t="s">
        <v>48</v>
      </c>
      <c r="G2605" s="1" t="s">
        <v>76</v>
      </c>
      <c r="H2605" s="1" t="s">
        <v>32</v>
      </c>
      <c r="I2605" s="3">
        <f>+2250708892859</f>
        <v>2250708892859</v>
      </c>
      <c r="J2605" s="3">
        <f>+2250747466816</f>
        <v>2250747466816</v>
      </c>
      <c r="K2605" s="1" t="s">
        <v>19</v>
      </c>
      <c r="L2605" s="4" t="s">
        <v>8890</v>
      </c>
    </row>
    <row r="2606">
      <c r="A2606" s="1" t="s">
        <v>12</v>
      </c>
      <c r="B2606" s="1" t="s">
        <v>8891</v>
      </c>
      <c r="C2606" s="1" t="s">
        <v>8892</v>
      </c>
      <c r="D2606" s="1" t="s">
        <v>8893</v>
      </c>
      <c r="E2606" s="2">
        <v>36744.0</v>
      </c>
      <c r="F2606" s="1" t="s">
        <v>16</v>
      </c>
      <c r="G2606" s="1" t="s">
        <v>17</v>
      </c>
      <c r="H2606" s="1" t="s">
        <v>18</v>
      </c>
      <c r="I2606" s="3">
        <f>+2250102455929</f>
        <v>2250102455929</v>
      </c>
      <c r="J2606" s="3">
        <f>+2250103072360</f>
        <v>2250103072360</v>
      </c>
      <c r="K2606" s="1" t="s">
        <v>19</v>
      </c>
      <c r="L2606" s="4" t="s">
        <v>8894</v>
      </c>
    </row>
    <row r="2607">
      <c r="A2607" s="1" t="s">
        <v>12</v>
      </c>
      <c r="B2607" s="1" t="s">
        <v>8895</v>
      </c>
      <c r="C2607" s="1" t="s">
        <v>8896</v>
      </c>
      <c r="D2607" s="1" t="s">
        <v>8897</v>
      </c>
      <c r="E2607" s="2">
        <v>38005.0</v>
      </c>
      <c r="F2607" s="1" t="s">
        <v>62</v>
      </c>
      <c r="G2607" s="1" t="s">
        <v>17</v>
      </c>
      <c r="H2607" s="1" t="s">
        <v>18</v>
      </c>
      <c r="I2607" s="3">
        <f>+2250152234894</f>
        <v>2250152234894</v>
      </c>
      <c r="J2607" s="3">
        <f>+2250788304649</f>
        <v>2250788304649</v>
      </c>
      <c r="K2607" s="1" t="s">
        <v>19</v>
      </c>
      <c r="L2607" s="4" t="s">
        <v>8898</v>
      </c>
    </row>
    <row r="2608">
      <c r="A2608" s="1" t="s">
        <v>12</v>
      </c>
      <c r="B2608" s="1" t="s">
        <v>8899</v>
      </c>
      <c r="C2608" s="1" t="s">
        <v>8900</v>
      </c>
      <c r="D2608" s="1" t="s">
        <v>8901</v>
      </c>
      <c r="E2608" s="2">
        <v>38531.0</v>
      </c>
      <c r="F2608" s="1" t="s">
        <v>138</v>
      </c>
      <c r="G2608" s="1" t="s">
        <v>76</v>
      </c>
      <c r="H2608" s="1" t="s">
        <v>32</v>
      </c>
      <c r="I2608" s="3">
        <f>+2250799232006</f>
        <v>2250799232006</v>
      </c>
      <c r="J2608" s="3">
        <f>+2250707303174</f>
        <v>2250707303174</v>
      </c>
      <c r="K2608" s="1" t="s">
        <v>19</v>
      </c>
      <c r="L2608" s="4" t="s">
        <v>8902</v>
      </c>
    </row>
    <row r="2609">
      <c r="A2609" s="1" t="s">
        <v>12</v>
      </c>
      <c r="B2609" s="1" t="s">
        <v>8903</v>
      </c>
      <c r="C2609" s="1" t="s">
        <v>8904</v>
      </c>
      <c r="D2609" s="1" t="s">
        <v>8905</v>
      </c>
      <c r="E2609" s="2">
        <v>38179.0</v>
      </c>
      <c r="F2609" s="1" t="s">
        <v>62</v>
      </c>
      <c r="G2609" s="1" t="s">
        <v>17</v>
      </c>
      <c r="H2609" s="1" t="s">
        <v>18</v>
      </c>
      <c r="I2609" s="3">
        <f>+2250778221459</f>
        <v>2250778221459</v>
      </c>
      <c r="J2609" s="3">
        <f>+2250708845212</f>
        <v>2250708845212</v>
      </c>
      <c r="K2609" s="1" t="s">
        <v>19</v>
      </c>
      <c r="L2609" s="4" t="s">
        <v>8906</v>
      </c>
    </row>
    <row r="2610">
      <c r="A2610" s="1" t="s">
        <v>12</v>
      </c>
      <c r="B2610" s="1" t="s">
        <v>8907</v>
      </c>
      <c r="C2610" s="1" t="s">
        <v>8908</v>
      </c>
      <c r="D2610" s="1" t="s">
        <v>8909</v>
      </c>
      <c r="E2610" s="5">
        <v>38339.0</v>
      </c>
      <c r="F2610" s="1" t="s">
        <v>101</v>
      </c>
      <c r="G2610" s="1" t="s">
        <v>76</v>
      </c>
      <c r="H2610" s="1" t="s">
        <v>32</v>
      </c>
      <c r="I2610" s="3">
        <f>+2250153102752</f>
        <v>2250153102752</v>
      </c>
      <c r="J2610" s="3">
        <f>+2250505615985</f>
        <v>2250505615985</v>
      </c>
      <c r="K2610" s="1" t="s">
        <v>19</v>
      </c>
      <c r="L2610" s="4" t="s">
        <v>8910</v>
      </c>
    </row>
    <row r="2611">
      <c r="A2611" s="1" t="s">
        <v>12</v>
      </c>
      <c r="B2611" s="1" t="s">
        <v>8911</v>
      </c>
      <c r="C2611" s="1" t="s">
        <v>8912</v>
      </c>
      <c r="D2611" s="1" t="s">
        <v>8913</v>
      </c>
      <c r="E2611" s="2">
        <v>37507.0</v>
      </c>
      <c r="F2611" s="1" t="s">
        <v>53</v>
      </c>
      <c r="G2611" s="1" t="s">
        <v>17</v>
      </c>
      <c r="H2611" s="1" t="s">
        <v>18</v>
      </c>
      <c r="I2611" s="3">
        <f>+2250758087086</f>
        <v>2250758087086</v>
      </c>
      <c r="J2611" s="3">
        <f>+2250555281625</f>
        <v>2250555281625</v>
      </c>
      <c r="K2611" s="1" t="s">
        <v>19</v>
      </c>
      <c r="L2611" s="4" t="s">
        <v>8914</v>
      </c>
    </row>
    <row r="2612">
      <c r="A2612" s="1" t="s">
        <v>12</v>
      </c>
      <c r="B2612" s="1" t="s">
        <v>8915</v>
      </c>
      <c r="C2612" s="1" t="s">
        <v>8916</v>
      </c>
      <c r="D2612" s="1" t="s">
        <v>8917</v>
      </c>
      <c r="E2612" s="2">
        <v>37270.0</v>
      </c>
      <c r="F2612" s="1" t="s">
        <v>1723</v>
      </c>
      <c r="G2612" s="1" t="s">
        <v>82</v>
      </c>
      <c r="H2612" s="1" t="s">
        <v>18</v>
      </c>
      <c r="I2612" s="3">
        <f>+225016032229</f>
        <v>225016032229</v>
      </c>
      <c r="J2612" s="3">
        <f>+2250153065015</f>
        <v>2250153065015</v>
      </c>
      <c r="K2612" s="1" t="s">
        <v>19</v>
      </c>
      <c r="L2612" s="4" t="s">
        <v>8918</v>
      </c>
    </row>
    <row r="2613">
      <c r="A2613" s="1" t="s">
        <v>12</v>
      </c>
      <c r="B2613" s="1" t="s">
        <v>8919</v>
      </c>
      <c r="C2613" s="1" t="s">
        <v>8920</v>
      </c>
      <c r="D2613" s="1" t="s">
        <v>8921</v>
      </c>
      <c r="E2613" s="2">
        <v>37800.0</v>
      </c>
      <c r="F2613" s="1" t="s">
        <v>16</v>
      </c>
      <c r="G2613" s="1" t="s">
        <v>17</v>
      </c>
      <c r="H2613" s="1" t="s">
        <v>18</v>
      </c>
      <c r="I2613" s="3">
        <f>+2250789670328</f>
        <v>2250789670328</v>
      </c>
      <c r="J2613" s="3">
        <f>+2250103885969</f>
        <v>2250103885969</v>
      </c>
      <c r="K2613" s="1" t="s">
        <v>19</v>
      </c>
      <c r="L2613" s="4" t="s">
        <v>8922</v>
      </c>
    </row>
    <row r="2614">
      <c r="A2614" s="1" t="s">
        <v>12</v>
      </c>
      <c r="B2614" s="1" t="s">
        <v>8923</v>
      </c>
      <c r="C2614" s="1" t="s">
        <v>8924</v>
      </c>
      <c r="D2614" s="1" t="s">
        <v>8925</v>
      </c>
      <c r="E2614" s="2">
        <v>37991.0</v>
      </c>
      <c r="F2614" s="1" t="s">
        <v>101</v>
      </c>
      <c r="G2614" s="1" t="s">
        <v>76</v>
      </c>
      <c r="H2614" s="1" t="s">
        <v>32</v>
      </c>
      <c r="I2614" s="3">
        <f>+2250779039057</f>
        <v>2250779039057</v>
      </c>
      <c r="J2614" s="3">
        <f>+2250709968582</f>
        <v>2250709968582</v>
      </c>
      <c r="K2614" s="1" t="s">
        <v>19</v>
      </c>
      <c r="L2614" s="4" t="s">
        <v>8926</v>
      </c>
    </row>
    <row r="2615">
      <c r="A2615" s="1" t="s">
        <v>12</v>
      </c>
      <c r="B2615" s="1" t="s">
        <v>8927</v>
      </c>
      <c r="C2615" s="1" t="s">
        <v>2814</v>
      </c>
      <c r="D2615" s="1" t="s">
        <v>8928</v>
      </c>
      <c r="E2615" s="2">
        <v>38140.0</v>
      </c>
      <c r="F2615" s="1" t="s">
        <v>155</v>
      </c>
      <c r="G2615" s="1" t="s">
        <v>76</v>
      </c>
      <c r="H2615" s="1" t="s">
        <v>32</v>
      </c>
      <c r="I2615" s="3">
        <f>+2250759544439</f>
        <v>2250759544439</v>
      </c>
      <c r="J2615" s="3">
        <f>+2250708446601</f>
        <v>2250708446601</v>
      </c>
      <c r="K2615" s="1" t="s">
        <v>19</v>
      </c>
      <c r="L2615" s="4" t="s">
        <v>8929</v>
      </c>
    </row>
    <row r="2616">
      <c r="A2616" s="1" t="s">
        <v>12</v>
      </c>
      <c r="B2616" s="1" t="s">
        <v>8930</v>
      </c>
      <c r="C2616" s="1" t="s">
        <v>2814</v>
      </c>
      <c r="D2616" s="1" t="s">
        <v>8931</v>
      </c>
      <c r="E2616" s="2">
        <v>37463.0</v>
      </c>
      <c r="F2616" s="1" t="s">
        <v>110</v>
      </c>
      <c r="G2616" s="1" t="s">
        <v>82</v>
      </c>
      <c r="H2616" s="1" t="s">
        <v>18</v>
      </c>
      <c r="I2616" s="3">
        <f>+2250101051587</f>
        <v>2250101051587</v>
      </c>
      <c r="J2616" s="3">
        <f>+2250778816702</f>
        <v>2250778816702</v>
      </c>
      <c r="K2616" s="1" t="s">
        <v>19</v>
      </c>
      <c r="L2616" s="4" t="s">
        <v>8932</v>
      </c>
    </row>
    <row r="2617">
      <c r="A2617" s="1" t="s">
        <v>12</v>
      </c>
      <c r="B2617" s="1" t="s">
        <v>8933</v>
      </c>
      <c r="C2617" s="1" t="s">
        <v>8934</v>
      </c>
      <c r="D2617" s="1" t="s">
        <v>8935</v>
      </c>
      <c r="E2617" s="2">
        <v>37771.0</v>
      </c>
      <c r="F2617" s="1" t="s">
        <v>24</v>
      </c>
      <c r="G2617" s="1" t="s">
        <v>25</v>
      </c>
      <c r="H2617" s="1" t="s">
        <v>18</v>
      </c>
      <c r="I2617" s="3">
        <f>+2250172607083</f>
        <v>2250172607083</v>
      </c>
      <c r="J2617" s="3">
        <f>+2250102745375</f>
        <v>2250102745375</v>
      </c>
      <c r="K2617" s="1" t="s">
        <v>19</v>
      </c>
      <c r="L2617" s="4" t="s">
        <v>8936</v>
      </c>
    </row>
    <row r="2618">
      <c r="A2618" s="1" t="s">
        <v>12</v>
      </c>
      <c r="B2618" s="1" t="s">
        <v>8937</v>
      </c>
      <c r="C2618" s="1" t="s">
        <v>8938</v>
      </c>
      <c r="D2618" s="1" t="s">
        <v>8939</v>
      </c>
      <c r="E2618" s="2">
        <v>37787.0</v>
      </c>
      <c r="F2618" s="1" t="s">
        <v>62</v>
      </c>
      <c r="G2618" s="1" t="s">
        <v>17</v>
      </c>
      <c r="H2618" s="1" t="s">
        <v>18</v>
      </c>
      <c r="I2618" s="3">
        <f>+2250546625751</f>
        <v>2250546625751</v>
      </c>
      <c r="J2618" s="3">
        <f>+2250546145484</f>
        <v>2250546145484</v>
      </c>
      <c r="K2618" s="1" t="s">
        <v>19</v>
      </c>
      <c r="L2618" s="4" t="s">
        <v>8940</v>
      </c>
    </row>
    <row r="2619">
      <c r="A2619" s="1" t="s">
        <v>12</v>
      </c>
      <c r="B2619" s="1" t="s">
        <v>8941</v>
      </c>
      <c r="C2619" s="1" t="s">
        <v>8942</v>
      </c>
      <c r="D2619" s="1" t="s">
        <v>2627</v>
      </c>
      <c r="E2619" s="2">
        <v>38068.0</v>
      </c>
      <c r="F2619" s="1" t="s">
        <v>30</v>
      </c>
      <c r="G2619" s="1" t="s">
        <v>76</v>
      </c>
      <c r="H2619" s="1" t="s">
        <v>32</v>
      </c>
      <c r="I2619" s="3">
        <f>+2250700040695</f>
        <v>2250700040695</v>
      </c>
      <c r="J2619" s="3">
        <f>+2250505759118</f>
        <v>2250505759118</v>
      </c>
      <c r="K2619" s="1" t="s">
        <v>19</v>
      </c>
      <c r="L2619" s="4" t="s">
        <v>8943</v>
      </c>
    </row>
    <row r="2620">
      <c r="A2620" s="1" t="s">
        <v>12</v>
      </c>
      <c r="B2620" s="1" t="s">
        <v>8944</v>
      </c>
      <c r="C2620" s="1" t="s">
        <v>8945</v>
      </c>
      <c r="D2620" s="1" t="s">
        <v>8946</v>
      </c>
      <c r="E2620" s="2">
        <v>37145.0</v>
      </c>
      <c r="F2620" s="1" t="s">
        <v>62</v>
      </c>
      <c r="G2620" s="1" t="s">
        <v>17</v>
      </c>
      <c r="H2620" s="1" t="s">
        <v>18</v>
      </c>
      <c r="I2620" s="3">
        <f>+2250787747222</f>
        <v>2250787747222</v>
      </c>
      <c r="J2620" s="3">
        <f>+2250152797050</f>
        <v>2250152797050</v>
      </c>
      <c r="K2620" s="1" t="s">
        <v>19</v>
      </c>
      <c r="L2620" s="4" t="s">
        <v>8947</v>
      </c>
    </row>
    <row r="2621">
      <c r="A2621" s="1" t="s">
        <v>12</v>
      </c>
      <c r="B2621" s="1" t="s">
        <v>8948</v>
      </c>
      <c r="C2621" s="1" t="s">
        <v>8949</v>
      </c>
      <c r="D2621" s="1" t="s">
        <v>8950</v>
      </c>
      <c r="E2621" s="2">
        <v>38726.0</v>
      </c>
      <c r="F2621" s="1" t="s">
        <v>101</v>
      </c>
      <c r="G2621" s="1" t="s">
        <v>76</v>
      </c>
      <c r="H2621" s="1" t="s">
        <v>32</v>
      </c>
      <c r="I2621" s="3">
        <f>+2250594770223</f>
        <v>2250594770223</v>
      </c>
      <c r="J2621" s="3">
        <f>+2250556442484</f>
        <v>2250556442484</v>
      </c>
      <c r="K2621" s="1" t="s">
        <v>19</v>
      </c>
      <c r="L2621" s="4" t="s">
        <v>8951</v>
      </c>
    </row>
    <row r="2622">
      <c r="A2622" s="1" t="s">
        <v>12</v>
      </c>
      <c r="B2622" s="1" t="s">
        <v>8952</v>
      </c>
      <c r="C2622" s="1" t="s">
        <v>8949</v>
      </c>
      <c r="D2622" s="1" t="s">
        <v>8953</v>
      </c>
      <c r="E2622" s="5">
        <v>36519.0</v>
      </c>
      <c r="F2622" s="1" t="s">
        <v>155</v>
      </c>
      <c r="G2622" s="1" t="s">
        <v>31</v>
      </c>
      <c r="H2622" s="1" t="s">
        <v>32</v>
      </c>
      <c r="I2622" s="3">
        <f>+2250779650165</f>
        <v>2250779650165</v>
      </c>
      <c r="J2622" s="3">
        <f>+2250778758664</f>
        <v>2250778758664</v>
      </c>
      <c r="K2622" s="1" t="s">
        <v>19</v>
      </c>
      <c r="L2622" s="4" t="s">
        <v>8954</v>
      </c>
    </row>
    <row r="2623">
      <c r="A2623" s="1" t="s">
        <v>12</v>
      </c>
      <c r="B2623" s="1" t="s">
        <v>8955</v>
      </c>
      <c r="C2623" s="1" t="s">
        <v>8956</v>
      </c>
      <c r="D2623" s="1" t="s">
        <v>8957</v>
      </c>
      <c r="E2623" s="2">
        <v>38620.0</v>
      </c>
      <c r="F2623" s="1" t="s">
        <v>53</v>
      </c>
      <c r="G2623" s="1" t="s">
        <v>25</v>
      </c>
      <c r="H2623" s="1" t="s">
        <v>18</v>
      </c>
      <c r="I2623" s="3">
        <f>+2250705188225</f>
        <v>2250705188225</v>
      </c>
      <c r="J2623" s="3">
        <f>+2250101059161</f>
        <v>2250101059161</v>
      </c>
      <c r="K2623" s="1" t="s">
        <v>19</v>
      </c>
      <c r="L2623" s="4" t="s">
        <v>8958</v>
      </c>
    </row>
    <row r="2624">
      <c r="A2624" s="1" t="s">
        <v>12</v>
      </c>
      <c r="B2624" s="1" t="s">
        <v>8959</v>
      </c>
      <c r="C2624" s="1" t="s">
        <v>8956</v>
      </c>
      <c r="D2624" s="1" t="s">
        <v>8960</v>
      </c>
      <c r="E2624" s="2">
        <v>38140.0</v>
      </c>
      <c r="F2624" s="1" t="s">
        <v>48</v>
      </c>
      <c r="G2624" s="1" t="s">
        <v>31</v>
      </c>
      <c r="H2624" s="1" t="s">
        <v>32</v>
      </c>
      <c r="I2624" s="3">
        <f>+2250777984472</f>
        <v>2250777984472</v>
      </c>
      <c r="J2624" s="3">
        <f>+2250505862802</f>
        <v>2250505862802</v>
      </c>
      <c r="K2624" s="1" t="s">
        <v>19</v>
      </c>
      <c r="L2624" s="4" t="s">
        <v>8961</v>
      </c>
    </row>
    <row r="2625">
      <c r="A2625" s="1" t="s">
        <v>12</v>
      </c>
      <c r="B2625" s="1" t="s">
        <v>8962</v>
      </c>
      <c r="C2625" s="1" t="s">
        <v>8956</v>
      </c>
      <c r="D2625" s="1" t="s">
        <v>8963</v>
      </c>
      <c r="E2625" s="2">
        <v>37781.0</v>
      </c>
      <c r="F2625" s="1" t="s">
        <v>53</v>
      </c>
      <c r="G2625" s="1" t="s">
        <v>25</v>
      </c>
      <c r="H2625" s="1" t="s">
        <v>18</v>
      </c>
      <c r="I2625" s="3">
        <f>+2250152325358</f>
        <v>2250152325358</v>
      </c>
      <c r="J2625" s="3">
        <f>+2250505052245</f>
        <v>2250505052245</v>
      </c>
      <c r="K2625" s="1" t="s">
        <v>19</v>
      </c>
      <c r="L2625" s="4" t="s">
        <v>8964</v>
      </c>
    </row>
    <row r="2626">
      <c r="A2626" s="1" t="s">
        <v>12</v>
      </c>
      <c r="B2626" s="1" t="s">
        <v>8965</v>
      </c>
      <c r="C2626" s="1" t="s">
        <v>8956</v>
      </c>
      <c r="D2626" s="1" t="s">
        <v>8966</v>
      </c>
      <c r="E2626" s="2">
        <v>38820.0</v>
      </c>
      <c r="F2626" s="1" t="s">
        <v>62</v>
      </c>
      <c r="G2626" s="1" t="s">
        <v>25</v>
      </c>
      <c r="H2626" s="1" t="s">
        <v>18</v>
      </c>
      <c r="I2626" s="3">
        <f>+2250101792423</f>
        <v>2250101792423</v>
      </c>
      <c r="J2626" s="3">
        <f>+2250747888071</f>
        <v>2250747888071</v>
      </c>
      <c r="K2626" s="1" t="s">
        <v>19</v>
      </c>
      <c r="L2626" s="4" t="s">
        <v>8967</v>
      </c>
    </row>
    <row r="2627">
      <c r="A2627" s="1" t="s">
        <v>12</v>
      </c>
      <c r="B2627" s="1" t="s">
        <v>8968</v>
      </c>
      <c r="C2627" s="1" t="s">
        <v>8969</v>
      </c>
      <c r="D2627" s="1" t="s">
        <v>8970</v>
      </c>
      <c r="E2627" s="2">
        <v>38267.0</v>
      </c>
      <c r="F2627" s="1" t="s">
        <v>53</v>
      </c>
      <c r="G2627" s="1" t="s">
        <v>17</v>
      </c>
      <c r="H2627" s="1" t="s">
        <v>18</v>
      </c>
      <c r="I2627" s="3">
        <f>+2250596199200</f>
        <v>2250596199200</v>
      </c>
      <c r="J2627" s="3">
        <f>+2250152358803</f>
        <v>2250152358803</v>
      </c>
      <c r="K2627" s="1" t="s">
        <v>19</v>
      </c>
      <c r="L2627" s="4" t="s">
        <v>8971</v>
      </c>
    </row>
    <row r="2628">
      <c r="A2628" s="1" t="s">
        <v>12</v>
      </c>
      <c r="B2628" s="1" t="s">
        <v>8972</v>
      </c>
      <c r="C2628" s="1" t="s">
        <v>8973</v>
      </c>
      <c r="D2628" s="1" t="s">
        <v>8974</v>
      </c>
      <c r="E2628" s="5">
        <v>38283.0</v>
      </c>
      <c r="F2628" s="1" t="s">
        <v>167</v>
      </c>
      <c r="G2628" s="1" t="s">
        <v>17</v>
      </c>
      <c r="H2628" s="1" t="s">
        <v>18</v>
      </c>
      <c r="I2628" s="3">
        <f>+2250706391976</f>
        <v>2250706391976</v>
      </c>
      <c r="J2628" s="3">
        <f>+2250788871960</f>
        <v>2250788871960</v>
      </c>
      <c r="K2628" s="1" t="s">
        <v>19</v>
      </c>
      <c r="L2628" s="4" t="s">
        <v>8975</v>
      </c>
    </row>
    <row r="2629">
      <c r="A2629" s="1" t="s">
        <v>12</v>
      </c>
      <c r="B2629" s="1" t="s">
        <v>8976</v>
      </c>
      <c r="C2629" s="1" t="s">
        <v>8973</v>
      </c>
      <c r="D2629" s="1" t="s">
        <v>8977</v>
      </c>
      <c r="E2629" s="2">
        <v>38423.0</v>
      </c>
      <c r="F2629" s="1" t="s">
        <v>53</v>
      </c>
      <c r="G2629" s="1" t="s">
        <v>25</v>
      </c>
      <c r="H2629" s="1" t="s">
        <v>18</v>
      </c>
      <c r="I2629" s="3">
        <f>+2250150215313</f>
        <v>2250150215313</v>
      </c>
      <c r="J2629" s="3">
        <f>+2250102204110</f>
        <v>2250102204110</v>
      </c>
      <c r="K2629" s="1" t="s">
        <v>19</v>
      </c>
      <c r="L2629" s="4" t="s">
        <v>8978</v>
      </c>
    </row>
    <row r="2630">
      <c r="A2630" s="1" t="s">
        <v>12</v>
      </c>
      <c r="B2630" s="1" t="s">
        <v>8979</v>
      </c>
      <c r="C2630" s="1" t="s">
        <v>8980</v>
      </c>
      <c r="D2630" s="1" t="s">
        <v>8981</v>
      </c>
      <c r="E2630" s="2">
        <v>38165.0</v>
      </c>
      <c r="F2630" s="1" t="s">
        <v>138</v>
      </c>
      <c r="G2630" s="1" t="s">
        <v>76</v>
      </c>
      <c r="H2630" s="1" t="s">
        <v>32</v>
      </c>
      <c r="I2630" s="3">
        <f>+2250151599381</f>
        <v>2250151599381</v>
      </c>
      <c r="J2630" s="3">
        <f>+2250101404238</f>
        <v>2250101404238</v>
      </c>
      <c r="K2630" s="1" t="s">
        <v>19</v>
      </c>
      <c r="L2630" s="4" t="s">
        <v>8982</v>
      </c>
    </row>
    <row r="2631">
      <c r="A2631" s="1" t="s">
        <v>12</v>
      </c>
      <c r="B2631" s="1" t="s">
        <v>8983</v>
      </c>
      <c r="C2631" s="1" t="s">
        <v>8984</v>
      </c>
      <c r="D2631" s="1" t="s">
        <v>8985</v>
      </c>
      <c r="E2631" s="2">
        <v>37701.0</v>
      </c>
      <c r="F2631" s="1" t="s">
        <v>48</v>
      </c>
      <c r="G2631" s="1" t="s">
        <v>31</v>
      </c>
      <c r="H2631" s="1" t="s">
        <v>32</v>
      </c>
      <c r="I2631" s="3">
        <f>+2250171149534</f>
        <v>2250171149534</v>
      </c>
      <c r="J2631" s="3">
        <f>+2250707554169</f>
        <v>2250707554169</v>
      </c>
      <c r="K2631" s="1" t="s">
        <v>19</v>
      </c>
      <c r="L2631" s="4" t="s">
        <v>8986</v>
      </c>
    </row>
    <row r="2632">
      <c r="A2632" s="1" t="s">
        <v>12</v>
      </c>
      <c r="B2632" s="1" t="s">
        <v>8987</v>
      </c>
      <c r="C2632" s="1" t="s">
        <v>8984</v>
      </c>
      <c r="D2632" s="1" t="s">
        <v>8988</v>
      </c>
      <c r="E2632" s="2">
        <v>38453.0</v>
      </c>
      <c r="F2632" s="1" t="s">
        <v>16</v>
      </c>
      <c r="G2632" s="1" t="s">
        <v>25</v>
      </c>
      <c r="H2632" s="1" t="s">
        <v>18</v>
      </c>
      <c r="I2632" s="3">
        <f>+2250102318959</f>
        <v>2250102318959</v>
      </c>
      <c r="J2632" s="3">
        <f>+2250707955434</f>
        <v>2250707955434</v>
      </c>
      <c r="K2632" s="1" t="s">
        <v>19</v>
      </c>
      <c r="L2632" s="4" t="s">
        <v>8989</v>
      </c>
    </row>
    <row r="2633">
      <c r="A2633" s="1" t="s">
        <v>12</v>
      </c>
      <c r="B2633" s="1" t="s">
        <v>8990</v>
      </c>
      <c r="C2633" s="1" t="s">
        <v>8991</v>
      </c>
      <c r="D2633" s="1" t="s">
        <v>8992</v>
      </c>
      <c r="E2633" s="5">
        <v>38678.0</v>
      </c>
      <c r="F2633" s="1" t="s">
        <v>167</v>
      </c>
      <c r="G2633" s="1" t="s">
        <v>25</v>
      </c>
      <c r="H2633" s="1" t="s">
        <v>18</v>
      </c>
      <c r="I2633" s="3">
        <f>+2250769273566</f>
        <v>2250769273566</v>
      </c>
      <c r="J2633" s="3">
        <f>+2250102617743</f>
        <v>2250102617743</v>
      </c>
      <c r="K2633" s="1" t="s">
        <v>19</v>
      </c>
      <c r="L2633" s="4" t="s">
        <v>8993</v>
      </c>
    </row>
    <row r="2634">
      <c r="A2634" s="1" t="s">
        <v>12</v>
      </c>
      <c r="B2634" s="1" t="s">
        <v>8994</v>
      </c>
      <c r="C2634" s="1" t="s">
        <v>8991</v>
      </c>
      <c r="D2634" s="1" t="s">
        <v>8995</v>
      </c>
      <c r="E2634" s="5">
        <v>37250.0</v>
      </c>
      <c r="F2634" s="1" t="s">
        <v>16</v>
      </c>
      <c r="G2634" s="1" t="s">
        <v>17</v>
      </c>
      <c r="H2634" s="1" t="s">
        <v>18</v>
      </c>
      <c r="I2634" s="3">
        <f>+2250768280800</f>
        <v>2250768280800</v>
      </c>
      <c r="J2634" s="3">
        <f>+2250757541831</f>
        <v>2250757541831</v>
      </c>
      <c r="K2634" s="1" t="s">
        <v>19</v>
      </c>
      <c r="L2634" s="4" t="s">
        <v>8996</v>
      </c>
    </row>
    <row r="2635">
      <c r="A2635" s="1" t="s">
        <v>12</v>
      </c>
      <c r="B2635" s="1" t="s">
        <v>8997</v>
      </c>
      <c r="C2635" s="1" t="s">
        <v>8998</v>
      </c>
      <c r="D2635" s="1" t="s">
        <v>8999</v>
      </c>
      <c r="E2635" s="2">
        <v>38138.0</v>
      </c>
      <c r="F2635" s="1" t="s">
        <v>16</v>
      </c>
      <c r="G2635" s="1" t="s">
        <v>17</v>
      </c>
      <c r="H2635" s="1" t="s">
        <v>18</v>
      </c>
      <c r="I2635" s="3">
        <f>+2250789198754</f>
        <v>2250789198754</v>
      </c>
      <c r="J2635" s="3">
        <f>+2250707178421</f>
        <v>2250707178421</v>
      </c>
      <c r="K2635" s="1" t="s">
        <v>19</v>
      </c>
      <c r="L2635" s="4" t="s">
        <v>9000</v>
      </c>
    </row>
    <row r="2636">
      <c r="A2636" s="1" t="s">
        <v>12</v>
      </c>
      <c r="B2636" s="1" t="s">
        <v>9001</v>
      </c>
      <c r="C2636" s="1" t="s">
        <v>9002</v>
      </c>
      <c r="D2636" s="1" t="s">
        <v>9003</v>
      </c>
      <c r="E2636" s="2">
        <v>37278.0</v>
      </c>
      <c r="F2636" s="1" t="s">
        <v>30</v>
      </c>
      <c r="G2636" s="1" t="s">
        <v>76</v>
      </c>
      <c r="H2636" s="1" t="s">
        <v>32</v>
      </c>
      <c r="I2636" s="3">
        <f>+2250140045652</f>
        <v>2250140045652</v>
      </c>
      <c r="J2636" s="3">
        <f>+2250545554597</f>
        <v>2250545554597</v>
      </c>
      <c r="K2636" s="1" t="s">
        <v>19</v>
      </c>
      <c r="L2636" s="4" t="s">
        <v>9004</v>
      </c>
    </row>
    <row r="2637">
      <c r="A2637" s="1" t="s">
        <v>12</v>
      </c>
      <c r="B2637" s="1" t="s">
        <v>9005</v>
      </c>
      <c r="C2637" s="1" t="s">
        <v>9006</v>
      </c>
      <c r="D2637" s="1" t="s">
        <v>9007</v>
      </c>
      <c r="E2637" s="2">
        <v>37839.0</v>
      </c>
      <c r="F2637" s="1" t="s">
        <v>16</v>
      </c>
      <c r="G2637" s="1" t="s">
        <v>25</v>
      </c>
      <c r="H2637" s="1" t="s">
        <v>18</v>
      </c>
      <c r="I2637" s="3">
        <f>+2250172263798</f>
        <v>2250172263798</v>
      </c>
      <c r="J2637" s="3">
        <f>+2250708143329</f>
        <v>2250708143329</v>
      </c>
      <c r="K2637" s="1" t="s">
        <v>19</v>
      </c>
      <c r="L2637" s="4" t="s">
        <v>9008</v>
      </c>
    </row>
    <row r="2638">
      <c r="A2638" s="1" t="s">
        <v>12</v>
      </c>
      <c r="B2638" s="1" t="s">
        <v>9009</v>
      </c>
      <c r="C2638" s="1" t="s">
        <v>9010</v>
      </c>
      <c r="D2638" s="1" t="s">
        <v>9011</v>
      </c>
      <c r="E2638" s="5">
        <v>36815.0</v>
      </c>
      <c r="F2638" s="1" t="s">
        <v>16</v>
      </c>
      <c r="G2638" s="1" t="s">
        <v>17</v>
      </c>
      <c r="H2638" s="1" t="s">
        <v>18</v>
      </c>
      <c r="I2638" s="3">
        <f t="shared" ref="I2638:J2638" si="82">+2250706114586</f>
        <v>2250706114586</v>
      </c>
      <c r="J2638" s="3">
        <f t="shared" si="82"/>
        <v>2250706114586</v>
      </c>
      <c r="K2638" s="1" t="s">
        <v>19</v>
      </c>
      <c r="L2638" s="4" t="s">
        <v>9012</v>
      </c>
    </row>
    <row r="2639">
      <c r="A2639" s="1" t="s">
        <v>12</v>
      </c>
      <c r="B2639" s="1" t="s">
        <v>9013</v>
      </c>
      <c r="C2639" s="1" t="s">
        <v>9014</v>
      </c>
      <c r="D2639" s="1" t="s">
        <v>9015</v>
      </c>
      <c r="E2639" s="2">
        <v>37038.0</v>
      </c>
      <c r="F2639" s="1" t="s">
        <v>138</v>
      </c>
      <c r="G2639" s="1" t="s">
        <v>31</v>
      </c>
      <c r="H2639" s="1" t="s">
        <v>32</v>
      </c>
      <c r="I2639" s="3">
        <f>+2250575718905</f>
        <v>2250575718905</v>
      </c>
      <c r="J2639" s="3">
        <f>+2250575376537</f>
        <v>2250575376537</v>
      </c>
      <c r="K2639" s="1" t="s">
        <v>19</v>
      </c>
      <c r="L2639" s="4" t="s">
        <v>9016</v>
      </c>
    </row>
    <row r="2640">
      <c r="A2640" s="1" t="s">
        <v>12</v>
      </c>
      <c r="B2640" s="1" t="s">
        <v>9017</v>
      </c>
      <c r="C2640" s="1" t="s">
        <v>9018</v>
      </c>
      <c r="D2640" s="1" t="s">
        <v>9019</v>
      </c>
      <c r="E2640" s="2">
        <v>38148.0</v>
      </c>
      <c r="F2640" s="1" t="s">
        <v>138</v>
      </c>
      <c r="G2640" s="1" t="s">
        <v>76</v>
      </c>
      <c r="H2640" s="1" t="s">
        <v>32</v>
      </c>
      <c r="I2640" s="3">
        <f>+2250789691287</f>
        <v>2250789691287</v>
      </c>
      <c r="J2640" s="3">
        <f>+2250101120721</f>
        <v>2250101120721</v>
      </c>
      <c r="K2640" s="1" t="s">
        <v>19</v>
      </c>
      <c r="L2640" s="4" t="s">
        <v>9020</v>
      </c>
    </row>
    <row r="2641">
      <c r="A2641" s="1" t="s">
        <v>12</v>
      </c>
      <c r="B2641" s="1" t="s">
        <v>9021</v>
      </c>
      <c r="C2641" s="1" t="s">
        <v>9022</v>
      </c>
      <c r="D2641" s="1" t="s">
        <v>9023</v>
      </c>
      <c r="E2641" s="2">
        <v>38461.0</v>
      </c>
      <c r="F2641" s="1" t="s">
        <v>62</v>
      </c>
      <c r="G2641" s="1" t="s">
        <v>25</v>
      </c>
      <c r="H2641" s="1" t="s">
        <v>18</v>
      </c>
      <c r="I2641" s="3">
        <f>+2250171501482</f>
        <v>2250171501482</v>
      </c>
      <c r="J2641" s="3">
        <f>+2250707719021</f>
        <v>2250707719021</v>
      </c>
      <c r="K2641" s="1" t="s">
        <v>19</v>
      </c>
      <c r="L2641" s="4" t="s">
        <v>9024</v>
      </c>
    </row>
    <row r="2642">
      <c r="A2642" s="1" t="s">
        <v>12</v>
      </c>
      <c r="B2642" s="1" t="s">
        <v>9025</v>
      </c>
      <c r="C2642" s="1" t="s">
        <v>9026</v>
      </c>
      <c r="D2642" s="1" t="s">
        <v>9027</v>
      </c>
      <c r="E2642" s="2">
        <v>38137.0</v>
      </c>
      <c r="F2642" s="1" t="s">
        <v>92</v>
      </c>
      <c r="G2642" s="1" t="s">
        <v>76</v>
      </c>
      <c r="H2642" s="1" t="s">
        <v>32</v>
      </c>
      <c r="I2642" s="3">
        <f>+2250545560827</f>
        <v>2250545560827</v>
      </c>
      <c r="J2642" s="3">
        <f>+2250505563991</f>
        <v>2250505563991</v>
      </c>
      <c r="K2642" s="1" t="s">
        <v>19</v>
      </c>
      <c r="L2642" s="4" t="s">
        <v>9028</v>
      </c>
    </row>
    <row r="2643">
      <c r="A2643" s="1" t="s">
        <v>12</v>
      </c>
      <c r="B2643" s="1" t="s">
        <v>9029</v>
      </c>
      <c r="C2643" s="1" t="s">
        <v>9030</v>
      </c>
      <c r="D2643" s="1" t="s">
        <v>2734</v>
      </c>
      <c r="E2643" s="5">
        <v>36891.0</v>
      </c>
      <c r="F2643" s="1" t="s">
        <v>48</v>
      </c>
      <c r="G2643" s="1" t="s">
        <v>31</v>
      </c>
      <c r="H2643" s="1" t="s">
        <v>32</v>
      </c>
      <c r="I2643" s="3">
        <f>+2250700516788</f>
        <v>2250700516788</v>
      </c>
      <c r="J2643" s="3">
        <f>+2250554327602</f>
        <v>2250554327602</v>
      </c>
      <c r="K2643" s="1" t="s">
        <v>19</v>
      </c>
      <c r="L2643" s="4" t="s">
        <v>9031</v>
      </c>
    </row>
    <row r="2644">
      <c r="A2644" s="1" t="s">
        <v>12</v>
      </c>
      <c r="B2644" s="1" t="s">
        <v>9032</v>
      </c>
      <c r="C2644" s="1" t="s">
        <v>9033</v>
      </c>
      <c r="D2644" s="1" t="s">
        <v>9034</v>
      </c>
      <c r="E2644" s="2">
        <v>38002.0</v>
      </c>
      <c r="F2644" s="1" t="s">
        <v>53</v>
      </c>
      <c r="G2644" s="1" t="s">
        <v>17</v>
      </c>
      <c r="H2644" s="1" t="s">
        <v>18</v>
      </c>
      <c r="I2644" s="3">
        <f>+2250574789227</f>
        <v>2250574789227</v>
      </c>
      <c r="J2644" s="3">
        <f>+2250758693607</f>
        <v>2250758693607</v>
      </c>
      <c r="K2644" s="1" t="s">
        <v>19</v>
      </c>
      <c r="L2644" s="4" t="s">
        <v>9035</v>
      </c>
    </row>
    <row r="2645">
      <c r="A2645" s="1" t="s">
        <v>12</v>
      </c>
      <c r="B2645" s="1" t="s">
        <v>9036</v>
      </c>
      <c r="C2645" s="1" t="s">
        <v>9037</v>
      </c>
      <c r="D2645" s="1" t="s">
        <v>9038</v>
      </c>
      <c r="E2645" s="2">
        <v>38254.0</v>
      </c>
      <c r="F2645" s="1" t="s">
        <v>16</v>
      </c>
      <c r="G2645" s="1" t="s">
        <v>17</v>
      </c>
      <c r="H2645" s="1" t="s">
        <v>18</v>
      </c>
      <c r="I2645" s="3">
        <f>+2250749953691</f>
        <v>2250749953691</v>
      </c>
      <c r="J2645" s="3">
        <f>+2250708949230</f>
        <v>2250708949230</v>
      </c>
      <c r="K2645" s="1" t="s">
        <v>19</v>
      </c>
      <c r="L2645" s="4" t="s">
        <v>9039</v>
      </c>
    </row>
    <row r="2646">
      <c r="A2646" s="1" t="s">
        <v>12</v>
      </c>
      <c r="B2646" s="1" t="s">
        <v>9040</v>
      </c>
      <c r="C2646" s="1" t="s">
        <v>9037</v>
      </c>
      <c r="D2646" s="1" t="s">
        <v>9041</v>
      </c>
      <c r="E2646" s="2">
        <v>37492.0</v>
      </c>
      <c r="F2646" s="1" t="s">
        <v>16</v>
      </c>
      <c r="G2646" s="1" t="s">
        <v>17</v>
      </c>
      <c r="H2646" s="1" t="s">
        <v>18</v>
      </c>
      <c r="I2646" s="3">
        <f>+2250701249725</f>
        <v>2250701249725</v>
      </c>
      <c r="J2646" s="3">
        <f>+2250768025198</f>
        <v>2250768025198</v>
      </c>
      <c r="K2646" s="1" t="s">
        <v>19</v>
      </c>
      <c r="L2646" s="4" t="s">
        <v>9042</v>
      </c>
    </row>
    <row r="2647">
      <c r="A2647" s="1" t="s">
        <v>12</v>
      </c>
      <c r="B2647" s="1" t="s">
        <v>9043</v>
      </c>
      <c r="C2647" s="1" t="s">
        <v>9037</v>
      </c>
      <c r="D2647" s="1" t="s">
        <v>9044</v>
      </c>
      <c r="E2647" s="5">
        <v>38701.0</v>
      </c>
      <c r="F2647" s="1" t="s">
        <v>62</v>
      </c>
      <c r="G2647" s="1" t="s">
        <v>25</v>
      </c>
      <c r="H2647" s="1" t="s">
        <v>18</v>
      </c>
      <c r="I2647" s="3">
        <f>+2250143460076</f>
        <v>2250143460076</v>
      </c>
      <c r="J2647" s="3">
        <f>+2250707299216</f>
        <v>2250707299216</v>
      </c>
      <c r="K2647" s="1" t="s">
        <v>19</v>
      </c>
      <c r="L2647" s="4" t="s">
        <v>9045</v>
      </c>
    </row>
    <row r="2648">
      <c r="A2648" s="1" t="s">
        <v>12</v>
      </c>
      <c r="B2648" s="1" t="s">
        <v>9046</v>
      </c>
      <c r="C2648" s="1" t="s">
        <v>9037</v>
      </c>
      <c r="D2648" s="1" t="s">
        <v>9047</v>
      </c>
      <c r="E2648" s="2">
        <v>37004.0</v>
      </c>
      <c r="F2648" s="1" t="s">
        <v>138</v>
      </c>
      <c r="G2648" s="1" t="s">
        <v>31</v>
      </c>
      <c r="H2648" s="1" t="s">
        <v>32</v>
      </c>
      <c r="I2648" s="3">
        <f>+2250702064060</f>
        <v>2250702064060</v>
      </c>
      <c r="J2648" s="3">
        <f>+2250708915700</f>
        <v>2250708915700</v>
      </c>
      <c r="K2648" s="1" t="s">
        <v>19</v>
      </c>
      <c r="L2648" s="4" t="s">
        <v>9048</v>
      </c>
    </row>
    <row r="2649">
      <c r="A2649" s="1" t="s">
        <v>12</v>
      </c>
      <c r="B2649" s="1" t="s">
        <v>9049</v>
      </c>
      <c r="C2649" s="1" t="s">
        <v>9037</v>
      </c>
      <c r="D2649" s="1" t="s">
        <v>9050</v>
      </c>
      <c r="E2649" s="2">
        <v>37312.0</v>
      </c>
      <c r="F2649" s="1" t="s">
        <v>30</v>
      </c>
      <c r="G2649" s="1" t="s">
        <v>31</v>
      </c>
      <c r="H2649" s="1" t="s">
        <v>32</v>
      </c>
      <c r="I2649" s="3">
        <f>+2250748550680</f>
        <v>2250748550680</v>
      </c>
      <c r="J2649" s="3">
        <f>+2250709620257</f>
        <v>2250709620257</v>
      </c>
      <c r="K2649" s="1" t="s">
        <v>19</v>
      </c>
      <c r="L2649" s="4" t="s">
        <v>9051</v>
      </c>
    </row>
    <row r="2650">
      <c r="A2650" s="1" t="s">
        <v>12</v>
      </c>
      <c r="B2650" s="1" t="s">
        <v>9052</v>
      </c>
      <c r="C2650" s="1" t="s">
        <v>9037</v>
      </c>
      <c r="D2650" s="1" t="s">
        <v>9053</v>
      </c>
      <c r="E2650" s="2">
        <v>39058.0</v>
      </c>
      <c r="F2650" s="1" t="s">
        <v>155</v>
      </c>
      <c r="G2650" s="1" t="s">
        <v>76</v>
      </c>
      <c r="H2650" s="1" t="s">
        <v>32</v>
      </c>
      <c r="I2650" s="3">
        <f>+2250141476508</f>
        <v>2250141476508</v>
      </c>
      <c r="J2650" s="3">
        <f>+2250140651855</f>
        <v>2250140651855</v>
      </c>
      <c r="K2650" s="1" t="s">
        <v>19</v>
      </c>
      <c r="L2650" s="4" t="s">
        <v>9054</v>
      </c>
    </row>
    <row r="2651">
      <c r="A2651" s="1" t="s">
        <v>12</v>
      </c>
      <c r="B2651" s="1" t="s">
        <v>9055</v>
      </c>
      <c r="C2651" s="1" t="s">
        <v>9037</v>
      </c>
      <c r="D2651" s="1" t="s">
        <v>9056</v>
      </c>
      <c r="E2651" s="5">
        <v>36828.0</v>
      </c>
      <c r="F2651" s="1" t="s">
        <v>53</v>
      </c>
      <c r="G2651" s="1" t="s">
        <v>17</v>
      </c>
      <c r="H2651" s="1" t="s">
        <v>18</v>
      </c>
      <c r="I2651" s="3">
        <f>+2250779874674</f>
        <v>2250779874674</v>
      </c>
      <c r="J2651" s="3">
        <f>+2250758753631</f>
        <v>2250758753631</v>
      </c>
      <c r="K2651" s="1" t="s">
        <v>19</v>
      </c>
      <c r="L2651" s="4" t="s">
        <v>9057</v>
      </c>
    </row>
    <row r="2652">
      <c r="A2652" s="1" t="s">
        <v>12</v>
      </c>
      <c r="B2652" s="1" t="s">
        <v>9058</v>
      </c>
      <c r="C2652" s="1" t="s">
        <v>9037</v>
      </c>
      <c r="D2652" s="1" t="s">
        <v>9059</v>
      </c>
      <c r="E2652" s="2">
        <v>37807.0</v>
      </c>
      <c r="F2652" s="1" t="s">
        <v>24</v>
      </c>
      <c r="G2652" s="1" t="s">
        <v>25</v>
      </c>
      <c r="H2652" s="1" t="s">
        <v>18</v>
      </c>
      <c r="I2652" s="3">
        <f>+2250748925496</f>
        <v>2250748925496</v>
      </c>
      <c r="J2652" s="3">
        <f>+2250749088489</f>
        <v>2250749088489</v>
      </c>
      <c r="K2652" s="1" t="s">
        <v>19</v>
      </c>
      <c r="L2652" s="4" t="s">
        <v>9060</v>
      </c>
    </row>
    <row r="2653">
      <c r="A2653" s="1" t="s">
        <v>12</v>
      </c>
      <c r="B2653" s="1" t="s">
        <v>9061</v>
      </c>
      <c r="C2653" s="1" t="s">
        <v>9037</v>
      </c>
      <c r="D2653" s="1" t="s">
        <v>9062</v>
      </c>
      <c r="E2653" s="2">
        <v>38209.0</v>
      </c>
      <c r="F2653" s="1" t="s">
        <v>62</v>
      </c>
      <c r="G2653" s="1" t="s">
        <v>17</v>
      </c>
      <c r="H2653" s="1" t="s">
        <v>18</v>
      </c>
      <c r="I2653" s="3">
        <f>+2250758605964</f>
        <v>2250758605964</v>
      </c>
      <c r="J2653" s="3">
        <f>+2250747897589</f>
        <v>2250747897589</v>
      </c>
      <c r="K2653" s="1" t="s">
        <v>19</v>
      </c>
      <c r="L2653" s="4" t="s">
        <v>9063</v>
      </c>
    </row>
    <row r="2654">
      <c r="A2654" s="1" t="s">
        <v>12</v>
      </c>
      <c r="B2654" s="1" t="s">
        <v>9064</v>
      </c>
      <c r="C2654" s="1" t="s">
        <v>9037</v>
      </c>
      <c r="D2654" s="1" t="s">
        <v>9065</v>
      </c>
      <c r="E2654" s="2">
        <v>38603.0</v>
      </c>
      <c r="F2654" s="1" t="s">
        <v>30</v>
      </c>
      <c r="G2654" s="1" t="s">
        <v>76</v>
      </c>
      <c r="H2654" s="1" t="s">
        <v>32</v>
      </c>
      <c r="I2654" s="3">
        <f>+2250171903900</f>
        <v>2250171903900</v>
      </c>
      <c r="J2654" s="3">
        <f>+2250101348946</f>
        <v>2250101348946</v>
      </c>
      <c r="K2654" s="1" t="s">
        <v>19</v>
      </c>
      <c r="L2654" s="4" t="s">
        <v>9066</v>
      </c>
    </row>
    <row r="2655">
      <c r="A2655" s="1" t="s">
        <v>12</v>
      </c>
      <c r="B2655" s="1" t="s">
        <v>9067</v>
      </c>
      <c r="C2655" s="1" t="s">
        <v>9037</v>
      </c>
      <c r="D2655" s="1" t="s">
        <v>9068</v>
      </c>
      <c r="E2655" s="2">
        <v>37511.0</v>
      </c>
      <c r="F2655" s="1" t="s">
        <v>351</v>
      </c>
      <c r="G2655" s="1" t="s">
        <v>31</v>
      </c>
      <c r="H2655" s="1" t="s">
        <v>32</v>
      </c>
      <c r="I2655" s="3">
        <f>+2250757506429</f>
        <v>2250757506429</v>
      </c>
      <c r="J2655" s="3">
        <f>+2250101227775</f>
        <v>2250101227775</v>
      </c>
      <c r="K2655" s="1" t="s">
        <v>19</v>
      </c>
      <c r="L2655" s="4" t="s">
        <v>9069</v>
      </c>
    </row>
    <row r="2656">
      <c r="A2656" s="1" t="s">
        <v>12</v>
      </c>
      <c r="B2656" s="1" t="s">
        <v>9070</v>
      </c>
      <c r="C2656" s="1" t="s">
        <v>9037</v>
      </c>
      <c r="D2656" s="1" t="s">
        <v>9071</v>
      </c>
      <c r="E2656" s="2">
        <v>37257.0</v>
      </c>
      <c r="F2656" s="1" t="s">
        <v>48</v>
      </c>
      <c r="G2656" s="1" t="s">
        <v>31</v>
      </c>
      <c r="H2656" s="1" t="s">
        <v>32</v>
      </c>
      <c r="I2656" s="3">
        <f>+2250500420675</f>
        <v>2250500420675</v>
      </c>
      <c r="J2656" s="3">
        <f>+2250555702005</f>
        <v>2250555702005</v>
      </c>
      <c r="K2656" s="1" t="s">
        <v>19</v>
      </c>
      <c r="L2656" s="4" t="s">
        <v>9072</v>
      </c>
    </row>
    <row r="2657">
      <c r="A2657" s="1" t="s">
        <v>12</v>
      </c>
      <c r="B2657" s="1" t="s">
        <v>9073</v>
      </c>
      <c r="C2657" s="1" t="s">
        <v>9037</v>
      </c>
      <c r="D2657" s="1" t="s">
        <v>9074</v>
      </c>
      <c r="E2657" s="5">
        <v>38309.0</v>
      </c>
      <c r="F2657" s="1" t="s">
        <v>70</v>
      </c>
      <c r="G2657" s="1" t="s">
        <v>76</v>
      </c>
      <c r="H2657" s="1" t="s">
        <v>32</v>
      </c>
      <c r="I2657" s="3">
        <f>+2250757640765</f>
        <v>2250757640765</v>
      </c>
      <c r="J2657" s="3">
        <f>+2250757083145</f>
        <v>2250757083145</v>
      </c>
      <c r="K2657" s="1" t="s">
        <v>19</v>
      </c>
      <c r="L2657" s="4" t="s">
        <v>9075</v>
      </c>
    </row>
    <row r="2658">
      <c r="A2658" s="1" t="s">
        <v>12</v>
      </c>
      <c r="B2658" s="1" t="s">
        <v>9076</v>
      </c>
      <c r="C2658" s="1" t="s">
        <v>9037</v>
      </c>
      <c r="D2658" s="1" t="s">
        <v>9077</v>
      </c>
      <c r="E2658" s="2">
        <v>38068.0</v>
      </c>
      <c r="F2658" s="1" t="s">
        <v>62</v>
      </c>
      <c r="G2658" s="1" t="s">
        <v>25</v>
      </c>
      <c r="H2658" s="1" t="s">
        <v>18</v>
      </c>
      <c r="I2658" s="3">
        <f>+2250140267626</f>
        <v>2250140267626</v>
      </c>
      <c r="J2658" s="3">
        <f>+2250707869373</f>
        <v>2250707869373</v>
      </c>
      <c r="K2658" s="1" t="s">
        <v>19</v>
      </c>
      <c r="L2658" s="4" t="s">
        <v>9078</v>
      </c>
    </row>
    <row r="2659">
      <c r="A2659" s="1" t="s">
        <v>12</v>
      </c>
      <c r="B2659" s="1" t="s">
        <v>9079</v>
      </c>
      <c r="C2659" s="1" t="s">
        <v>9037</v>
      </c>
      <c r="D2659" s="1" t="s">
        <v>9080</v>
      </c>
      <c r="E2659" s="5">
        <v>37553.0</v>
      </c>
      <c r="F2659" s="1" t="s">
        <v>30</v>
      </c>
      <c r="G2659" s="1" t="s">
        <v>76</v>
      </c>
      <c r="H2659" s="1" t="s">
        <v>32</v>
      </c>
      <c r="I2659" s="3">
        <f>+2250596300229</f>
        <v>2250596300229</v>
      </c>
      <c r="J2659" s="3">
        <f>+2250707739963</f>
        <v>2250707739963</v>
      </c>
      <c r="K2659" s="1" t="s">
        <v>19</v>
      </c>
      <c r="L2659" s="4" t="s">
        <v>9081</v>
      </c>
    </row>
    <row r="2660">
      <c r="A2660" s="1" t="s">
        <v>12</v>
      </c>
      <c r="B2660" s="1" t="s">
        <v>9082</v>
      </c>
      <c r="C2660" s="1" t="s">
        <v>9037</v>
      </c>
      <c r="D2660" s="1" t="s">
        <v>9083</v>
      </c>
      <c r="E2660" s="2">
        <v>39057.0</v>
      </c>
      <c r="F2660" s="1" t="s">
        <v>70</v>
      </c>
      <c r="G2660" s="1" t="s">
        <v>76</v>
      </c>
      <c r="H2660" s="1" t="s">
        <v>32</v>
      </c>
      <c r="I2660" s="3">
        <f>+2250143653727</f>
        <v>2250143653727</v>
      </c>
      <c r="J2660" s="3">
        <f>+2250141254910</f>
        <v>2250141254910</v>
      </c>
      <c r="K2660" s="1" t="s">
        <v>19</v>
      </c>
      <c r="L2660" s="4" t="s">
        <v>9084</v>
      </c>
    </row>
    <row r="2661">
      <c r="A2661" s="1" t="s">
        <v>12</v>
      </c>
      <c r="B2661" s="1" t="s">
        <v>9085</v>
      </c>
      <c r="C2661" s="1" t="s">
        <v>9037</v>
      </c>
      <c r="D2661" s="1" t="s">
        <v>9086</v>
      </c>
      <c r="E2661" s="2">
        <v>36745.0</v>
      </c>
      <c r="F2661" s="1" t="s">
        <v>48</v>
      </c>
      <c r="G2661" s="1" t="s">
        <v>31</v>
      </c>
      <c r="H2661" s="1" t="s">
        <v>32</v>
      </c>
      <c r="I2661" s="3">
        <f>+2250170331323</f>
        <v>2250170331323</v>
      </c>
      <c r="J2661" s="3">
        <f>+2250101147780</f>
        <v>2250101147780</v>
      </c>
      <c r="K2661" s="1" t="s">
        <v>19</v>
      </c>
      <c r="L2661" s="4" t="s">
        <v>9087</v>
      </c>
    </row>
    <row r="2662">
      <c r="A2662" s="1" t="s">
        <v>12</v>
      </c>
      <c r="B2662" s="1" t="s">
        <v>9088</v>
      </c>
      <c r="C2662" s="1" t="s">
        <v>9037</v>
      </c>
      <c r="D2662" s="1" t="s">
        <v>9089</v>
      </c>
      <c r="E2662" s="2">
        <v>37998.0</v>
      </c>
      <c r="F2662" s="1" t="s">
        <v>24</v>
      </c>
      <c r="G2662" s="1" t="s">
        <v>17</v>
      </c>
      <c r="H2662" s="1" t="s">
        <v>18</v>
      </c>
      <c r="I2662" s="3">
        <f>+2250502311792</f>
        <v>2250502311792</v>
      </c>
      <c r="J2662" s="3">
        <f>+2250102062596</f>
        <v>2250102062596</v>
      </c>
      <c r="K2662" s="1" t="s">
        <v>19</v>
      </c>
      <c r="L2662" s="4" t="s">
        <v>9090</v>
      </c>
    </row>
    <row r="2663">
      <c r="A2663" s="1" t="s">
        <v>12</v>
      </c>
      <c r="B2663" s="1" t="s">
        <v>9091</v>
      </c>
      <c r="C2663" s="1" t="s">
        <v>9037</v>
      </c>
      <c r="D2663" s="1" t="s">
        <v>9092</v>
      </c>
      <c r="E2663" s="2">
        <v>38608.0</v>
      </c>
      <c r="F2663" s="1" t="s">
        <v>53</v>
      </c>
      <c r="G2663" s="1" t="s">
        <v>17</v>
      </c>
      <c r="H2663" s="1" t="s">
        <v>18</v>
      </c>
      <c r="I2663" s="3">
        <f>+2250787102107</f>
        <v>2250787102107</v>
      </c>
      <c r="J2663" s="3">
        <f>+2250708809143</f>
        <v>2250708809143</v>
      </c>
      <c r="K2663" s="1" t="s">
        <v>19</v>
      </c>
      <c r="L2663" s="4" t="s">
        <v>9093</v>
      </c>
    </row>
    <row r="2664">
      <c r="A2664" s="1" t="s">
        <v>12</v>
      </c>
      <c r="B2664" s="1" t="s">
        <v>9094</v>
      </c>
      <c r="C2664" s="1" t="s">
        <v>9037</v>
      </c>
      <c r="D2664" s="1" t="s">
        <v>9095</v>
      </c>
      <c r="E2664" s="2">
        <v>38500.0</v>
      </c>
      <c r="F2664" s="1" t="s">
        <v>16</v>
      </c>
      <c r="G2664" s="1" t="s">
        <v>25</v>
      </c>
      <c r="H2664" s="1" t="s">
        <v>18</v>
      </c>
      <c r="I2664" s="3">
        <f>+2250700157792</f>
        <v>2250700157792</v>
      </c>
      <c r="J2664" s="3">
        <f>+2250707739963</f>
        <v>2250707739963</v>
      </c>
      <c r="K2664" s="1" t="s">
        <v>19</v>
      </c>
      <c r="L2664" s="4" t="s">
        <v>9096</v>
      </c>
    </row>
    <row r="2665">
      <c r="A2665" s="1" t="s">
        <v>12</v>
      </c>
      <c r="B2665" s="1" t="s">
        <v>9097</v>
      </c>
      <c r="C2665" s="1" t="s">
        <v>9098</v>
      </c>
      <c r="D2665" s="1" t="s">
        <v>9099</v>
      </c>
      <c r="E2665" s="2">
        <v>37748.0</v>
      </c>
      <c r="F2665" s="1" t="s">
        <v>62</v>
      </c>
      <c r="G2665" s="1" t="s">
        <v>17</v>
      </c>
      <c r="H2665" s="1" t="s">
        <v>18</v>
      </c>
      <c r="I2665" s="3">
        <f>+2250160040633</f>
        <v>2250160040633</v>
      </c>
      <c r="J2665" s="3">
        <f>+2250789000013</f>
        <v>2250789000013</v>
      </c>
      <c r="K2665" s="1" t="s">
        <v>19</v>
      </c>
      <c r="L2665" s="4" t="s">
        <v>9100</v>
      </c>
    </row>
    <row r="2666">
      <c r="A2666" s="1" t="s">
        <v>12</v>
      </c>
      <c r="B2666" s="1" t="s">
        <v>9101</v>
      </c>
      <c r="C2666" s="1" t="s">
        <v>9098</v>
      </c>
      <c r="D2666" s="1" t="s">
        <v>9102</v>
      </c>
      <c r="E2666" s="2">
        <v>36242.0</v>
      </c>
      <c r="F2666" s="1" t="s">
        <v>101</v>
      </c>
      <c r="G2666" s="1" t="s">
        <v>31</v>
      </c>
      <c r="H2666" s="1" t="s">
        <v>32</v>
      </c>
      <c r="I2666" s="3">
        <f>+2250702244856</f>
        <v>2250702244856</v>
      </c>
      <c r="J2666" s="3">
        <f>+2250708091552</f>
        <v>2250708091552</v>
      </c>
      <c r="K2666" s="1" t="s">
        <v>19</v>
      </c>
      <c r="L2666" s="4" t="s">
        <v>9103</v>
      </c>
    </row>
    <row r="2667">
      <c r="A2667" s="1" t="s">
        <v>12</v>
      </c>
      <c r="B2667" s="1" t="s">
        <v>9104</v>
      </c>
      <c r="C2667" s="1" t="s">
        <v>9105</v>
      </c>
      <c r="D2667" s="1" t="s">
        <v>9106</v>
      </c>
      <c r="E2667" s="2">
        <v>37898.0</v>
      </c>
      <c r="F2667" s="1" t="s">
        <v>16</v>
      </c>
      <c r="G2667" s="1" t="s">
        <v>17</v>
      </c>
      <c r="H2667" s="1" t="s">
        <v>18</v>
      </c>
      <c r="I2667" s="3">
        <f>+2250759793054</f>
        <v>2250759793054</v>
      </c>
      <c r="J2667" s="3">
        <f>+2250565602450</f>
        <v>2250565602450</v>
      </c>
      <c r="K2667" s="1" t="s">
        <v>19</v>
      </c>
      <c r="L2667" s="4" t="s">
        <v>9107</v>
      </c>
    </row>
    <row r="2668">
      <c r="A2668" s="1" t="s">
        <v>12</v>
      </c>
      <c r="B2668" s="1" t="s">
        <v>9108</v>
      </c>
      <c r="C2668" s="1" t="s">
        <v>9109</v>
      </c>
      <c r="D2668" s="1" t="s">
        <v>9110</v>
      </c>
      <c r="E2668" s="2">
        <v>37462.0</v>
      </c>
      <c r="F2668" s="1" t="s">
        <v>62</v>
      </c>
      <c r="G2668" s="1" t="s">
        <v>17</v>
      </c>
      <c r="H2668" s="1" t="s">
        <v>18</v>
      </c>
      <c r="I2668" s="3">
        <f>+2250101864760</f>
        <v>2250101864760</v>
      </c>
      <c r="J2668" s="3">
        <f>+2250748814152</f>
        <v>2250748814152</v>
      </c>
      <c r="K2668" s="1" t="s">
        <v>19</v>
      </c>
      <c r="L2668" s="4" t="s">
        <v>9111</v>
      </c>
    </row>
    <row r="2669">
      <c r="A2669" s="1" t="s">
        <v>12</v>
      </c>
      <c r="B2669" s="1" t="s">
        <v>9112</v>
      </c>
      <c r="C2669" s="1" t="s">
        <v>9113</v>
      </c>
      <c r="D2669" s="1" t="s">
        <v>9114</v>
      </c>
      <c r="E2669" s="2">
        <v>38519.0</v>
      </c>
      <c r="F2669" s="1" t="s">
        <v>101</v>
      </c>
      <c r="G2669" s="1" t="s">
        <v>76</v>
      </c>
      <c r="H2669" s="1" t="s">
        <v>32</v>
      </c>
      <c r="I2669" s="3">
        <f>+2250544293290</f>
        <v>2250544293290</v>
      </c>
      <c r="J2669" s="3">
        <f>+2250778904259</f>
        <v>2250778904259</v>
      </c>
      <c r="K2669" s="1" t="s">
        <v>19</v>
      </c>
      <c r="L2669" s="4" t="s">
        <v>9115</v>
      </c>
    </row>
    <row r="2670">
      <c r="A2670" s="1" t="s">
        <v>12</v>
      </c>
      <c r="B2670" s="1" t="s">
        <v>9116</v>
      </c>
      <c r="C2670" s="1" t="s">
        <v>9117</v>
      </c>
      <c r="D2670" s="1" t="s">
        <v>9118</v>
      </c>
      <c r="E2670" s="2">
        <v>38039.0</v>
      </c>
      <c r="F2670" s="1" t="s">
        <v>62</v>
      </c>
      <c r="G2670" s="1" t="s">
        <v>17</v>
      </c>
      <c r="H2670" s="1" t="s">
        <v>18</v>
      </c>
      <c r="I2670" s="3">
        <f>+2250799515506</f>
        <v>2250799515506</v>
      </c>
      <c r="J2670" s="3">
        <f>+2250102615565</f>
        <v>2250102615565</v>
      </c>
      <c r="K2670" s="1" t="s">
        <v>19</v>
      </c>
      <c r="L2670" s="4" t="s">
        <v>9119</v>
      </c>
    </row>
    <row r="2671">
      <c r="A2671" s="1" t="s">
        <v>12</v>
      </c>
      <c r="B2671" s="1" t="s">
        <v>9120</v>
      </c>
      <c r="C2671" s="1" t="s">
        <v>9121</v>
      </c>
      <c r="D2671" s="1" t="s">
        <v>9122</v>
      </c>
      <c r="E2671" s="5">
        <v>37586.0</v>
      </c>
      <c r="F2671" s="1" t="s">
        <v>30</v>
      </c>
      <c r="G2671" s="1" t="s">
        <v>31</v>
      </c>
      <c r="H2671" s="1" t="s">
        <v>32</v>
      </c>
      <c r="I2671" s="3">
        <f>+2250102332103</f>
        <v>2250102332103</v>
      </c>
      <c r="J2671" s="3">
        <f>+2250747055759</f>
        <v>2250747055759</v>
      </c>
      <c r="K2671" s="1" t="s">
        <v>19</v>
      </c>
      <c r="L2671" s="4" t="s">
        <v>9123</v>
      </c>
    </row>
    <row r="2672">
      <c r="A2672" s="1" t="s">
        <v>12</v>
      </c>
      <c r="B2672" s="1" t="s">
        <v>9124</v>
      </c>
      <c r="C2672" s="1" t="s">
        <v>9125</v>
      </c>
      <c r="D2672" s="1" t="s">
        <v>9126</v>
      </c>
      <c r="E2672" s="2">
        <v>36959.0</v>
      </c>
      <c r="F2672" s="1" t="s">
        <v>81</v>
      </c>
      <c r="G2672" s="1" t="s">
        <v>38</v>
      </c>
      <c r="H2672" s="1" t="s">
        <v>39</v>
      </c>
      <c r="I2672" s="3">
        <f>+2250759604874</f>
        <v>2250759604874</v>
      </c>
      <c r="J2672" s="3">
        <f>+2250709774328</f>
        <v>2250709774328</v>
      </c>
      <c r="K2672" s="1" t="s">
        <v>19</v>
      </c>
      <c r="L2672" s="4" t="s">
        <v>9127</v>
      </c>
    </row>
    <row r="2673">
      <c r="A2673" s="1" t="s">
        <v>12</v>
      </c>
      <c r="B2673" s="1" t="s">
        <v>9128</v>
      </c>
      <c r="C2673" s="1" t="s">
        <v>9125</v>
      </c>
      <c r="D2673" s="1" t="s">
        <v>9129</v>
      </c>
      <c r="E2673" s="2">
        <v>38413.0</v>
      </c>
      <c r="F2673" s="1" t="s">
        <v>24</v>
      </c>
      <c r="G2673" s="1" t="s">
        <v>25</v>
      </c>
      <c r="H2673" s="1" t="s">
        <v>18</v>
      </c>
      <c r="I2673" s="3">
        <f>+2250764539592</f>
        <v>2250764539592</v>
      </c>
      <c r="J2673" s="3">
        <f>+2250757502540</f>
        <v>2250757502540</v>
      </c>
      <c r="K2673" s="1" t="s">
        <v>19</v>
      </c>
      <c r="L2673" s="4" t="s">
        <v>9130</v>
      </c>
    </row>
    <row r="2674">
      <c r="A2674" s="1" t="s">
        <v>12</v>
      </c>
      <c r="B2674" s="1" t="s">
        <v>9131</v>
      </c>
      <c r="C2674" s="1" t="s">
        <v>9125</v>
      </c>
      <c r="D2674" s="1" t="s">
        <v>9132</v>
      </c>
      <c r="E2674" s="5">
        <v>38278.0</v>
      </c>
      <c r="F2674" s="1" t="s">
        <v>48</v>
      </c>
      <c r="G2674" s="1" t="s">
        <v>76</v>
      </c>
      <c r="H2674" s="1" t="s">
        <v>32</v>
      </c>
      <c r="I2674" s="3">
        <f>+2250747364227</f>
        <v>2250747364227</v>
      </c>
      <c r="J2674" s="3">
        <f>+2250545043616</f>
        <v>2250545043616</v>
      </c>
      <c r="K2674" s="1" t="s">
        <v>19</v>
      </c>
      <c r="L2674" s="4" t="s">
        <v>9133</v>
      </c>
    </row>
    <row r="2675">
      <c r="A2675" s="1" t="s">
        <v>12</v>
      </c>
      <c r="B2675" s="1" t="s">
        <v>9134</v>
      </c>
      <c r="C2675" s="1" t="s">
        <v>9125</v>
      </c>
      <c r="D2675" s="1" t="s">
        <v>9135</v>
      </c>
      <c r="E2675" s="2">
        <v>37709.0</v>
      </c>
      <c r="F2675" s="1" t="s">
        <v>53</v>
      </c>
      <c r="G2675" s="1" t="s">
        <v>17</v>
      </c>
      <c r="H2675" s="1" t="s">
        <v>18</v>
      </c>
      <c r="I2675" s="3">
        <f>+2250102798316</f>
        <v>2250102798316</v>
      </c>
      <c r="J2675" s="3">
        <f>+2250709004198</f>
        <v>2250709004198</v>
      </c>
      <c r="K2675" s="1" t="s">
        <v>19</v>
      </c>
      <c r="L2675" s="4" t="s">
        <v>9136</v>
      </c>
    </row>
    <row r="2676">
      <c r="A2676" s="1" t="s">
        <v>12</v>
      </c>
      <c r="B2676" s="1" t="s">
        <v>9137</v>
      </c>
      <c r="C2676" s="1" t="s">
        <v>9125</v>
      </c>
      <c r="D2676" s="1" t="s">
        <v>9138</v>
      </c>
      <c r="E2676" s="2">
        <v>37340.0</v>
      </c>
      <c r="F2676" s="1" t="s">
        <v>48</v>
      </c>
      <c r="G2676" s="1" t="s">
        <v>31</v>
      </c>
      <c r="H2676" s="1" t="s">
        <v>32</v>
      </c>
      <c r="I2676" s="3">
        <f>+2250150202923</f>
        <v>2250150202923</v>
      </c>
      <c r="J2676" s="3">
        <f>+2250707900339</f>
        <v>2250707900339</v>
      </c>
      <c r="K2676" s="1" t="s">
        <v>19</v>
      </c>
      <c r="L2676" s="4" t="s">
        <v>9139</v>
      </c>
    </row>
    <row r="2677">
      <c r="A2677" s="1" t="s">
        <v>12</v>
      </c>
      <c r="B2677" s="1" t="s">
        <v>9140</v>
      </c>
      <c r="C2677" s="1" t="s">
        <v>9125</v>
      </c>
      <c r="D2677" s="1" t="s">
        <v>9141</v>
      </c>
      <c r="E2677" s="2">
        <v>38200.0</v>
      </c>
      <c r="F2677" s="1" t="s">
        <v>48</v>
      </c>
      <c r="G2677" s="1" t="s">
        <v>76</v>
      </c>
      <c r="H2677" s="1" t="s">
        <v>32</v>
      </c>
      <c r="I2677" s="3">
        <f>+2250546072208</f>
        <v>2250546072208</v>
      </c>
      <c r="J2677" s="3">
        <f>+2250103343310</f>
        <v>2250103343310</v>
      </c>
      <c r="K2677" s="1" t="s">
        <v>19</v>
      </c>
      <c r="L2677" s="4" t="s">
        <v>9142</v>
      </c>
    </row>
    <row r="2678">
      <c r="A2678" s="1" t="s">
        <v>12</v>
      </c>
      <c r="B2678" s="1" t="s">
        <v>9143</v>
      </c>
      <c r="C2678" s="1" t="s">
        <v>9125</v>
      </c>
      <c r="D2678" s="1" t="s">
        <v>9144</v>
      </c>
      <c r="E2678" s="2">
        <v>37288.0</v>
      </c>
      <c r="F2678" s="1" t="s">
        <v>24</v>
      </c>
      <c r="G2678" s="1" t="s">
        <v>17</v>
      </c>
      <c r="H2678" s="1" t="s">
        <v>18</v>
      </c>
      <c r="I2678" s="3">
        <f>+2250556762877</f>
        <v>2250556762877</v>
      </c>
      <c r="J2678" s="3">
        <f>+2250707678504</f>
        <v>2250707678504</v>
      </c>
      <c r="K2678" s="1" t="s">
        <v>19</v>
      </c>
      <c r="L2678" s="4" t="s">
        <v>9145</v>
      </c>
    </row>
    <row r="2679">
      <c r="A2679" s="1" t="s">
        <v>12</v>
      </c>
      <c r="B2679" s="1" t="s">
        <v>9146</v>
      </c>
      <c r="C2679" s="1" t="s">
        <v>9125</v>
      </c>
      <c r="D2679" s="1" t="s">
        <v>9147</v>
      </c>
      <c r="E2679" s="2">
        <v>37392.0</v>
      </c>
      <c r="F2679" s="1" t="s">
        <v>155</v>
      </c>
      <c r="G2679" s="1" t="s">
        <v>76</v>
      </c>
      <c r="H2679" s="1" t="s">
        <v>32</v>
      </c>
      <c r="I2679" s="3">
        <f>+2250576646269</f>
        <v>2250576646269</v>
      </c>
      <c r="J2679" s="3">
        <f>+2250707808935</f>
        <v>2250707808935</v>
      </c>
      <c r="K2679" s="1" t="s">
        <v>19</v>
      </c>
      <c r="L2679" s="4" t="s">
        <v>9148</v>
      </c>
    </row>
    <row r="2680">
      <c r="A2680" s="1" t="s">
        <v>12</v>
      </c>
      <c r="B2680" s="1" t="s">
        <v>9149</v>
      </c>
      <c r="C2680" s="1" t="s">
        <v>9125</v>
      </c>
      <c r="D2680" s="1" t="s">
        <v>9150</v>
      </c>
      <c r="E2680" s="2">
        <v>37085.0</v>
      </c>
      <c r="F2680" s="1" t="s">
        <v>30</v>
      </c>
      <c r="G2680" s="1" t="s">
        <v>31</v>
      </c>
      <c r="H2680" s="1" t="s">
        <v>32</v>
      </c>
      <c r="I2680" s="3">
        <f>+2250705205827</f>
        <v>2250705205827</v>
      </c>
      <c r="J2680" s="3">
        <f>+2250708067478</f>
        <v>2250708067478</v>
      </c>
      <c r="K2680" s="1" t="s">
        <v>19</v>
      </c>
      <c r="L2680" s="4" t="s">
        <v>9151</v>
      </c>
    </row>
    <row r="2681">
      <c r="A2681" s="1" t="s">
        <v>12</v>
      </c>
      <c r="B2681" s="1" t="s">
        <v>9152</v>
      </c>
      <c r="C2681" s="1" t="s">
        <v>9125</v>
      </c>
      <c r="D2681" s="1" t="s">
        <v>9153</v>
      </c>
      <c r="E2681" s="5">
        <v>36880.0</v>
      </c>
      <c r="F2681" s="1" t="s">
        <v>167</v>
      </c>
      <c r="G2681" s="1" t="s">
        <v>17</v>
      </c>
      <c r="H2681" s="1" t="s">
        <v>18</v>
      </c>
      <c r="I2681" s="3">
        <f>+2250758514708</f>
        <v>2250758514708</v>
      </c>
      <c r="J2681" s="3">
        <f>+2250707161316</f>
        <v>2250707161316</v>
      </c>
      <c r="K2681" s="1" t="s">
        <v>19</v>
      </c>
      <c r="L2681" s="4" t="s">
        <v>9154</v>
      </c>
    </row>
    <row r="2682">
      <c r="A2682" s="1" t="s">
        <v>12</v>
      </c>
      <c r="B2682" s="1" t="s">
        <v>9155</v>
      </c>
      <c r="C2682" s="1" t="s">
        <v>9125</v>
      </c>
      <c r="D2682" s="1" t="s">
        <v>9156</v>
      </c>
      <c r="E2682" s="5">
        <v>38655.0</v>
      </c>
      <c r="F2682" s="1" t="s">
        <v>48</v>
      </c>
      <c r="G2682" s="1" t="s">
        <v>31</v>
      </c>
      <c r="H2682" s="1" t="s">
        <v>32</v>
      </c>
      <c r="I2682" s="3">
        <f t="shared" ref="I2682:J2682" si="83">+2250594267234</f>
        <v>2250594267234</v>
      </c>
      <c r="J2682" s="3">
        <f t="shared" si="83"/>
        <v>2250594267234</v>
      </c>
      <c r="K2682" s="1" t="s">
        <v>19</v>
      </c>
      <c r="L2682" s="4" t="s">
        <v>9157</v>
      </c>
    </row>
    <row r="2683">
      <c r="A2683" s="1" t="s">
        <v>12</v>
      </c>
      <c r="B2683" s="1" t="s">
        <v>9158</v>
      </c>
      <c r="C2683" s="1" t="s">
        <v>9125</v>
      </c>
      <c r="D2683" s="1" t="s">
        <v>9159</v>
      </c>
      <c r="E2683" s="2">
        <v>36424.0</v>
      </c>
      <c r="F2683" s="1" t="s">
        <v>92</v>
      </c>
      <c r="G2683" s="1" t="s">
        <v>82</v>
      </c>
      <c r="H2683" s="1" t="s">
        <v>18</v>
      </c>
      <c r="I2683" s="3">
        <f>+2250788811467</f>
        <v>2250788811467</v>
      </c>
      <c r="J2683" s="3">
        <f>+2250707488883</f>
        <v>2250707488883</v>
      </c>
      <c r="K2683" s="1" t="s">
        <v>19</v>
      </c>
      <c r="L2683" s="4" t="s">
        <v>9160</v>
      </c>
    </row>
    <row r="2684">
      <c r="A2684" s="1" t="s">
        <v>12</v>
      </c>
      <c r="B2684" s="1" t="s">
        <v>9161</v>
      </c>
      <c r="C2684" s="1" t="s">
        <v>9125</v>
      </c>
      <c r="D2684" s="1" t="s">
        <v>9162</v>
      </c>
      <c r="E2684" s="2">
        <v>38242.0</v>
      </c>
      <c r="F2684" s="1" t="s">
        <v>16</v>
      </c>
      <c r="G2684" s="1" t="s">
        <v>82</v>
      </c>
      <c r="H2684" s="1" t="s">
        <v>18</v>
      </c>
      <c r="I2684" s="3">
        <f>+2250767749272</f>
        <v>2250767749272</v>
      </c>
      <c r="J2684" s="3">
        <f>+2250747417897</f>
        <v>2250747417897</v>
      </c>
      <c r="K2684" s="1" t="s">
        <v>19</v>
      </c>
      <c r="L2684" s="4" t="s">
        <v>9163</v>
      </c>
    </row>
    <row r="2685">
      <c r="A2685" s="1" t="s">
        <v>12</v>
      </c>
      <c r="B2685" s="1" t="s">
        <v>9164</v>
      </c>
      <c r="C2685" s="1" t="s">
        <v>9125</v>
      </c>
      <c r="D2685" s="1" t="s">
        <v>9165</v>
      </c>
      <c r="E2685" s="2">
        <v>37010.0</v>
      </c>
      <c r="F2685" s="1" t="s">
        <v>101</v>
      </c>
      <c r="G2685" s="1" t="s">
        <v>76</v>
      </c>
      <c r="H2685" s="1" t="s">
        <v>32</v>
      </c>
      <c r="I2685" s="3">
        <f>+2250554810508</f>
        <v>2250554810508</v>
      </c>
      <c r="J2685" s="3">
        <f>+2250171464636</f>
        <v>2250171464636</v>
      </c>
      <c r="K2685" s="1" t="s">
        <v>19</v>
      </c>
      <c r="L2685" s="4" t="s">
        <v>9166</v>
      </c>
    </row>
    <row r="2686">
      <c r="A2686" s="1" t="s">
        <v>12</v>
      </c>
      <c r="B2686" s="1" t="s">
        <v>9167</v>
      </c>
      <c r="C2686" s="1" t="s">
        <v>9125</v>
      </c>
      <c r="D2686" s="1" t="s">
        <v>9168</v>
      </c>
      <c r="E2686" s="2">
        <v>38469.0</v>
      </c>
      <c r="F2686" s="1" t="s">
        <v>53</v>
      </c>
      <c r="G2686" s="1" t="s">
        <v>17</v>
      </c>
      <c r="H2686" s="1" t="s">
        <v>18</v>
      </c>
      <c r="I2686" s="3">
        <f>+2250749412682</f>
        <v>2250749412682</v>
      </c>
      <c r="J2686" s="3">
        <f>+2250506156191</f>
        <v>2250506156191</v>
      </c>
      <c r="K2686" s="1" t="s">
        <v>19</v>
      </c>
      <c r="L2686" s="4" t="s">
        <v>9169</v>
      </c>
    </row>
    <row r="2687">
      <c r="A2687" s="1" t="s">
        <v>12</v>
      </c>
      <c r="B2687" s="1" t="s">
        <v>9170</v>
      </c>
      <c r="C2687" s="1" t="s">
        <v>9125</v>
      </c>
      <c r="D2687" s="1" t="s">
        <v>9171</v>
      </c>
      <c r="E2687" s="2">
        <v>37461.0</v>
      </c>
      <c r="F2687" s="1" t="s">
        <v>182</v>
      </c>
      <c r="G2687" s="1" t="s">
        <v>82</v>
      </c>
      <c r="H2687" s="1" t="s">
        <v>18</v>
      </c>
      <c r="I2687" s="3">
        <f>+2250788927570</f>
        <v>2250788927570</v>
      </c>
      <c r="J2687" s="3">
        <f>+2250103460846</f>
        <v>2250103460846</v>
      </c>
      <c r="K2687" s="1" t="s">
        <v>19</v>
      </c>
      <c r="L2687" s="4" t="s">
        <v>9172</v>
      </c>
    </row>
    <row r="2688">
      <c r="A2688" s="1" t="s">
        <v>12</v>
      </c>
      <c r="B2688" s="1" t="s">
        <v>9173</v>
      </c>
      <c r="C2688" s="1" t="s">
        <v>9125</v>
      </c>
      <c r="D2688" s="1" t="s">
        <v>9174</v>
      </c>
      <c r="E2688" s="2">
        <v>38542.0</v>
      </c>
      <c r="F2688" s="1" t="s">
        <v>48</v>
      </c>
      <c r="G2688" s="1" t="s">
        <v>76</v>
      </c>
      <c r="H2688" s="1" t="s">
        <v>32</v>
      </c>
      <c r="I2688" s="3">
        <f>+2250706744659</f>
        <v>2250706744659</v>
      </c>
      <c r="J2688" s="3">
        <f>+2250709190680</f>
        <v>2250709190680</v>
      </c>
      <c r="K2688" s="1" t="s">
        <v>19</v>
      </c>
      <c r="L2688" s="4" t="s">
        <v>9175</v>
      </c>
    </row>
    <row r="2689">
      <c r="A2689" s="1" t="s">
        <v>12</v>
      </c>
      <c r="B2689" s="1" t="s">
        <v>9176</v>
      </c>
      <c r="C2689" s="1" t="s">
        <v>9125</v>
      </c>
      <c r="D2689" s="1" t="s">
        <v>9177</v>
      </c>
      <c r="E2689" s="5">
        <v>38639.0</v>
      </c>
      <c r="F2689" s="1" t="s">
        <v>288</v>
      </c>
      <c r="G2689" s="1" t="s">
        <v>76</v>
      </c>
      <c r="H2689" s="1" t="s">
        <v>32</v>
      </c>
      <c r="I2689" s="3">
        <f>+2250594105516</f>
        <v>2250594105516</v>
      </c>
      <c r="J2689" s="3">
        <f>+2250504177751</f>
        <v>2250504177751</v>
      </c>
      <c r="K2689" s="1" t="s">
        <v>19</v>
      </c>
      <c r="L2689" s="4" t="s">
        <v>9178</v>
      </c>
    </row>
    <row r="2690">
      <c r="A2690" s="1" t="s">
        <v>12</v>
      </c>
      <c r="B2690" s="1" t="s">
        <v>9179</v>
      </c>
      <c r="C2690" s="1" t="s">
        <v>9180</v>
      </c>
      <c r="D2690" s="1" t="s">
        <v>9181</v>
      </c>
      <c r="E2690" s="2">
        <v>38891.0</v>
      </c>
      <c r="F2690" s="1" t="s">
        <v>101</v>
      </c>
      <c r="G2690" s="1" t="s">
        <v>76</v>
      </c>
      <c r="H2690" s="1" t="s">
        <v>32</v>
      </c>
      <c r="I2690" s="3">
        <f>+2250142643626</f>
        <v>2250142643626</v>
      </c>
      <c r="J2690" s="3">
        <f>+2250142945269</f>
        <v>2250142945269</v>
      </c>
      <c r="K2690" s="1" t="s">
        <v>19</v>
      </c>
      <c r="L2690" s="4" t="s">
        <v>9182</v>
      </c>
    </row>
    <row r="2691">
      <c r="A2691" s="1" t="s">
        <v>12</v>
      </c>
      <c r="B2691" s="1" t="s">
        <v>9183</v>
      </c>
      <c r="C2691" s="1" t="s">
        <v>9180</v>
      </c>
      <c r="D2691" s="1" t="s">
        <v>9184</v>
      </c>
      <c r="E2691" s="2">
        <v>37197.0</v>
      </c>
      <c r="F2691" s="1" t="s">
        <v>570</v>
      </c>
      <c r="G2691" s="1" t="s">
        <v>82</v>
      </c>
      <c r="H2691" s="1" t="s">
        <v>18</v>
      </c>
      <c r="I2691" s="3">
        <f>+2250102211193</f>
        <v>2250102211193</v>
      </c>
      <c r="J2691" s="3">
        <f>+2250709003292</f>
        <v>2250709003292</v>
      </c>
      <c r="K2691" s="1" t="s">
        <v>19</v>
      </c>
      <c r="L2691" s="4" t="s">
        <v>9185</v>
      </c>
    </row>
    <row r="2692">
      <c r="A2692" s="1" t="s">
        <v>12</v>
      </c>
      <c r="B2692" s="1" t="s">
        <v>9186</v>
      </c>
      <c r="C2692" s="1" t="s">
        <v>9187</v>
      </c>
      <c r="D2692" s="1" t="s">
        <v>9188</v>
      </c>
      <c r="E2692" s="5">
        <v>36492.0</v>
      </c>
      <c r="F2692" s="1" t="s">
        <v>155</v>
      </c>
      <c r="G2692" s="1" t="s">
        <v>82</v>
      </c>
      <c r="H2692" s="1" t="s">
        <v>18</v>
      </c>
      <c r="I2692" s="3">
        <f>+2250788242891</f>
        <v>2250788242891</v>
      </c>
      <c r="J2692" s="3">
        <f>+2250140298783</f>
        <v>2250140298783</v>
      </c>
      <c r="K2692" s="1" t="s">
        <v>19</v>
      </c>
      <c r="L2692" s="4" t="s">
        <v>9189</v>
      </c>
    </row>
    <row r="2693">
      <c r="A2693" s="1" t="s">
        <v>12</v>
      </c>
      <c r="B2693" s="1" t="s">
        <v>9190</v>
      </c>
      <c r="C2693" s="1" t="s">
        <v>9191</v>
      </c>
      <c r="D2693" s="1" t="s">
        <v>9192</v>
      </c>
      <c r="E2693" s="2">
        <v>37957.0</v>
      </c>
      <c r="F2693" s="1" t="s">
        <v>30</v>
      </c>
      <c r="G2693" s="1" t="s">
        <v>76</v>
      </c>
      <c r="H2693" s="1" t="s">
        <v>32</v>
      </c>
      <c r="I2693" s="3">
        <f>+2250769559430</f>
        <v>2250769559430</v>
      </c>
      <c r="J2693" s="3">
        <f>+2250708132223</f>
        <v>2250708132223</v>
      </c>
      <c r="K2693" s="1" t="s">
        <v>19</v>
      </c>
      <c r="L2693" s="4" t="s">
        <v>9193</v>
      </c>
    </row>
    <row r="2694">
      <c r="A2694" s="1" t="s">
        <v>12</v>
      </c>
      <c r="B2694" s="1" t="s">
        <v>9194</v>
      </c>
      <c r="C2694" s="1" t="s">
        <v>9191</v>
      </c>
      <c r="D2694" s="1" t="s">
        <v>9195</v>
      </c>
      <c r="E2694" s="2">
        <v>37622.0</v>
      </c>
      <c r="F2694" s="1" t="s">
        <v>75</v>
      </c>
      <c r="G2694" s="1" t="s">
        <v>31</v>
      </c>
      <c r="H2694" s="1" t="s">
        <v>32</v>
      </c>
      <c r="I2694" s="3">
        <f>+2250767004643</f>
        <v>2250767004643</v>
      </c>
      <c r="J2694" s="3">
        <f>+2250707749946</f>
        <v>2250707749946</v>
      </c>
      <c r="K2694" s="1" t="s">
        <v>19</v>
      </c>
      <c r="L2694" s="4" t="s">
        <v>9196</v>
      </c>
    </row>
    <row r="2695">
      <c r="A2695" s="1" t="s">
        <v>12</v>
      </c>
      <c r="B2695" s="1" t="s">
        <v>9197</v>
      </c>
      <c r="C2695" s="1" t="s">
        <v>9191</v>
      </c>
      <c r="D2695" s="1" t="s">
        <v>9198</v>
      </c>
      <c r="E2695" s="5">
        <v>37614.0</v>
      </c>
      <c r="F2695" s="1" t="s">
        <v>48</v>
      </c>
      <c r="G2695" s="1" t="s">
        <v>76</v>
      </c>
      <c r="H2695" s="1" t="s">
        <v>32</v>
      </c>
      <c r="I2695" s="3">
        <f>+2250152717088</f>
        <v>2250152717088</v>
      </c>
      <c r="J2695" s="3">
        <f>+2250505328204</f>
        <v>2250505328204</v>
      </c>
      <c r="K2695" s="1" t="s">
        <v>19</v>
      </c>
      <c r="L2695" s="4" t="s">
        <v>9199</v>
      </c>
    </row>
    <row r="2696">
      <c r="A2696" s="1" t="s">
        <v>12</v>
      </c>
      <c r="B2696" s="1" t="s">
        <v>9200</v>
      </c>
      <c r="C2696" s="1" t="s">
        <v>9191</v>
      </c>
      <c r="D2696" s="1" t="s">
        <v>9201</v>
      </c>
      <c r="E2696" s="2">
        <v>38248.0</v>
      </c>
      <c r="F2696" s="1" t="s">
        <v>53</v>
      </c>
      <c r="G2696" s="1" t="s">
        <v>25</v>
      </c>
      <c r="H2696" s="1" t="s">
        <v>18</v>
      </c>
      <c r="I2696" s="3">
        <f>+2250585172110</f>
        <v>2250585172110</v>
      </c>
      <c r="J2696" s="3">
        <f>+2250505792931</f>
        <v>2250505792931</v>
      </c>
      <c r="K2696" s="1" t="s">
        <v>19</v>
      </c>
      <c r="L2696" s="4" t="s">
        <v>9202</v>
      </c>
    </row>
    <row r="2697">
      <c r="A2697" s="1" t="s">
        <v>12</v>
      </c>
      <c r="B2697" s="1" t="s">
        <v>9203</v>
      </c>
      <c r="C2697" s="1" t="s">
        <v>9191</v>
      </c>
      <c r="D2697" s="1" t="s">
        <v>9204</v>
      </c>
      <c r="E2697" s="2">
        <v>37128.0</v>
      </c>
      <c r="F2697" s="1" t="s">
        <v>16</v>
      </c>
      <c r="G2697" s="1" t="s">
        <v>17</v>
      </c>
      <c r="H2697" s="1" t="s">
        <v>18</v>
      </c>
      <c r="I2697" s="3">
        <f>+2250757913647</f>
        <v>2250757913647</v>
      </c>
      <c r="J2697" s="3">
        <f>+2250103658060</f>
        <v>2250103658060</v>
      </c>
      <c r="K2697" s="1" t="s">
        <v>19</v>
      </c>
      <c r="L2697" s="4" t="s">
        <v>9205</v>
      </c>
    </row>
    <row r="2698">
      <c r="A2698" s="1" t="s">
        <v>12</v>
      </c>
      <c r="B2698" s="1" t="s">
        <v>9206</v>
      </c>
      <c r="C2698" s="1" t="s">
        <v>9191</v>
      </c>
      <c r="D2698" s="1" t="s">
        <v>9207</v>
      </c>
      <c r="E2698" s="2">
        <v>37021.0</v>
      </c>
      <c r="F2698" s="1" t="s">
        <v>16</v>
      </c>
      <c r="G2698" s="1" t="s">
        <v>17</v>
      </c>
      <c r="H2698" s="1" t="s">
        <v>18</v>
      </c>
      <c r="I2698" s="3">
        <f>+2250544734735</f>
        <v>2250544734735</v>
      </c>
      <c r="J2698" s="3">
        <f>+2250505945912</f>
        <v>2250505945912</v>
      </c>
      <c r="K2698" s="1" t="s">
        <v>19</v>
      </c>
      <c r="L2698" s="4" t="s">
        <v>9208</v>
      </c>
    </row>
    <row r="2699">
      <c r="A2699" s="1" t="s">
        <v>12</v>
      </c>
      <c r="B2699" s="1" t="s">
        <v>9209</v>
      </c>
      <c r="C2699" s="1" t="s">
        <v>9191</v>
      </c>
      <c r="D2699" s="1" t="s">
        <v>9210</v>
      </c>
      <c r="E2699" s="5">
        <v>37255.0</v>
      </c>
      <c r="F2699" s="1" t="s">
        <v>48</v>
      </c>
      <c r="G2699" s="1" t="s">
        <v>76</v>
      </c>
      <c r="H2699" s="1" t="s">
        <v>32</v>
      </c>
      <c r="I2699" s="3">
        <f>+2250779048692</f>
        <v>2250779048692</v>
      </c>
      <c r="J2699" s="3">
        <f>+2250748002785</f>
        <v>2250748002785</v>
      </c>
      <c r="K2699" s="1" t="s">
        <v>19</v>
      </c>
      <c r="L2699" s="4" t="s">
        <v>9211</v>
      </c>
    </row>
    <row r="2700">
      <c r="A2700" s="1" t="s">
        <v>12</v>
      </c>
      <c r="B2700" s="1" t="s">
        <v>9212</v>
      </c>
      <c r="C2700" s="1" t="s">
        <v>9191</v>
      </c>
      <c r="D2700" s="1" t="s">
        <v>9213</v>
      </c>
      <c r="E2700" s="2">
        <v>37635.0</v>
      </c>
      <c r="F2700" s="1" t="s">
        <v>62</v>
      </c>
      <c r="G2700" s="1" t="s">
        <v>17</v>
      </c>
      <c r="H2700" s="1" t="s">
        <v>18</v>
      </c>
      <c r="I2700" s="3">
        <f>+2250768295588</f>
        <v>2250768295588</v>
      </c>
      <c r="J2700" s="3">
        <f>+2250546509773</f>
        <v>2250546509773</v>
      </c>
      <c r="K2700" s="1" t="s">
        <v>19</v>
      </c>
      <c r="L2700" s="4" t="s">
        <v>9214</v>
      </c>
    </row>
    <row r="2701">
      <c r="A2701" s="1" t="s">
        <v>12</v>
      </c>
      <c r="B2701" s="1" t="s">
        <v>9215</v>
      </c>
      <c r="C2701" s="1" t="s">
        <v>9191</v>
      </c>
      <c r="D2701" s="1" t="s">
        <v>9216</v>
      </c>
      <c r="E2701" s="2">
        <v>36908.0</v>
      </c>
      <c r="F2701" s="1" t="s">
        <v>48</v>
      </c>
      <c r="G2701" s="1" t="s">
        <v>31</v>
      </c>
      <c r="H2701" s="1" t="s">
        <v>32</v>
      </c>
      <c r="I2701" s="3">
        <f>+2250769430914</f>
        <v>2250769430914</v>
      </c>
      <c r="J2701" s="3">
        <f>+2250504300601</f>
        <v>2250504300601</v>
      </c>
      <c r="K2701" s="1" t="s">
        <v>19</v>
      </c>
      <c r="L2701" s="4" t="s">
        <v>9217</v>
      </c>
    </row>
    <row r="2702">
      <c r="A2702" s="1" t="s">
        <v>12</v>
      </c>
      <c r="B2702" s="1" t="s">
        <v>9218</v>
      </c>
      <c r="C2702" s="1" t="s">
        <v>9191</v>
      </c>
      <c r="D2702" s="1" t="s">
        <v>9219</v>
      </c>
      <c r="E2702" s="2">
        <v>37257.0</v>
      </c>
      <c r="F2702" s="1" t="s">
        <v>110</v>
      </c>
      <c r="G2702" s="1" t="s">
        <v>82</v>
      </c>
      <c r="H2702" s="1" t="s">
        <v>18</v>
      </c>
      <c r="I2702" s="3">
        <f>+2250711086650</f>
        <v>2250711086650</v>
      </c>
      <c r="J2702" s="3">
        <f>+2250709701511</f>
        <v>2250709701511</v>
      </c>
      <c r="K2702" s="1" t="s">
        <v>19</v>
      </c>
      <c r="L2702" s="4" t="s">
        <v>9220</v>
      </c>
    </row>
    <row r="2703">
      <c r="A2703" s="1" t="s">
        <v>12</v>
      </c>
      <c r="B2703" s="1" t="s">
        <v>9221</v>
      </c>
      <c r="C2703" s="1" t="s">
        <v>9191</v>
      </c>
      <c r="D2703" s="1" t="s">
        <v>9222</v>
      </c>
      <c r="E2703" s="2">
        <v>38445.0</v>
      </c>
      <c r="F2703" s="1" t="s">
        <v>167</v>
      </c>
      <c r="G2703" s="1" t="s">
        <v>17</v>
      </c>
      <c r="H2703" s="1" t="s">
        <v>18</v>
      </c>
      <c r="I2703" s="3">
        <f>+2250574806670</f>
        <v>2250574806670</v>
      </c>
      <c r="J2703" s="3">
        <f>+2250748324090</f>
        <v>2250748324090</v>
      </c>
      <c r="K2703" s="1" t="s">
        <v>19</v>
      </c>
      <c r="L2703" s="4" t="s">
        <v>9223</v>
      </c>
    </row>
    <row r="2704">
      <c r="A2704" s="1" t="s">
        <v>12</v>
      </c>
      <c r="B2704" s="1" t="s">
        <v>9224</v>
      </c>
      <c r="C2704" s="1" t="s">
        <v>9191</v>
      </c>
      <c r="D2704" s="1" t="s">
        <v>9225</v>
      </c>
      <c r="E2704" s="2">
        <v>37926.0</v>
      </c>
      <c r="F2704" s="1" t="s">
        <v>155</v>
      </c>
      <c r="G2704" s="1" t="s">
        <v>82</v>
      </c>
      <c r="H2704" s="1" t="s">
        <v>18</v>
      </c>
      <c r="I2704" s="3">
        <f t="shared" ref="I2704:J2704" si="84">+2250767821474</f>
        <v>2250767821474</v>
      </c>
      <c r="J2704" s="3">
        <f t="shared" si="84"/>
        <v>2250767821474</v>
      </c>
      <c r="K2704" s="1" t="s">
        <v>19</v>
      </c>
      <c r="L2704" s="4" t="s">
        <v>9226</v>
      </c>
    </row>
    <row r="2705">
      <c r="A2705" s="1" t="s">
        <v>12</v>
      </c>
      <c r="B2705" s="1" t="s">
        <v>9227</v>
      </c>
      <c r="C2705" s="1" t="s">
        <v>9191</v>
      </c>
      <c r="D2705" s="1" t="s">
        <v>9228</v>
      </c>
      <c r="E2705" s="2">
        <v>37449.0</v>
      </c>
      <c r="F2705" s="1" t="s">
        <v>75</v>
      </c>
      <c r="G2705" s="1" t="s">
        <v>31</v>
      </c>
      <c r="H2705" s="1" t="s">
        <v>32</v>
      </c>
      <c r="I2705" s="3">
        <f>+2250706471398</f>
        <v>2250706471398</v>
      </c>
      <c r="J2705" s="3">
        <f>+2250799505626</f>
        <v>2250799505626</v>
      </c>
      <c r="K2705" s="1" t="s">
        <v>19</v>
      </c>
      <c r="L2705" s="4" t="s">
        <v>9229</v>
      </c>
    </row>
    <row r="2706">
      <c r="A2706" s="1" t="s">
        <v>12</v>
      </c>
      <c r="B2706" s="1" t="s">
        <v>9230</v>
      </c>
      <c r="C2706" s="1" t="s">
        <v>9191</v>
      </c>
      <c r="D2706" s="1" t="s">
        <v>9231</v>
      </c>
      <c r="E2706" s="2">
        <v>38077.0</v>
      </c>
      <c r="F2706" s="1" t="s">
        <v>16</v>
      </c>
      <c r="G2706" s="1" t="s">
        <v>82</v>
      </c>
      <c r="H2706" s="1" t="s">
        <v>18</v>
      </c>
      <c r="I2706" s="3">
        <f>+2250705171559</f>
        <v>2250705171559</v>
      </c>
      <c r="J2706" s="3">
        <f>+2250757832383</f>
        <v>2250757832383</v>
      </c>
      <c r="K2706" s="1" t="s">
        <v>19</v>
      </c>
      <c r="L2706" s="4" t="s">
        <v>9232</v>
      </c>
    </row>
    <row r="2707">
      <c r="A2707" s="1" t="s">
        <v>12</v>
      </c>
      <c r="B2707" s="1" t="s">
        <v>9233</v>
      </c>
      <c r="C2707" s="1" t="s">
        <v>9191</v>
      </c>
      <c r="D2707" s="1" t="s">
        <v>9234</v>
      </c>
      <c r="E2707" s="2">
        <v>37371.0</v>
      </c>
      <c r="F2707" s="1" t="s">
        <v>16</v>
      </c>
      <c r="G2707" s="1" t="s">
        <v>17</v>
      </c>
      <c r="H2707" s="1" t="s">
        <v>18</v>
      </c>
      <c r="I2707" s="3">
        <f>+2250759262953</f>
        <v>2250759262953</v>
      </c>
      <c r="J2707" s="3">
        <f>+2250709106013</f>
        <v>2250709106013</v>
      </c>
      <c r="K2707" s="1" t="s">
        <v>19</v>
      </c>
      <c r="L2707" s="4" t="s">
        <v>9235</v>
      </c>
    </row>
    <row r="2708">
      <c r="A2708" s="1" t="s">
        <v>12</v>
      </c>
      <c r="B2708" s="1" t="s">
        <v>9236</v>
      </c>
      <c r="C2708" s="1" t="s">
        <v>9191</v>
      </c>
      <c r="D2708" s="1" t="s">
        <v>9237</v>
      </c>
      <c r="E2708" s="2">
        <v>37879.0</v>
      </c>
      <c r="F2708" s="1" t="s">
        <v>288</v>
      </c>
      <c r="G2708" s="1" t="s">
        <v>31</v>
      </c>
      <c r="H2708" s="1" t="s">
        <v>32</v>
      </c>
      <c r="I2708" s="3">
        <f>+2250140606641</f>
        <v>2250140606641</v>
      </c>
      <c r="J2708" s="3">
        <f>+2250153596612</f>
        <v>2250153596612</v>
      </c>
      <c r="K2708" s="1" t="s">
        <v>19</v>
      </c>
      <c r="L2708" s="4" t="s">
        <v>9238</v>
      </c>
    </row>
    <row r="2709">
      <c r="A2709" s="1" t="s">
        <v>12</v>
      </c>
      <c r="B2709" s="1" t="s">
        <v>9239</v>
      </c>
      <c r="C2709" s="1" t="s">
        <v>9191</v>
      </c>
      <c r="D2709" s="1" t="s">
        <v>9240</v>
      </c>
      <c r="E2709" s="2">
        <v>38595.0</v>
      </c>
      <c r="F2709" s="1" t="s">
        <v>62</v>
      </c>
      <c r="G2709" s="1" t="s">
        <v>25</v>
      </c>
      <c r="H2709" s="1" t="s">
        <v>18</v>
      </c>
      <c r="I2709" s="3">
        <f>+2250554296825</f>
        <v>2250554296825</v>
      </c>
      <c r="J2709" s="3">
        <f>+2250555528927</f>
        <v>2250555528927</v>
      </c>
      <c r="K2709" s="1" t="s">
        <v>19</v>
      </c>
      <c r="L2709" s="4" t="s">
        <v>9241</v>
      </c>
    </row>
    <row r="2710">
      <c r="A2710" s="1" t="s">
        <v>12</v>
      </c>
      <c r="B2710" s="1" t="s">
        <v>9242</v>
      </c>
      <c r="C2710" s="1" t="s">
        <v>9191</v>
      </c>
      <c r="D2710" s="1" t="s">
        <v>9243</v>
      </c>
      <c r="E2710" s="2">
        <v>35910.0</v>
      </c>
      <c r="F2710" s="1" t="s">
        <v>75</v>
      </c>
      <c r="G2710" s="1" t="s">
        <v>76</v>
      </c>
      <c r="H2710" s="1" t="s">
        <v>32</v>
      </c>
      <c r="I2710" s="3">
        <f>+2250102896484</f>
        <v>2250102896484</v>
      </c>
      <c r="J2710" s="3">
        <f>+2250101190211</f>
        <v>2250101190211</v>
      </c>
      <c r="K2710" s="1" t="s">
        <v>19</v>
      </c>
      <c r="L2710" s="4" t="s">
        <v>9244</v>
      </c>
    </row>
    <row r="2711">
      <c r="A2711" s="1" t="s">
        <v>12</v>
      </c>
      <c r="B2711" s="1" t="s">
        <v>9245</v>
      </c>
      <c r="C2711" s="1" t="s">
        <v>9191</v>
      </c>
      <c r="D2711" s="1" t="s">
        <v>9246</v>
      </c>
      <c r="E2711" s="2">
        <v>38691.0</v>
      </c>
      <c r="F2711" s="1" t="s">
        <v>53</v>
      </c>
      <c r="G2711" s="1" t="s">
        <v>25</v>
      </c>
      <c r="H2711" s="1" t="s">
        <v>18</v>
      </c>
      <c r="I2711" s="3">
        <f t="shared" ref="I2711:J2711" si="85">+2250707461367</f>
        <v>2250707461367</v>
      </c>
      <c r="J2711" s="3">
        <f t="shared" si="85"/>
        <v>2250707461367</v>
      </c>
      <c r="K2711" s="1" t="s">
        <v>19</v>
      </c>
      <c r="L2711" s="4" t="s">
        <v>9247</v>
      </c>
    </row>
    <row r="2712">
      <c r="A2712" s="1" t="s">
        <v>12</v>
      </c>
      <c r="B2712" s="1" t="s">
        <v>9248</v>
      </c>
      <c r="C2712" s="1" t="s">
        <v>9191</v>
      </c>
      <c r="D2712" s="1" t="s">
        <v>9249</v>
      </c>
      <c r="E2712" s="2">
        <v>38426.0</v>
      </c>
      <c r="F2712" s="1" t="s">
        <v>62</v>
      </c>
      <c r="G2712" s="1" t="s">
        <v>17</v>
      </c>
      <c r="H2712" s="1" t="s">
        <v>18</v>
      </c>
      <c r="I2712" s="3">
        <f>+2250502921092</f>
        <v>2250502921092</v>
      </c>
      <c r="J2712" s="3">
        <f>+2250505795445</f>
        <v>2250505795445</v>
      </c>
      <c r="K2712" s="1" t="s">
        <v>19</v>
      </c>
      <c r="L2712" s="4" t="s">
        <v>9250</v>
      </c>
    </row>
    <row r="2713">
      <c r="A2713" s="1" t="s">
        <v>12</v>
      </c>
      <c r="B2713" s="1" t="s">
        <v>9251</v>
      </c>
      <c r="C2713" s="1" t="s">
        <v>9191</v>
      </c>
      <c r="D2713" s="1" t="s">
        <v>9252</v>
      </c>
      <c r="E2713" s="2">
        <v>37874.0</v>
      </c>
      <c r="F2713" s="1" t="s">
        <v>586</v>
      </c>
      <c r="G2713" s="1" t="s">
        <v>82</v>
      </c>
      <c r="H2713" s="1" t="s">
        <v>18</v>
      </c>
      <c r="I2713" s="3">
        <f>+2250769116003</f>
        <v>2250769116003</v>
      </c>
      <c r="J2713" s="3">
        <f>+2250708321791</f>
        <v>2250708321791</v>
      </c>
      <c r="K2713" s="1" t="s">
        <v>19</v>
      </c>
      <c r="L2713" s="4" t="s">
        <v>9253</v>
      </c>
    </row>
    <row r="2714">
      <c r="A2714" s="1" t="s">
        <v>12</v>
      </c>
      <c r="B2714" s="1" t="s">
        <v>9254</v>
      </c>
      <c r="C2714" s="1" t="s">
        <v>9191</v>
      </c>
      <c r="D2714" s="1" t="s">
        <v>9188</v>
      </c>
      <c r="E2714" s="5">
        <v>36492.0</v>
      </c>
      <c r="F2714" s="1" t="s">
        <v>155</v>
      </c>
      <c r="G2714" s="1" t="s">
        <v>82</v>
      </c>
      <c r="H2714" s="1" t="s">
        <v>18</v>
      </c>
      <c r="I2714" s="3">
        <f>+2250788242891</f>
        <v>2250788242891</v>
      </c>
      <c r="J2714" s="3">
        <f>+2250564959940</f>
        <v>2250564959940</v>
      </c>
      <c r="K2714" s="1" t="s">
        <v>19</v>
      </c>
      <c r="L2714" s="4" t="s">
        <v>9255</v>
      </c>
    </row>
    <row r="2715">
      <c r="A2715" s="1" t="s">
        <v>12</v>
      </c>
      <c r="B2715" s="1" t="s">
        <v>9256</v>
      </c>
      <c r="C2715" s="1" t="s">
        <v>9191</v>
      </c>
      <c r="D2715" s="1" t="s">
        <v>9257</v>
      </c>
      <c r="E2715" s="2">
        <v>38693.0</v>
      </c>
      <c r="F2715" s="1" t="s">
        <v>101</v>
      </c>
      <c r="G2715" s="1" t="s">
        <v>31</v>
      </c>
      <c r="H2715" s="1" t="s">
        <v>32</v>
      </c>
      <c r="I2715" s="3">
        <f>+2250506034897</f>
        <v>2250506034897</v>
      </c>
      <c r="J2715" s="3">
        <f>+2250707788202</f>
        <v>2250707788202</v>
      </c>
      <c r="K2715" s="1" t="s">
        <v>19</v>
      </c>
      <c r="L2715" s="4" t="s">
        <v>9258</v>
      </c>
    </row>
    <row r="2716">
      <c r="A2716" s="1" t="s">
        <v>12</v>
      </c>
      <c r="B2716" s="1" t="s">
        <v>9259</v>
      </c>
      <c r="C2716" s="1" t="s">
        <v>9191</v>
      </c>
      <c r="D2716" s="1" t="s">
        <v>9260</v>
      </c>
      <c r="E2716" s="2">
        <v>36703.0</v>
      </c>
      <c r="F2716" s="1" t="s">
        <v>62</v>
      </c>
      <c r="G2716" s="1" t="s">
        <v>17</v>
      </c>
      <c r="H2716" s="1" t="s">
        <v>18</v>
      </c>
      <c r="I2716" s="3">
        <f>+2250779396542</f>
        <v>2250779396542</v>
      </c>
      <c r="J2716" s="3">
        <f>+2250747447855</f>
        <v>2250747447855</v>
      </c>
      <c r="K2716" s="1" t="s">
        <v>19</v>
      </c>
      <c r="L2716" s="4" t="s">
        <v>9261</v>
      </c>
    </row>
    <row r="2717">
      <c r="A2717" s="1" t="s">
        <v>12</v>
      </c>
      <c r="B2717" s="1" t="s">
        <v>9262</v>
      </c>
      <c r="C2717" s="1" t="s">
        <v>9191</v>
      </c>
      <c r="D2717" s="1" t="s">
        <v>9263</v>
      </c>
      <c r="E2717" s="2">
        <v>37157.0</v>
      </c>
      <c r="F2717" s="1" t="s">
        <v>110</v>
      </c>
      <c r="G2717" s="1" t="s">
        <v>82</v>
      </c>
      <c r="H2717" s="1" t="s">
        <v>18</v>
      </c>
      <c r="I2717" s="3">
        <f>+2250703765606</f>
        <v>2250703765606</v>
      </c>
      <c r="J2717" s="3">
        <f>+2250757191920</f>
        <v>2250757191920</v>
      </c>
      <c r="K2717" s="1" t="s">
        <v>19</v>
      </c>
      <c r="L2717" s="4" t="s">
        <v>9264</v>
      </c>
    </row>
    <row r="2718">
      <c r="A2718" s="1" t="s">
        <v>12</v>
      </c>
      <c r="B2718" s="1" t="s">
        <v>9265</v>
      </c>
      <c r="C2718" s="1" t="s">
        <v>9191</v>
      </c>
      <c r="D2718" s="1" t="s">
        <v>9266</v>
      </c>
      <c r="E2718" s="5">
        <v>38685.0</v>
      </c>
      <c r="F2718" s="1" t="s">
        <v>24</v>
      </c>
      <c r="G2718" s="1" t="s">
        <v>25</v>
      </c>
      <c r="H2718" s="1" t="s">
        <v>18</v>
      </c>
      <c r="I2718" s="3">
        <f>+2250702579835</f>
        <v>2250702579835</v>
      </c>
      <c r="J2718" s="3">
        <f>+2250770500790</f>
        <v>2250770500790</v>
      </c>
      <c r="K2718" s="1" t="s">
        <v>19</v>
      </c>
      <c r="L2718" s="4" t="s">
        <v>9267</v>
      </c>
    </row>
    <row r="2719">
      <c r="A2719" s="1" t="s">
        <v>12</v>
      </c>
      <c r="B2719" s="1" t="s">
        <v>9268</v>
      </c>
      <c r="C2719" s="1" t="s">
        <v>9191</v>
      </c>
      <c r="D2719" s="1" t="s">
        <v>9269</v>
      </c>
      <c r="E2719" s="2">
        <v>38199.0</v>
      </c>
      <c r="F2719" s="1" t="s">
        <v>53</v>
      </c>
      <c r="G2719" s="1" t="s">
        <v>17</v>
      </c>
      <c r="H2719" s="1" t="s">
        <v>18</v>
      </c>
      <c r="I2719" s="3">
        <f>+2250152359153</f>
        <v>2250152359153</v>
      </c>
      <c r="J2719" s="3">
        <f>+2250101905277</f>
        <v>2250101905277</v>
      </c>
      <c r="K2719" s="1" t="s">
        <v>19</v>
      </c>
      <c r="L2719" s="4" t="s">
        <v>9270</v>
      </c>
    </row>
    <row r="2720">
      <c r="A2720" s="1" t="s">
        <v>12</v>
      </c>
      <c r="B2720" s="1" t="s">
        <v>9271</v>
      </c>
      <c r="C2720" s="1" t="s">
        <v>9191</v>
      </c>
      <c r="D2720" s="1" t="s">
        <v>9272</v>
      </c>
      <c r="E2720" s="5">
        <v>39007.0</v>
      </c>
      <c r="F2720" s="1" t="s">
        <v>53</v>
      </c>
      <c r="G2720" s="1" t="s">
        <v>25</v>
      </c>
      <c r="H2720" s="1" t="s">
        <v>18</v>
      </c>
      <c r="I2720" s="3">
        <f>+2250711051761</f>
        <v>2250711051761</v>
      </c>
      <c r="J2720" s="3">
        <f>+2250101882884</f>
        <v>2250101882884</v>
      </c>
      <c r="K2720" s="1" t="s">
        <v>19</v>
      </c>
      <c r="L2720" s="4" t="s">
        <v>9273</v>
      </c>
    </row>
    <row r="2721">
      <c r="A2721" s="1" t="s">
        <v>12</v>
      </c>
      <c r="B2721" s="1" t="s">
        <v>9274</v>
      </c>
      <c r="C2721" s="1" t="s">
        <v>9191</v>
      </c>
      <c r="D2721" s="1" t="s">
        <v>9275</v>
      </c>
      <c r="E2721" s="5">
        <v>37983.0</v>
      </c>
      <c r="F2721" s="1" t="s">
        <v>92</v>
      </c>
      <c r="G2721" s="1" t="s">
        <v>31</v>
      </c>
      <c r="H2721" s="1" t="s">
        <v>32</v>
      </c>
      <c r="I2721" s="3">
        <f>+2250710014034</f>
        <v>2250710014034</v>
      </c>
      <c r="J2721" s="3">
        <f>+2250501079685</f>
        <v>2250501079685</v>
      </c>
      <c r="K2721" s="1" t="s">
        <v>19</v>
      </c>
      <c r="L2721" s="4" t="s">
        <v>9276</v>
      </c>
    </row>
    <row r="2722">
      <c r="A2722" s="1" t="s">
        <v>12</v>
      </c>
      <c r="B2722" s="1" t="s">
        <v>9277</v>
      </c>
      <c r="C2722" s="1" t="s">
        <v>9191</v>
      </c>
      <c r="D2722" s="1" t="s">
        <v>9278</v>
      </c>
      <c r="E2722" s="2">
        <v>37037.0</v>
      </c>
      <c r="F2722" s="1" t="s">
        <v>16</v>
      </c>
      <c r="G2722" s="1" t="s">
        <v>82</v>
      </c>
      <c r="H2722" s="1" t="s">
        <v>18</v>
      </c>
      <c r="I2722" s="3">
        <f>+2250153806573</f>
        <v>2250153806573</v>
      </c>
      <c r="J2722" s="3">
        <f>+2250707670283</f>
        <v>2250707670283</v>
      </c>
      <c r="K2722" s="1" t="s">
        <v>19</v>
      </c>
      <c r="L2722" s="4" t="s">
        <v>9279</v>
      </c>
    </row>
    <row r="2723">
      <c r="A2723" s="1" t="s">
        <v>12</v>
      </c>
      <c r="B2723" s="1" t="s">
        <v>9280</v>
      </c>
      <c r="C2723" s="1" t="s">
        <v>9191</v>
      </c>
      <c r="D2723" s="1" t="s">
        <v>9281</v>
      </c>
      <c r="E2723" s="2">
        <v>38098.0</v>
      </c>
      <c r="F2723" s="1" t="s">
        <v>53</v>
      </c>
      <c r="G2723" s="1" t="s">
        <v>17</v>
      </c>
      <c r="H2723" s="1" t="s">
        <v>18</v>
      </c>
      <c r="I2723" s="3">
        <f>+2250143880638</f>
        <v>2250143880638</v>
      </c>
      <c r="J2723" s="3">
        <f>+2250708191328</f>
        <v>2250708191328</v>
      </c>
      <c r="K2723" s="1" t="s">
        <v>19</v>
      </c>
      <c r="L2723" s="4" t="s">
        <v>9282</v>
      </c>
    </row>
    <row r="2724">
      <c r="A2724" s="1" t="s">
        <v>12</v>
      </c>
      <c r="B2724" s="1" t="s">
        <v>9283</v>
      </c>
      <c r="C2724" s="1" t="s">
        <v>9191</v>
      </c>
      <c r="D2724" s="1" t="s">
        <v>9284</v>
      </c>
      <c r="E2724" s="2">
        <v>37257.0</v>
      </c>
      <c r="F2724" s="1" t="s">
        <v>62</v>
      </c>
      <c r="G2724" s="1" t="s">
        <v>17</v>
      </c>
      <c r="H2724" s="1" t="s">
        <v>18</v>
      </c>
      <c r="I2724" s="3">
        <f>+2250779311877</f>
        <v>2250779311877</v>
      </c>
      <c r="J2724" s="3">
        <f>+2250708766635</f>
        <v>2250708766635</v>
      </c>
      <c r="K2724" s="1" t="s">
        <v>19</v>
      </c>
      <c r="L2724" s="4" t="s">
        <v>9285</v>
      </c>
    </row>
    <row r="2725">
      <c r="A2725" s="1" t="s">
        <v>12</v>
      </c>
      <c r="B2725" s="1" t="s">
        <v>9286</v>
      </c>
      <c r="C2725" s="1" t="s">
        <v>9191</v>
      </c>
      <c r="D2725" s="1" t="s">
        <v>9287</v>
      </c>
      <c r="E2725" s="2">
        <v>37027.0</v>
      </c>
      <c r="F2725" s="1" t="s">
        <v>53</v>
      </c>
      <c r="G2725" s="1" t="s">
        <v>25</v>
      </c>
      <c r="H2725" s="1" t="s">
        <v>18</v>
      </c>
      <c r="I2725" s="3">
        <f>+2250141353420</f>
        <v>2250141353420</v>
      </c>
      <c r="J2725" s="3">
        <f>+2250707566079</f>
        <v>2250707566079</v>
      </c>
      <c r="K2725" s="1" t="s">
        <v>19</v>
      </c>
      <c r="L2725" s="4" t="s">
        <v>9288</v>
      </c>
    </row>
    <row r="2726">
      <c r="A2726" s="1" t="s">
        <v>12</v>
      </c>
      <c r="B2726" s="1" t="s">
        <v>9289</v>
      </c>
      <c r="C2726" s="1" t="s">
        <v>9191</v>
      </c>
      <c r="D2726" s="1" t="s">
        <v>9290</v>
      </c>
      <c r="E2726" s="2">
        <v>36734.0</v>
      </c>
      <c r="F2726" s="1" t="s">
        <v>138</v>
      </c>
      <c r="G2726" s="1" t="s">
        <v>31</v>
      </c>
      <c r="H2726" s="1" t="s">
        <v>32</v>
      </c>
      <c r="I2726" s="3">
        <f>+2250748944681</f>
        <v>2250748944681</v>
      </c>
      <c r="J2726" s="3">
        <f>+2250101051274</f>
        <v>2250101051274</v>
      </c>
      <c r="K2726" s="1" t="s">
        <v>19</v>
      </c>
      <c r="L2726" s="4" t="s">
        <v>9291</v>
      </c>
    </row>
    <row r="2727">
      <c r="A2727" s="1" t="s">
        <v>12</v>
      </c>
      <c r="B2727" s="1" t="s">
        <v>9292</v>
      </c>
      <c r="C2727" s="1" t="s">
        <v>9191</v>
      </c>
      <c r="D2727" s="1" t="s">
        <v>9293</v>
      </c>
      <c r="E2727" s="5">
        <v>36870.0</v>
      </c>
      <c r="F2727" s="1" t="s">
        <v>351</v>
      </c>
      <c r="G2727" s="1" t="s">
        <v>82</v>
      </c>
      <c r="H2727" s="1" t="s">
        <v>18</v>
      </c>
      <c r="I2727" s="3">
        <f>+2250702448802</f>
        <v>2250702448802</v>
      </c>
      <c r="J2727" s="3">
        <f>+2250747144439</f>
        <v>2250747144439</v>
      </c>
      <c r="K2727" s="1" t="s">
        <v>19</v>
      </c>
      <c r="L2727" s="4" t="s">
        <v>9294</v>
      </c>
    </row>
    <row r="2728">
      <c r="A2728" s="1" t="s">
        <v>12</v>
      </c>
      <c r="B2728" s="1" t="s">
        <v>9295</v>
      </c>
      <c r="C2728" s="1" t="s">
        <v>9191</v>
      </c>
      <c r="D2728" s="1" t="s">
        <v>9296</v>
      </c>
      <c r="E2728" s="2">
        <v>38085.0</v>
      </c>
      <c r="F2728" s="1" t="s">
        <v>87</v>
      </c>
      <c r="G2728" s="1" t="s">
        <v>76</v>
      </c>
      <c r="H2728" s="1" t="s">
        <v>32</v>
      </c>
      <c r="I2728" s="3">
        <f>+2250768726569</f>
        <v>2250768726569</v>
      </c>
      <c r="J2728" s="3">
        <f>+2250505945912</f>
        <v>2250505945912</v>
      </c>
      <c r="K2728" s="1" t="s">
        <v>19</v>
      </c>
      <c r="L2728" s="4" t="s">
        <v>9297</v>
      </c>
    </row>
    <row r="2729">
      <c r="A2729" s="1" t="s">
        <v>12</v>
      </c>
      <c r="B2729" s="1" t="s">
        <v>9298</v>
      </c>
      <c r="C2729" s="1" t="s">
        <v>9191</v>
      </c>
      <c r="D2729" s="1" t="s">
        <v>9299</v>
      </c>
      <c r="E2729" s="5">
        <v>38273.0</v>
      </c>
      <c r="F2729" s="1" t="s">
        <v>62</v>
      </c>
      <c r="G2729" s="1" t="s">
        <v>17</v>
      </c>
      <c r="H2729" s="1" t="s">
        <v>18</v>
      </c>
      <c r="I2729" s="3">
        <f>+2250101063556</f>
        <v>2250101063556</v>
      </c>
      <c r="J2729" s="3">
        <f>+2250707851047</f>
        <v>2250707851047</v>
      </c>
      <c r="K2729" s="1" t="s">
        <v>19</v>
      </c>
      <c r="L2729" s="4" t="s">
        <v>9300</v>
      </c>
    </row>
    <row r="2730">
      <c r="A2730" s="1" t="s">
        <v>12</v>
      </c>
      <c r="B2730" s="1" t="s">
        <v>9301</v>
      </c>
      <c r="C2730" s="1" t="s">
        <v>9191</v>
      </c>
      <c r="D2730" s="1" t="s">
        <v>9302</v>
      </c>
      <c r="E2730" s="2">
        <v>38557.0</v>
      </c>
      <c r="F2730" s="1" t="s">
        <v>16</v>
      </c>
      <c r="G2730" s="1" t="s">
        <v>25</v>
      </c>
      <c r="H2730" s="1" t="s">
        <v>18</v>
      </c>
      <c r="I2730" s="3">
        <f>+2250767483162</f>
        <v>2250767483162</v>
      </c>
      <c r="J2730" s="3">
        <f>+2250707713255</f>
        <v>2250707713255</v>
      </c>
      <c r="K2730" s="1" t="s">
        <v>19</v>
      </c>
      <c r="L2730" s="4" t="s">
        <v>9303</v>
      </c>
    </row>
    <row r="2731">
      <c r="A2731" s="1" t="s">
        <v>12</v>
      </c>
      <c r="B2731" s="1" t="s">
        <v>9304</v>
      </c>
      <c r="C2731" s="1" t="s">
        <v>9191</v>
      </c>
      <c r="D2731" s="1" t="s">
        <v>9305</v>
      </c>
      <c r="E2731" s="2">
        <v>37790.0</v>
      </c>
      <c r="F2731" s="1" t="s">
        <v>16</v>
      </c>
      <c r="G2731" s="1" t="s">
        <v>17</v>
      </c>
      <c r="H2731" s="1" t="s">
        <v>18</v>
      </c>
      <c r="I2731" s="3">
        <f>+2250777297473</f>
        <v>2250777297473</v>
      </c>
      <c r="J2731" s="3">
        <f>+2250707757107</f>
        <v>2250707757107</v>
      </c>
      <c r="K2731" s="1" t="s">
        <v>19</v>
      </c>
      <c r="L2731" s="4" t="s">
        <v>9306</v>
      </c>
    </row>
    <row r="2732">
      <c r="A2732" s="1" t="s">
        <v>12</v>
      </c>
      <c r="B2732" s="1" t="s">
        <v>9307</v>
      </c>
      <c r="C2732" s="1" t="s">
        <v>9191</v>
      </c>
      <c r="D2732" s="1" t="s">
        <v>9308</v>
      </c>
      <c r="E2732" s="5">
        <v>37618.0</v>
      </c>
      <c r="F2732" s="1" t="s">
        <v>62</v>
      </c>
      <c r="G2732" s="1" t="s">
        <v>17</v>
      </c>
      <c r="H2732" s="1" t="s">
        <v>18</v>
      </c>
      <c r="I2732" s="3">
        <f>+2250758605246</f>
        <v>2250758605246</v>
      </c>
      <c r="J2732" s="3">
        <f>+2250707161662</f>
        <v>2250707161662</v>
      </c>
      <c r="K2732" s="1" t="s">
        <v>19</v>
      </c>
      <c r="L2732" s="4" t="s">
        <v>9309</v>
      </c>
    </row>
    <row r="2733">
      <c r="A2733" s="1" t="s">
        <v>12</v>
      </c>
      <c r="B2733" s="1" t="s">
        <v>9310</v>
      </c>
      <c r="C2733" s="1" t="s">
        <v>9191</v>
      </c>
      <c r="D2733" s="1" t="s">
        <v>9311</v>
      </c>
      <c r="E2733" s="2">
        <v>38013.0</v>
      </c>
      <c r="F2733" s="1" t="s">
        <v>53</v>
      </c>
      <c r="G2733" s="1" t="s">
        <v>25</v>
      </c>
      <c r="H2733" s="1" t="s">
        <v>18</v>
      </c>
      <c r="I2733" s="3">
        <f>+2250799424103</f>
        <v>2250799424103</v>
      </c>
      <c r="J2733" s="3">
        <f>+2250759120522</f>
        <v>2250759120522</v>
      </c>
      <c r="K2733" s="1" t="s">
        <v>19</v>
      </c>
      <c r="L2733" s="4" t="s">
        <v>9312</v>
      </c>
    </row>
    <row r="2734">
      <c r="A2734" s="1" t="s">
        <v>12</v>
      </c>
      <c r="B2734" s="1" t="s">
        <v>9313</v>
      </c>
      <c r="C2734" s="1" t="s">
        <v>9191</v>
      </c>
      <c r="D2734" s="1" t="s">
        <v>9314</v>
      </c>
      <c r="E2734" s="2">
        <v>37695.0</v>
      </c>
      <c r="F2734" s="1" t="s">
        <v>155</v>
      </c>
      <c r="G2734" s="1" t="s">
        <v>82</v>
      </c>
      <c r="H2734" s="1" t="s">
        <v>18</v>
      </c>
      <c r="I2734" s="3">
        <f>+2250797769033</f>
        <v>2250797769033</v>
      </c>
      <c r="J2734" s="3">
        <f>+2250555796517</f>
        <v>2250555796517</v>
      </c>
      <c r="K2734" s="1" t="s">
        <v>19</v>
      </c>
      <c r="L2734" s="4" t="s">
        <v>9315</v>
      </c>
    </row>
    <row r="2735">
      <c r="A2735" s="1" t="s">
        <v>12</v>
      </c>
      <c r="B2735" s="1" t="s">
        <v>9316</v>
      </c>
      <c r="C2735" s="1" t="s">
        <v>9191</v>
      </c>
      <c r="D2735" s="1" t="s">
        <v>9317</v>
      </c>
      <c r="E2735" s="2">
        <v>38170.0</v>
      </c>
      <c r="F2735" s="1" t="s">
        <v>16</v>
      </c>
      <c r="G2735" s="1" t="s">
        <v>17</v>
      </c>
      <c r="H2735" s="1" t="s">
        <v>18</v>
      </c>
      <c r="I2735" s="3">
        <f>+2250554681094</f>
        <v>2250554681094</v>
      </c>
      <c r="J2735" s="3">
        <f>+2250707837300</f>
        <v>2250707837300</v>
      </c>
      <c r="K2735" s="1" t="s">
        <v>19</v>
      </c>
      <c r="L2735" s="4" t="s">
        <v>9318</v>
      </c>
    </row>
    <row r="2736">
      <c r="A2736" s="1" t="s">
        <v>12</v>
      </c>
      <c r="B2736" s="1" t="s">
        <v>9319</v>
      </c>
      <c r="C2736" s="1" t="s">
        <v>9191</v>
      </c>
      <c r="D2736" s="1" t="s">
        <v>9320</v>
      </c>
      <c r="E2736" s="2">
        <v>37792.0</v>
      </c>
      <c r="F2736" s="1" t="s">
        <v>92</v>
      </c>
      <c r="G2736" s="1" t="s">
        <v>76</v>
      </c>
      <c r="H2736" s="1" t="s">
        <v>32</v>
      </c>
      <c r="I2736" s="3">
        <f>+2250143204124</f>
        <v>2250143204124</v>
      </c>
      <c r="J2736" s="3">
        <f>+2250777785464</f>
        <v>2250777785464</v>
      </c>
      <c r="K2736" s="1" t="s">
        <v>19</v>
      </c>
      <c r="L2736" s="4" t="s">
        <v>9321</v>
      </c>
    </row>
    <row r="2737">
      <c r="A2737" s="1" t="s">
        <v>12</v>
      </c>
      <c r="B2737" s="1" t="s">
        <v>9322</v>
      </c>
      <c r="C2737" s="1" t="s">
        <v>9191</v>
      </c>
      <c r="D2737" s="1" t="s">
        <v>9323</v>
      </c>
      <c r="E2737" s="2">
        <v>38405.0</v>
      </c>
      <c r="F2737" s="1" t="s">
        <v>62</v>
      </c>
      <c r="G2737" s="1" t="s">
        <v>17</v>
      </c>
      <c r="H2737" s="1" t="s">
        <v>18</v>
      </c>
      <c r="I2737" s="3">
        <f>+2250789833897</f>
        <v>2250789833897</v>
      </c>
      <c r="J2737" s="3">
        <f>+2250506354361</f>
        <v>2250506354361</v>
      </c>
      <c r="K2737" s="1" t="s">
        <v>19</v>
      </c>
      <c r="L2737" s="4" t="s">
        <v>9324</v>
      </c>
    </row>
    <row r="2738">
      <c r="A2738" s="1" t="s">
        <v>12</v>
      </c>
      <c r="B2738" s="1" t="s">
        <v>9325</v>
      </c>
      <c r="C2738" s="1" t="s">
        <v>9191</v>
      </c>
      <c r="D2738" s="1" t="s">
        <v>9326</v>
      </c>
      <c r="E2738" s="2">
        <v>38457.0</v>
      </c>
      <c r="F2738" s="1" t="s">
        <v>138</v>
      </c>
      <c r="G2738" s="1" t="s">
        <v>76</v>
      </c>
      <c r="H2738" s="1" t="s">
        <v>32</v>
      </c>
      <c r="I2738" s="3">
        <f>+2250150434690</f>
        <v>2250150434690</v>
      </c>
      <c r="J2738" s="3">
        <f>+2250101015355</f>
        <v>2250101015355</v>
      </c>
      <c r="K2738" s="1" t="s">
        <v>19</v>
      </c>
      <c r="L2738" s="4" t="s">
        <v>9327</v>
      </c>
    </row>
    <row r="2739">
      <c r="A2739" s="1" t="s">
        <v>12</v>
      </c>
      <c r="B2739" s="1" t="s">
        <v>9328</v>
      </c>
      <c r="C2739" s="1" t="s">
        <v>9191</v>
      </c>
      <c r="D2739" s="1" t="s">
        <v>9329</v>
      </c>
      <c r="E2739" s="2">
        <v>38147.0</v>
      </c>
      <c r="F2739" s="1" t="s">
        <v>16</v>
      </c>
      <c r="G2739" s="1" t="s">
        <v>25</v>
      </c>
      <c r="H2739" s="1" t="s">
        <v>18</v>
      </c>
      <c r="I2739" s="3">
        <f>+2250544959643</f>
        <v>2250544959643</v>
      </c>
      <c r="J2739" s="3">
        <f>+2250709833278</f>
        <v>2250709833278</v>
      </c>
      <c r="K2739" s="1" t="s">
        <v>19</v>
      </c>
      <c r="L2739" s="4" t="s">
        <v>9330</v>
      </c>
    </row>
    <row r="2740">
      <c r="A2740" s="1" t="s">
        <v>12</v>
      </c>
      <c r="B2740" s="1" t="s">
        <v>9331</v>
      </c>
      <c r="C2740" s="1" t="s">
        <v>9191</v>
      </c>
      <c r="D2740" s="1" t="s">
        <v>9332</v>
      </c>
      <c r="E2740" s="2">
        <v>38883.0</v>
      </c>
      <c r="F2740" s="1" t="s">
        <v>416</v>
      </c>
      <c r="G2740" s="1" t="s">
        <v>76</v>
      </c>
      <c r="H2740" s="1" t="s">
        <v>32</v>
      </c>
      <c r="I2740" s="3">
        <f>+2250700189956</f>
        <v>2250700189956</v>
      </c>
      <c r="J2740" s="3">
        <f>+2250707808796</f>
        <v>2250707808796</v>
      </c>
      <c r="K2740" s="1" t="s">
        <v>19</v>
      </c>
      <c r="L2740" s="4" t="s">
        <v>9333</v>
      </c>
    </row>
    <row r="2741">
      <c r="A2741" s="1" t="s">
        <v>12</v>
      </c>
      <c r="B2741" s="1" t="s">
        <v>9334</v>
      </c>
      <c r="C2741" s="1" t="s">
        <v>9335</v>
      </c>
      <c r="D2741" s="1" t="s">
        <v>9336</v>
      </c>
      <c r="E2741" s="2">
        <v>38384.0</v>
      </c>
      <c r="F2741" s="1" t="s">
        <v>167</v>
      </c>
      <c r="G2741" s="1" t="s">
        <v>17</v>
      </c>
      <c r="H2741" s="1" t="s">
        <v>18</v>
      </c>
      <c r="I2741" s="3">
        <f>+2250767647964</f>
        <v>2250767647964</v>
      </c>
      <c r="J2741" s="3">
        <f>+2250747927271</f>
        <v>2250747927271</v>
      </c>
      <c r="K2741" s="1" t="s">
        <v>19</v>
      </c>
      <c r="L2741" s="4" t="s">
        <v>9337</v>
      </c>
    </row>
    <row r="2742">
      <c r="A2742" s="1" t="s">
        <v>12</v>
      </c>
      <c r="B2742" s="1" t="s">
        <v>9338</v>
      </c>
      <c r="C2742" s="1" t="s">
        <v>9335</v>
      </c>
      <c r="D2742" s="1" t="s">
        <v>9339</v>
      </c>
      <c r="E2742" s="5">
        <v>38305.0</v>
      </c>
      <c r="F2742" s="1" t="s">
        <v>570</v>
      </c>
      <c r="G2742" s="1" t="s">
        <v>82</v>
      </c>
      <c r="H2742" s="1" t="s">
        <v>18</v>
      </c>
      <c r="I2742" s="3">
        <f>+2250777096311</f>
        <v>2250777096311</v>
      </c>
      <c r="J2742" s="3">
        <f>+2250707850656</f>
        <v>2250707850656</v>
      </c>
      <c r="K2742" s="1" t="s">
        <v>19</v>
      </c>
      <c r="L2742" s="4" t="s">
        <v>9340</v>
      </c>
    </row>
    <row r="2743">
      <c r="A2743" s="1" t="s">
        <v>12</v>
      </c>
      <c r="B2743" s="1" t="s">
        <v>9341</v>
      </c>
      <c r="C2743" s="1" t="s">
        <v>9335</v>
      </c>
      <c r="D2743" s="1" t="s">
        <v>9342</v>
      </c>
      <c r="E2743" s="5">
        <v>38645.0</v>
      </c>
      <c r="F2743" s="1" t="s">
        <v>30</v>
      </c>
      <c r="G2743" s="1" t="s">
        <v>76</v>
      </c>
      <c r="H2743" s="1" t="s">
        <v>32</v>
      </c>
      <c r="I2743" s="3">
        <f>+2250710676861</f>
        <v>2250710676861</v>
      </c>
      <c r="J2743" s="3">
        <f>+2250708549881</f>
        <v>2250708549881</v>
      </c>
      <c r="K2743" s="1" t="s">
        <v>19</v>
      </c>
      <c r="L2743" s="4" t="s">
        <v>9343</v>
      </c>
    </row>
    <row r="2744">
      <c r="A2744" s="1" t="s">
        <v>12</v>
      </c>
      <c r="B2744" s="1" t="s">
        <v>9344</v>
      </c>
      <c r="C2744" s="1" t="s">
        <v>9335</v>
      </c>
      <c r="D2744" s="1" t="s">
        <v>9345</v>
      </c>
      <c r="E2744" s="2">
        <v>37928.0</v>
      </c>
      <c r="F2744" s="1" t="s">
        <v>167</v>
      </c>
      <c r="G2744" s="1" t="s">
        <v>17</v>
      </c>
      <c r="H2744" s="1" t="s">
        <v>18</v>
      </c>
      <c r="I2744" s="3">
        <f>+2250708627964</f>
        <v>2250708627964</v>
      </c>
      <c r="J2744" s="3">
        <f>+2250554651031</f>
        <v>2250554651031</v>
      </c>
      <c r="K2744" s="1" t="s">
        <v>19</v>
      </c>
      <c r="L2744" s="4" t="s">
        <v>9346</v>
      </c>
    </row>
    <row r="2745">
      <c r="A2745" s="1" t="s">
        <v>12</v>
      </c>
      <c r="B2745" s="1" t="s">
        <v>9347</v>
      </c>
      <c r="C2745" s="1" t="s">
        <v>9348</v>
      </c>
      <c r="D2745" s="1" t="s">
        <v>9349</v>
      </c>
      <c r="E2745" s="2">
        <v>38262.0</v>
      </c>
      <c r="F2745" s="1" t="s">
        <v>92</v>
      </c>
      <c r="G2745" s="1" t="s">
        <v>31</v>
      </c>
      <c r="H2745" s="1" t="s">
        <v>32</v>
      </c>
      <c r="I2745" s="3">
        <f>+2250767448949</f>
        <v>2250767448949</v>
      </c>
      <c r="J2745" s="3">
        <f>+225070933386</f>
        <v>225070933386</v>
      </c>
      <c r="K2745" s="1" t="s">
        <v>19</v>
      </c>
      <c r="L2745" s="4" t="s">
        <v>9350</v>
      </c>
    </row>
    <row r="2746">
      <c r="A2746" s="1" t="s">
        <v>12</v>
      </c>
      <c r="B2746" s="1" t="s">
        <v>9351</v>
      </c>
      <c r="C2746" s="1" t="s">
        <v>9348</v>
      </c>
      <c r="D2746" s="1" t="s">
        <v>9352</v>
      </c>
      <c r="E2746" s="2">
        <v>37531.0</v>
      </c>
      <c r="F2746" s="1" t="s">
        <v>155</v>
      </c>
      <c r="G2746" s="1" t="s">
        <v>76</v>
      </c>
      <c r="H2746" s="1" t="s">
        <v>32</v>
      </c>
      <c r="I2746" s="3">
        <f>+2250170841391</f>
        <v>2250170841391</v>
      </c>
      <c r="J2746" s="3">
        <f>+2250707385520</f>
        <v>2250707385520</v>
      </c>
      <c r="K2746" s="1" t="s">
        <v>19</v>
      </c>
      <c r="L2746" s="4" t="s">
        <v>9353</v>
      </c>
    </row>
    <row r="2747">
      <c r="A2747" s="1" t="s">
        <v>12</v>
      </c>
      <c r="B2747" s="1" t="s">
        <v>9354</v>
      </c>
      <c r="C2747" s="1" t="s">
        <v>9355</v>
      </c>
      <c r="D2747" s="1" t="s">
        <v>9356</v>
      </c>
      <c r="E2747" s="2">
        <v>38100.0</v>
      </c>
      <c r="F2747" s="1" t="s">
        <v>87</v>
      </c>
      <c r="G2747" s="1" t="s">
        <v>76</v>
      </c>
      <c r="H2747" s="1" t="s">
        <v>32</v>
      </c>
      <c r="I2747" s="3">
        <f>+2250787144265</f>
        <v>2250787144265</v>
      </c>
      <c r="J2747" s="3">
        <f>+2250171508981</f>
        <v>2250171508981</v>
      </c>
      <c r="K2747" s="1" t="s">
        <v>19</v>
      </c>
      <c r="L2747" s="4" t="s">
        <v>9357</v>
      </c>
    </row>
    <row r="2748">
      <c r="A2748" s="1" t="s">
        <v>12</v>
      </c>
      <c r="B2748" s="1" t="s">
        <v>9358</v>
      </c>
      <c r="C2748" s="1" t="s">
        <v>9359</v>
      </c>
      <c r="D2748" s="1" t="s">
        <v>9360</v>
      </c>
      <c r="E2748" s="2">
        <v>37421.0</v>
      </c>
      <c r="F2748" s="1" t="s">
        <v>48</v>
      </c>
      <c r="G2748" s="1" t="s">
        <v>76</v>
      </c>
      <c r="H2748" s="1" t="s">
        <v>32</v>
      </c>
      <c r="I2748" s="3">
        <f t="shared" ref="I2748:J2748" si="86">+2250595974339</f>
        <v>2250595974339</v>
      </c>
      <c r="J2748" s="3">
        <f t="shared" si="86"/>
        <v>2250595974339</v>
      </c>
      <c r="K2748" s="1" t="s">
        <v>19</v>
      </c>
      <c r="L2748" s="4" t="s">
        <v>9361</v>
      </c>
    </row>
    <row r="2749">
      <c r="A2749" s="1" t="s">
        <v>12</v>
      </c>
      <c r="B2749" s="1" t="s">
        <v>9362</v>
      </c>
      <c r="C2749" s="1" t="s">
        <v>9363</v>
      </c>
      <c r="D2749" s="1" t="s">
        <v>9364</v>
      </c>
      <c r="E2749" s="2">
        <v>37421.0</v>
      </c>
      <c r="F2749" s="1" t="s">
        <v>87</v>
      </c>
      <c r="G2749" s="1" t="s">
        <v>31</v>
      </c>
      <c r="H2749" s="1" t="s">
        <v>32</v>
      </c>
      <c r="I2749" s="3">
        <f>+2250584876349</f>
        <v>2250584876349</v>
      </c>
      <c r="J2749" s="3">
        <f>+2250758878357</f>
        <v>2250758878357</v>
      </c>
      <c r="K2749" s="1" t="s">
        <v>19</v>
      </c>
      <c r="L2749" s="4" t="s">
        <v>9365</v>
      </c>
    </row>
    <row r="2750">
      <c r="A2750" s="1" t="s">
        <v>12</v>
      </c>
      <c r="B2750" s="1" t="s">
        <v>9366</v>
      </c>
      <c r="C2750" s="1" t="s">
        <v>9367</v>
      </c>
      <c r="D2750" s="1" t="s">
        <v>9368</v>
      </c>
      <c r="E2750" s="2">
        <v>38112.0</v>
      </c>
      <c r="F2750" s="1" t="s">
        <v>62</v>
      </c>
      <c r="G2750" s="1" t="s">
        <v>25</v>
      </c>
      <c r="H2750" s="1" t="s">
        <v>18</v>
      </c>
      <c r="I2750" s="3">
        <f>+2250788046163</f>
        <v>2250788046163</v>
      </c>
      <c r="J2750" s="3">
        <f>+2250709134885</f>
        <v>2250709134885</v>
      </c>
      <c r="K2750" s="1" t="s">
        <v>19</v>
      </c>
      <c r="L2750" s="4" t="s">
        <v>9369</v>
      </c>
    </row>
    <row r="2751">
      <c r="A2751" s="1" t="s">
        <v>12</v>
      </c>
      <c r="B2751" s="1" t="s">
        <v>9370</v>
      </c>
      <c r="C2751" s="1" t="s">
        <v>9371</v>
      </c>
      <c r="D2751" s="1" t="s">
        <v>9372</v>
      </c>
      <c r="E2751" s="2">
        <v>38485.0</v>
      </c>
      <c r="F2751" s="1" t="s">
        <v>155</v>
      </c>
      <c r="G2751" s="1" t="s">
        <v>76</v>
      </c>
      <c r="H2751" s="1" t="s">
        <v>32</v>
      </c>
      <c r="I2751" s="3">
        <f>+2250501390025</f>
        <v>2250501390025</v>
      </c>
      <c r="J2751" s="3">
        <f>+2250707926732</f>
        <v>2250707926732</v>
      </c>
      <c r="K2751" s="1" t="s">
        <v>19</v>
      </c>
      <c r="L2751" s="4" t="s">
        <v>9373</v>
      </c>
    </row>
    <row r="2752">
      <c r="A2752" s="1" t="s">
        <v>12</v>
      </c>
      <c r="B2752" s="1" t="s">
        <v>9374</v>
      </c>
      <c r="C2752" s="1" t="s">
        <v>9375</v>
      </c>
      <c r="D2752" s="1" t="s">
        <v>9376</v>
      </c>
      <c r="E2752" s="2">
        <v>37026.0</v>
      </c>
      <c r="F2752" s="1" t="s">
        <v>351</v>
      </c>
      <c r="G2752" s="1" t="s">
        <v>82</v>
      </c>
      <c r="H2752" s="1" t="s">
        <v>18</v>
      </c>
      <c r="I2752" s="3">
        <f>+2250759610691</f>
        <v>2250759610691</v>
      </c>
      <c r="J2752" s="3">
        <f>+2250777552625</f>
        <v>2250777552625</v>
      </c>
      <c r="K2752" s="1" t="s">
        <v>19</v>
      </c>
      <c r="L2752" s="4" t="s">
        <v>9377</v>
      </c>
    </row>
    <row r="2753">
      <c r="A2753" s="1" t="s">
        <v>12</v>
      </c>
      <c r="B2753" s="1" t="s">
        <v>9378</v>
      </c>
      <c r="C2753" s="1" t="s">
        <v>9375</v>
      </c>
      <c r="D2753" s="1" t="s">
        <v>9379</v>
      </c>
      <c r="E2753" s="5">
        <v>36875.0</v>
      </c>
      <c r="F2753" s="1" t="s">
        <v>155</v>
      </c>
      <c r="G2753" s="1" t="s">
        <v>82</v>
      </c>
      <c r="H2753" s="1" t="s">
        <v>18</v>
      </c>
      <c r="I2753" s="3">
        <f>+2250769535892</f>
        <v>2250769535892</v>
      </c>
      <c r="J2753" s="3">
        <f>+2250505167543</f>
        <v>2250505167543</v>
      </c>
      <c r="K2753" s="1" t="s">
        <v>19</v>
      </c>
      <c r="L2753" s="4" t="s">
        <v>9380</v>
      </c>
    </row>
    <row r="2754">
      <c r="A2754" s="1" t="s">
        <v>12</v>
      </c>
      <c r="B2754" s="1" t="s">
        <v>9381</v>
      </c>
      <c r="C2754" s="1" t="s">
        <v>9382</v>
      </c>
      <c r="D2754" s="1" t="s">
        <v>9383</v>
      </c>
      <c r="E2754" s="2">
        <v>37630.0</v>
      </c>
      <c r="F2754" s="1" t="s">
        <v>16</v>
      </c>
      <c r="G2754" s="1" t="s">
        <v>25</v>
      </c>
      <c r="H2754" s="1" t="s">
        <v>18</v>
      </c>
      <c r="I2754" s="3">
        <f>+2250788169738</f>
        <v>2250788169738</v>
      </c>
      <c r="J2754" s="3">
        <f>+2250709290715</f>
        <v>2250709290715</v>
      </c>
      <c r="K2754" s="1" t="s">
        <v>19</v>
      </c>
      <c r="L2754" s="4" t="s">
        <v>9384</v>
      </c>
    </row>
    <row r="2755">
      <c r="A2755" s="1" t="s">
        <v>12</v>
      </c>
      <c r="B2755" s="1" t="s">
        <v>9385</v>
      </c>
      <c r="C2755" s="1" t="s">
        <v>9386</v>
      </c>
      <c r="D2755" s="1" t="s">
        <v>9387</v>
      </c>
      <c r="E2755" s="5">
        <v>37207.0</v>
      </c>
      <c r="F2755" s="1" t="s">
        <v>24</v>
      </c>
      <c r="G2755" s="1" t="s">
        <v>82</v>
      </c>
      <c r="H2755" s="1" t="s">
        <v>18</v>
      </c>
      <c r="I2755" s="3">
        <f>+2250594632714</f>
        <v>2250594632714</v>
      </c>
      <c r="J2755" s="3">
        <f>+2250747398912</f>
        <v>2250747398912</v>
      </c>
      <c r="K2755" s="1" t="s">
        <v>19</v>
      </c>
      <c r="L2755" s="4" t="s">
        <v>9388</v>
      </c>
    </row>
    <row r="2756">
      <c r="A2756" s="1" t="s">
        <v>12</v>
      </c>
      <c r="B2756" s="1" t="s">
        <v>9389</v>
      </c>
      <c r="C2756" s="1" t="s">
        <v>9386</v>
      </c>
      <c r="D2756" s="1" t="s">
        <v>9390</v>
      </c>
      <c r="E2756" s="2">
        <v>38330.0</v>
      </c>
      <c r="F2756" s="1" t="s">
        <v>62</v>
      </c>
      <c r="G2756" s="1" t="s">
        <v>17</v>
      </c>
      <c r="H2756" s="1" t="s">
        <v>18</v>
      </c>
      <c r="I2756" s="3">
        <f>+2250101664490</f>
        <v>2250101664490</v>
      </c>
      <c r="J2756" s="3">
        <f>+2250747981648</f>
        <v>2250747981648</v>
      </c>
      <c r="K2756" s="1" t="s">
        <v>19</v>
      </c>
      <c r="L2756" s="4" t="s">
        <v>9391</v>
      </c>
    </row>
    <row r="2757">
      <c r="A2757" s="1" t="s">
        <v>12</v>
      </c>
      <c r="B2757" s="1" t="s">
        <v>9392</v>
      </c>
      <c r="C2757" s="1" t="s">
        <v>9386</v>
      </c>
      <c r="D2757" s="1" t="s">
        <v>9393</v>
      </c>
      <c r="E2757" s="2">
        <v>37842.0</v>
      </c>
      <c r="F2757" s="1" t="s">
        <v>155</v>
      </c>
      <c r="G2757" s="1" t="s">
        <v>82</v>
      </c>
      <c r="H2757" s="1" t="s">
        <v>18</v>
      </c>
      <c r="I2757" s="3">
        <f>+2250767650623</f>
        <v>2250767650623</v>
      </c>
      <c r="J2757" s="3">
        <f>+2250709583650</f>
        <v>2250709583650</v>
      </c>
      <c r="K2757" s="1" t="s">
        <v>19</v>
      </c>
      <c r="L2757" s="4" t="s">
        <v>9394</v>
      </c>
    </row>
    <row r="2758">
      <c r="A2758" s="1" t="s">
        <v>12</v>
      </c>
      <c r="B2758" s="1" t="s">
        <v>9395</v>
      </c>
      <c r="C2758" s="1" t="s">
        <v>9386</v>
      </c>
      <c r="D2758" s="1" t="s">
        <v>9396</v>
      </c>
      <c r="E2758" s="2">
        <v>37871.0</v>
      </c>
      <c r="F2758" s="1" t="s">
        <v>138</v>
      </c>
      <c r="G2758" s="1" t="s">
        <v>76</v>
      </c>
      <c r="H2758" s="1" t="s">
        <v>32</v>
      </c>
      <c r="I2758" s="3">
        <f>+2250546299088</f>
        <v>2250546299088</v>
      </c>
      <c r="J2758" s="3">
        <f>+2250101550269</f>
        <v>2250101550269</v>
      </c>
      <c r="K2758" s="1" t="s">
        <v>19</v>
      </c>
      <c r="L2758" s="4" t="s">
        <v>9397</v>
      </c>
    </row>
    <row r="2759">
      <c r="A2759" s="1" t="s">
        <v>12</v>
      </c>
      <c r="B2759" s="1" t="s">
        <v>9398</v>
      </c>
      <c r="C2759" s="1" t="s">
        <v>9399</v>
      </c>
      <c r="D2759" s="1" t="s">
        <v>561</v>
      </c>
      <c r="E2759" s="2">
        <v>38826.0</v>
      </c>
      <c r="F2759" s="1" t="s">
        <v>48</v>
      </c>
      <c r="G2759" s="1" t="s">
        <v>76</v>
      </c>
      <c r="H2759" s="1" t="s">
        <v>32</v>
      </c>
      <c r="I2759" s="3">
        <f>+2250749104882</f>
        <v>2250749104882</v>
      </c>
      <c r="J2759" s="3">
        <f>+2250101725645</f>
        <v>2250101725645</v>
      </c>
      <c r="K2759" s="1" t="s">
        <v>19</v>
      </c>
      <c r="L2759" s="4" t="s">
        <v>9400</v>
      </c>
    </row>
    <row r="2760">
      <c r="A2760" s="1" t="s">
        <v>12</v>
      </c>
      <c r="B2760" s="1" t="s">
        <v>9401</v>
      </c>
      <c r="C2760" s="1" t="s">
        <v>9402</v>
      </c>
      <c r="D2760" s="1" t="s">
        <v>9403</v>
      </c>
      <c r="E2760" s="2">
        <v>37534.0</v>
      </c>
      <c r="F2760" s="1" t="s">
        <v>24</v>
      </c>
      <c r="G2760" s="1" t="s">
        <v>17</v>
      </c>
      <c r="H2760" s="1" t="s">
        <v>18</v>
      </c>
      <c r="I2760" s="3">
        <f>+2250767903316</f>
        <v>2250767903316</v>
      </c>
      <c r="J2760" s="3">
        <f>+2250142753897</f>
        <v>2250142753897</v>
      </c>
      <c r="K2760" s="1" t="s">
        <v>19</v>
      </c>
      <c r="L2760" s="4" t="s">
        <v>9404</v>
      </c>
    </row>
    <row r="2761">
      <c r="A2761" s="1" t="s">
        <v>12</v>
      </c>
      <c r="B2761" s="1" t="s">
        <v>9405</v>
      </c>
      <c r="C2761" s="1" t="s">
        <v>9406</v>
      </c>
      <c r="D2761" s="1" t="s">
        <v>2692</v>
      </c>
      <c r="E2761" s="2">
        <v>37529.0</v>
      </c>
      <c r="F2761" s="1" t="s">
        <v>288</v>
      </c>
      <c r="G2761" s="1" t="s">
        <v>31</v>
      </c>
      <c r="H2761" s="1" t="s">
        <v>32</v>
      </c>
      <c r="I2761" s="3">
        <f>+2250798394933</f>
        <v>2250798394933</v>
      </c>
      <c r="J2761" s="3">
        <f>+2250172775204</f>
        <v>2250172775204</v>
      </c>
      <c r="K2761" s="1" t="s">
        <v>19</v>
      </c>
      <c r="L2761" s="4" t="s">
        <v>9407</v>
      </c>
    </row>
    <row r="2762">
      <c r="A2762" s="1" t="s">
        <v>12</v>
      </c>
      <c r="B2762" s="1" t="s">
        <v>9408</v>
      </c>
      <c r="C2762" s="1" t="s">
        <v>9409</v>
      </c>
      <c r="D2762" s="1" t="s">
        <v>1729</v>
      </c>
      <c r="E2762" s="2">
        <v>36764.0</v>
      </c>
      <c r="F2762" s="1" t="s">
        <v>48</v>
      </c>
      <c r="G2762" s="1" t="s">
        <v>31</v>
      </c>
      <c r="H2762" s="1" t="s">
        <v>32</v>
      </c>
      <c r="I2762" s="3">
        <f>+2250779506829</f>
        <v>2250779506829</v>
      </c>
      <c r="J2762" s="3">
        <f>+2250708216095</f>
        <v>2250708216095</v>
      </c>
      <c r="K2762" s="1" t="s">
        <v>19</v>
      </c>
      <c r="L2762" s="4" t="s">
        <v>9410</v>
      </c>
    </row>
    <row r="2763">
      <c r="A2763" s="1" t="s">
        <v>12</v>
      </c>
      <c r="B2763" s="1" t="s">
        <v>9411</v>
      </c>
      <c r="C2763" s="1" t="s">
        <v>9412</v>
      </c>
      <c r="D2763" s="1" t="s">
        <v>9413</v>
      </c>
      <c r="E2763" s="2">
        <v>37354.0</v>
      </c>
      <c r="F2763" s="1" t="s">
        <v>167</v>
      </c>
      <c r="G2763" s="1" t="s">
        <v>17</v>
      </c>
      <c r="H2763" s="1" t="s">
        <v>18</v>
      </c>
      <c r="I2763" s="3">
        <f>+2250566747036</f>
        <v>2250566747036</v>
      </c>
      <c r="J2763" s="3">
        <f>+2250171098660</f>
        <v>2250171098660</v>
      </c>
      <c r="K2763" s="1" t="s">
        <v>19</v>
      </c>
      <c r="L2763" s="4" t="s">
        <v>9414</v>
      </c>
    </row>
    <row r="2764">
      <c r="A2764" s="1" t="s">
        <v>12</v>
      </c>
      <c r="B2764" s="1" t="s">
        <v>9415</v>
      </c>
      <c r="C2764" s="1" t="s">
        <v>9416</v>
      </c>
      <c r="D2764" s="1" t="s">
        <v>9417</v>
      </c>
      <c r="E2764" s="2">
        <v>37798.0</v>
      </c>
      <c r="F2764" s="1" t="s">
        <v>62</v>
      </c>
      <c r="G2764" s="1" t="s">
        <v>17</v>
      </c>
      <c r="H2764" s="1" t="s">
        <v>18</v>
      </c>
      <c r="I2764" s="3">
        <f>+2250779562876</f>
        <v>2250779562876</v>
      </c>
      <c r="J2764" s="3">
        <f>+2250504110494</f>
        <v>2250504110494</v>
      </c>
      <c r="K2764" s="1" t="s">
        <v>19</v>
      </c>
      <c r="L2764" s="4" t="s">
        <v>9418</v>
      </c>
    </row>
    <row r="2765">
      <c r="A2765" s="1" t="s">
        <v>12</v>
      </c>
      <c r="B2765" s="1" t="s">
        <v>9419</v>
      </c>
      <c r="C2765" s="1" t="s">
        <v>9420</v>
      </c>
      <c r="D2765" s="1" t="s">
        <v>9421</v>
      </c>
      <c r="E2765" s="2">
        <v>37628.0</v>
      </c>
      <c r="F2765" s="1" t="s">
        <v>16</v>
      </c>
      <c r="G2765" s="1" t="s">
        <v>17</v>
      </c>
      <c r="H2765" s="1" t="s">
        <v>18</v>
      </c>
      <c r="I2765" s="3">
        <f>+2250778841935</f>
        <v>2250778841935</v>
      </c>
      <c r="J2765" s="3">
        <f>+2250140756194</f>
        <v>2250140756194</v>
      </c>
      <c r="K2765" s="1" t="s">
        <v>19</v>
      </c>
      <c r="L2765" s="4" t="s">
        <v>9422</v>
      </c>
    </row>
    <row r="2766">
      <c r="A2766" s="1" t="s">
        <v>12</v>
      </c>
      <c r="B2766" s="1" t="s">
        <v>9423</v>
      </c>
      <c r="C2766" s="1" t="s">
        <v>9424</v>
      </c>
      <c r="D2766" s="1" t="s">
        <v>9425</v>
      </c>
      <c r="E2766" s="2">
        <v>37664.0</v>
      </c>
      <c r="F2766" s="1" t="s">
        <v>53</v>
      </c>
      <c r="G2766" s="1" t="s">
        <v>25</v>
      </c>
      <c r="H2766" s="1" t="s">
        <v>18</v>
      </c>
      <c r="I2766" s="3">
        <f>+2250702901439</f>
        <v>2250702901439</v>
      </c>
      <c r="J2766" s="3">
        <f>+2250505332585</f>
        <v>2250505332585</v>
      </c>
      <c r="K2766" s="1" t="s">
        <v>19</v>
      </c>
      <c r="L2766" s="4" t="s">
        <v>9426</v>
      </c>
    </row>
    <row r="2767">
      <c r="A2767" s="1" t="s">
        <v>12</v>
      </c>
      <c r="B2767" s="1" t="s">
        <v>9427</v>
      </c>
      <c r="C2767" s="1" t="s">
        <v>9428</v>
      </c>
      <c r="D2767" s="1" t="s">
        <v>9429</v>
      </c>
      <c r="E2767" s="5">
        <v>37206.0</v>
      </c>
      <c r="F2767" s="1" t="s">
        <v>48</v>
      </c>
      <c r="G2767" s="1" t="s">
        <v>82</v>
      </c>
      <c r="H2767" s="1" t="s">
        <v>18</v>
      </c>
      <c r="I2767" s="3">
        <f>+2250704171503</f>
        <v>2250704171503</v>
      </c>
      <c r="J2767" s="3">
        <f>+2250748043172</f>
        <v>2250748043172</v>
      </c>
      <c r="K2767" s="1" t="s">
        <v>19</v>
      </c>
      <c r="L2767" s="4" t="s">
        <v>9430</v>
      </c>
    </row>
    <row r="2768">
      <c r="A2768" s="1" t="s">
        <v>12</v>
      </c>
      <c r="B2768" s="1" t="s">
        <v>9431</v>
      </c>
      <c r="C2768" s="1" t="s">
        <v>9432</v>
      </c>
      <c r="D2768" s="1" t="s">
        <v>9433</v>
      </c>
      <c r="E2768" s="5">
        <v>37584.0</v>
      </c>
      <c r="F2768" s="1" t="s">
        <v>30</v>
      </c>
      <c r="G2768" s="1" t="s">
        <v>76</v>
      </c>
      <c r="H2768" s="1" t="s">
        <v>32</v>
      </c>
      <c r="I2768" s="3">
        <f>+2250140494672</f>
        <v>2250140494672</v>
      </c>
      <c r="J2768" s="3">
        <f>+2250506250393</f>
        <v>2250506250393</v>
      </c>
      <c r="K2768" s="1" t="s">
        <v>19</v>
      </c>
      <c r="L2768" s="4" t="s">
        <v>9434</v>
      </c>
    </row>
    <row r="2769">
      <c r="A2769" s="1" t="s">
        <v>12</v>
      </c>
      <c r="B2769" s="1" t="s">
        <v>9435</v>
      </c>
      <c r="C2769" s="1" t="s">
        <v>9436</v>
      </c>
      <c r="D2769" s="1" t="s">
        <v>9437</v>
      </c>
      <c r="E2769" s="2">
        <v>38200.0</v>
      </c>
      <c r="F2769" s="1" t="s">
        <v>48</v>
      </c>
      <c r="G2769" s="1" t="s">
        <v>31</v>
      </c>
      <c r="H2769" s="1" t="s">
        <v>32</v>
      </c>
      <c r="I2769" s="3">
        <f>+2250172739911</f>
        <v>2250172739911</v>
      </c>
      <c r="J2769" s="3">
        <f>+2250778186921</f>
        <v>2250778186921</v>
      </c>
      <c r="K2769" s="1" t="s">
        <v>19</v>
      </c>
      <c r="L2769" s="4" t="s">
        <v>9438</v>
      </c>
    </row>
    <row r="2770">
      <c r="A2770" s="1" t="s">
        <v>12</v>
      </c>
      <c r="B2770" s="1" t="s">
        <v>9439</v>
      </c>
      <c r="C2770" s="1" t="s">
        <v>9440</v>
      </c>
      <c r="D2770" s="1" t="s">
        <v>9441</v>
      </c>
      <c r="E2770" s="2">
        <v>36974.0</v>
      </c>
      <c r="F2770" s="1" t="s">
        <v>81</v>
      </c>
      <c r="G2770" s="1" t="s">
        <v>82</v>
      </c>
      <c r="H2770" s="1" t="s">
        <v>18</v>
      </c>
      <c r="I2770" s="3">
        <f>+2250789902811</f>
        <v>2250789902811</v>
      </c>
      <c r="J2770" s="3">
        <f>+2250748303618</f>
        <v>2250748303618</v>
      </c>
      <c r="K2770" s="1" t="s">
        <v>19</v>
      </c>
      <c r="L2770" s="4" t="s">
        <v>9442</v>
      </c>
    </row>
    <row r="2771">
      <c r="A2771" s="1" t="s">
        <v>12</v>
      </c>
      <c r="B2771" s="1" t="s">
        <v>9443</v>
      </c>
      <c r="C2771" s="1" t="s">
        <v>9444</v>
      </c>
      <c r="D2771" s="1" t="s">
        <v>9445</v>
      </c>
      <c r="E2771" s="2">
        <v>37928.0</v>
      </c>
      <c r="F2771" s="1" t="s">
        <v>62</v>
      </c>
      <c r="G2771" s="1" t="s">
        <v>17</v>
      </c>
      <c r="H2771" s="1" t="s">
        <v>18</v>
      </c>
      <c r="I2771" s="3">
        <f>+2250747701237</f>
        <v>2250747701237</v>
      </c>
      <c r="J2771" s="3">
        <f>+2250757676579</f>
        <v>2250757676579</v>
      </c>
      <c r="K2771" s="1" t="s">
        <v>19</v>
      </c>
      <c r="L2771" s="4" t="s">
        <v>9446</v>
      </c>
    </row>
    <row r="2772">
      <c r="A2772" s="1" t="s">
        <v>12</v>
      </c>
      <c r="B2772" s="1" t="s">
        <v>9447</v>
      </c>
      <c r="C2772" s="1" t="s">
        <v>9444</v>
      </c>
      <c r="D2772" s="1" t="s">
        <v>9448</v>
      </c>
      <c r="E2772" s="2">
        <v>37867.0</v>
      </c>
      <c r="F2772" s="1" t="s">
        <v>62</v>
      </c>
      <c r="G2772" s="1" t="s">
        <v>17</v>
      </c>
      <c r="H2772" s="1" t="s">
        <v>18</v>
      </c>
      <c r="I2772" s="3">
        <f>+2250141689614</f>
        <v>2250141689614</v>
      </c>
      <c r="J2772" s="3">
        <f>+2250505921981</f>
        <v>2250505921981</v>
      </c>
      <c r="K2772" s="1" t="s">
        <v>19</v>
      </c>
      <c r="L2772" s="4" t="s">
        <v>9449</v>
      </c>
    </row>
    <row r="2773">
      <c r="A2773" s="1" t="s">
        <v>12</v>
      </c>
      <c r="B2773" s="1" t="s">
        <v>9450</v>
      </c>
      <c r="C2773" s="1" t="s">
        <v>9451</v>
      </c>
      <c r="D2773" s="1" t="s">
        <v>9452</v>
      </c>
      <c r="E2773" s="2">
        <v>36057.0</v>
      </c>
      <c r="F2773" s="1" t="s">
        <v>48</v>
      </c>
      <c r="G2773" s="1" t="s">
        <v>31</v>
      </c>
      <c r="H2773" s="1" t="s">
        <v>32</v>
      </c>
      <c r="I2773" s="3">
        <f>+2250747906384</f>
        <v>2250747906384</v>
      </c>
      <c r="J2773" s="3">
        <f>+2250787157298</f>
        <v>2250787157298</v>
      </c>
      <c r="K2773" s="1" t="s">
        <v>19</v>
      </c>
      <c r="L2773" s="4" t="s">
        <v>9453</v>
      </c>
    </row>
    <row r="2774">
      <c r="A2774" s="1" t="s">
        <v>12</v>
      </c>
      <c r="B2774" s="1" t="s">
        <v>9454</v>
      </c>
      <c r="C2774" s="1" t="s">
        <v>9455</v>
      </c>
      <c r="D2774" s="1" t="s">
        <v>9456</v>
      </c>
      <c r="E2774" s="2">
        <v>37821.0</v>
      </c>
      <c r="F2774" s="1" t="s">
        <v>586</v>
      </c>
      <c r="G2774" s="1" t="s">
        <v>82</v>
      </c>
      <c r="H2774" s="1" t="s">
        <v>18</v>
      </c>
      <c r="I2774" s="3">
        <f>+2250779765998</f>
        <v>2250779765998</v>
      </c>
      <c r="J2774" s="3">
        <f>+2250707666807</f>
        <v>2250707666807</v>
      </c>
      <c r="K2774" s="1" t="s">
        <v>19</v>
      </c>
      <c r="L2774" s="4" t="s">
        <v>9457</v>
      </c>
    </row>
    <row r="2775">
      <c r="A2775" s="1" t="s">
        <v>12</v>
      </c>
      <c r="B2775" s="1" t="s">
        <v>9458</v>
      </c>
      <c r="C2775" s="1" t="s">
        <v>9459</v>
      </c>
      <c r="D2775" s="1" t="s">
        <v>9460</v>
      </c>
      <c r="E2775" s="2">
        <v>37333.0</v>
      </c>
      <c r="F2775" s="1" t="s">
        <v>155</v>
      </c>
      <c r="G2775" s="1" t="s">
        <v>82</v>
      </c>
      <c r="H2775" s="1" t="s">
        <v>18</v>
      </c>
      <c r="I2775" s="3">
        <f>+2250101209978</f>
        <v>2250101209978</v>
      </c>
      <c r="J2775" s="3">
        <f>+2250769286456</f>
        <v>2250769286456</v>
      </c>
      <c r="K2775" s="1" t="s">
        <v>19</v>
      </c>
      <c r="L2775" s="4" t="s">
        <v>9461</v>
      </c>
    </row>
    <row r="2776">
      <c r="A2776" s="1" t="s">
        <v>12</v>
      </c>
      <c r="B2776" s="1" t="s">
        <v>9462</v>
      </c>
      <c r="C2776" s="1" t="s">
        <v>9463</v>
      </c>
      <c r="D2776" s="1" t="s">
        <v>9464</v>
      </c>
      <c r="E2776" s="2">
        <v>37080.0</v>
      </c>
      <c r="F2776" s="1" t="s">
        <v>24</v>
      </c>
      <c r="G2776" s="1" t="s">
        <v>17</v>
      </c>
      <c r="H2776" s="1" t="s">
        <v>18</v>
      </c>
      <c r="I2776" s="3">
        <f>+2250546986844</f>
        <v>2250546986844</v>
      </c>
      <c r="J2776" s="3">
        <f>+2250707947149</f>
        <v>2250707947149</v>
      </c>
      <c r="K2776" s="1" t="s">
        <v>19</v>
      </c>
      <c r="L2776" s="4" t="s">
        <v>9465</v>
      </c>
    </row>
    <row r="2777">
      <c r="A2777" s="1" t="s">
        <v>12</v>
      </c>
      <c r="B2777" s="1" t="s">
        <v>9466</v>
      </c>
      <c r="C2777" s="1" t="s">
        <v>9467</v>
      </c>
      <c r="D2777" s="1" t="s">
        <v>9468</v>
      </c>
      <c r="E2777" s="2">
        <v>38175.0</v>
      </c>
      <c r="F2777" s="1" t="s">
        <v>16</v>
      </c>
      <c r="G2777" s="1" t="s">
        <v>82</v>
      </c>
      <c r="H2777" s="1" t="s">
        <v>18</v>
      </c>
      <c r="I2777" s="3">
        <f>+2250142112270</f>
        <v>2250142112270</v>
      </c>
      <c r="J2777" s="3">
        <f>+2250566045239</f>
        <v>2250566045239</v>
      </c>
      <c r="K2777" s="1" t="s">
        <v>19</v>
      </c>
      <c r="L2777" s="4" t="s">
        <v>9469</v>
      </c>
    </row>
    <row r="2778">
      <c r="A2778" s="1" t="s">
        <v>12</v>
      </c>
      <c r="B2778" s="1" t="s">
        <v>9470</v>
      </c>
      <c r="C2778" s="1" t="s">
        <v>9471</v>
      </c>
      <c r="D2778" s="1" t="s">
        <v>9472</v>
      </c>
      <c r="E2778" s="2">
        <v>38003.0</v>
      </c>
      <c r="F2778" s="1" t="s">
        <v>24</v>
      </c>
      <c r="G2778" s="1" t="s">
        <v>17</v>
      </c>
      <c r="H2778" s="1" t="s">
        <v>18</v>
      </c>
      <c r="I2778" s="3">
        <f>+2250546280751</f>
        <v>2250546280751</v>
      </c>
      <c r="J2778" s="3">
        <f>+2250153723686</f>
        <v>2250153723686</v>
      </c>
      <c r="K2778" s="1" t="s">
        <v>19</v>
      </c>
      <c r="L2778" s="4" t="s">
        <v>9473</v>
      </c>
    </row>
    <row r="2779">
      <c r="A2779" s="1" t="s">
        <v>12</v>
      </c>
      <c r="B2779" s="1" t="s">
        <v>9474</v>
      </c>
      <c r="C2779" s="1" t="s">
        <v>9475</v>
      </c>
      <c r="D2779" s="1" t="s">
        <v>9476</v>
      </c>
      <c r="E2779" s="5">
        <v>36153.0</v>
      </c>
      <c r="F2779" s="1" t="s">
        <v>75</v>
      </c>
      <c r="G2779" s="1" t="s">
        <v>76</v>
      </c>
      <c r="H2779" s="1" t="s">
        <v>32</v>
      </c>
      <c r="I2779" s="3">
        <f>+2250566400588</f>
        <v>2250566400588</v>
      </c>
      <c r="J2779" s="3">
        <f>+2250505764431</f>
        <v>2250505764431</v>
      </c>
      <c r="K2779" s="1" t="s">
        <v>19</v>
      </c>
      <c r="L2779" s="4" t="s">
        <v>9477</v>
      </c>
    </row>
    <row r="2780">
      <c r="A2780" s="1" t="s">
        <v>12</v>
      </c>
      <c r="B2780" s="1" t="s">
        <v>9478</v>
      </c>
      <c r="C2780" s="1" t="s">
        <v>9479</v>
      </c>
      <c r="D2780" s="1" t="s">
        <v>9480</v>
      </c>
      <c r="E2780" s="2">
        <v>36526.0</v>
      </c>
      <c r="F2780" s="1" t="s">
        <v>167</v>
      </c>
      <c r="G2780" s="1" t="s">
        <v>17</v>
      </c>
      <c r="H2780" s="1" t="s">
        <v>18</v>
      </c>
      <c r="I2780" s="3">
        <f t="shared" ref="I2780:J2780" si="87">+2250797790114</f>
        <v>2250797790114</v>
      </c>
      <c r="J2780" s="3">
        <f t="shared" si="87"/>
        <v>2250797790114</v>
      </c>
      <c r="K2780" s="1" t="s">
        <v>19</v>
      </c>
      <c r="L2780" s="4" t="s">
        <v>9481</v>
      </c>
    </row>
    <row r="2781">
      <c r="A2781" s="1" t="s">
        <v>12</v>
      </c>
      <c r="B2781" s="1" t="s">
        <v>9482</v>
      </c>
      <c r="C2781" s="1" t="s">
        <v>9483</v>
      </c>
      <c r="D2781" s="1" t="s">
        <v>9484</v>
      </c>
      <c r="E2781" s="2">
        <v>37330.0</v>
      </c>
      <c r="F2781" s="1" t="s">
        <v>48</v>
      </c>
      <c r="G2781" s="1" t="s">
        <v>31</v>
      </c>
      <c r="H2781" s="1" t="s">
        <v>32</v>
      </c>
      <c r="I2781" s="3">
        <f>+2250787079310</f>
        <v>2250787079310</v>
      </c>
      <c r="J2781" s="3">
        <f>+2250707766420</f>
        <v>2250707766420</v>
      </c>
      <c r="K2781" s="1" t="s">
        <v>19</v>
      </c>
      <c r="L2781" s="4" t="s">
        <v>9485</v>
      </c>
    </row>
    <row r="2782">
      <c r="A2782" s="1" t="s">
        <v>12</v>
      </c>
      <c r="B2782" s="1" t="s">
        <v>9486</v>
      </c>
      <c r="C2782" s="1" t="s">
        <v>9487</v>
      </c>
      <c r="D2782" s="1" t="s">
        <v>9488</v>
      </c>
      <c r="E2782" s="5">
        <v>37244.0</v>
      </c>
      <c r="F2782" s="1" t="s">
        <v>16</v>
      </c>
      <c r="G2782" s="1" t="s">
        <v>25</v>
      </c>
      <c r="H2782" s="1" t="s">
        <v>18</v>
      </c>
      <c r="I2782" s="3">
        <f>+2250103834204</f>
        <v>2250103834204</v>
      </c>
      <c r="J2782" s="3">
        <f>+2250789030832</f>
        <v>2250789030832</v>
      </c>
      <c r="K2782" s="1" t="s">
        <v>19</v>
      </c>
      <c r="L2782" s="4" t="s">
        <v>9489</v>
      </c>
    </row>
    <row r="2783">
      <c r="A2783" s="1" t="s">
        <v>12</v>
      </c>
      <c r="B2783" s="1" t="s">
        <v>9490</v>
      </c>
      <c r="C2783" s="1" t="s">
        <v>9491</v>
      </c>
      <c r="D2783" s="1" t="s">
        <v>9492</v>
      </c>
      <c r="E2783" s="2">
        <v>38869.0</v>
      </c>
      <c r="F2783" s="1" t="s">
        <v>101</v>
      </c>
      <c r="G2783" s="1" t="s">
        <v>76</v>
      </c>
      <c r="H2783" s="1" t="s">
        <v>32</v>
      </c>
      <c r="I2783" s="3">
        <f>+2250779787407</f>
        <v>2250779787407</v>
      </c>
      <c r="J2783" s="3">
        <f>+2250101105626</f>
        <v>2250101105626</v>
      </c>
      <c r="K2783" s="1" t="s">
        <v>19</v>
      </c>
      <c r="L2783" s="4" t="s">
        <v>9493</v>
      </c>
    </row>
    <row r="2784">
      <c r="A2784" s="1" t="s">
        <v>12</v>
      </c>
      <c r="B2784" s="1" t="s">
        <v>9494</v>
      </c>
      <c r="C2784" s="1" t="s">
        <v>9495</v>
      </c>
      <c r="D2784" s="1" t="s">
        <v>9496</v>
      </c>
      <c r="E2784" s="2">
        <v>38084.0</v>
      </c>
      <c r="F2784" s="1" t="s">
        <v>30</v>
      </c>
      <c r="G2784" s="1" t="s">
        <v>31</v>
      </c>
      <c r="H2784" s="1" t="s">
        <v>32</v>
      </c>
      <c r="I2784" s="3">
        <f>+2250140675683</f>
        <v>2250140675683</v>
      </c>
      <c r="J2784" s="3">
        <f>+2250103385840</f>
        <v>2250103385840</v>
      </c>
      <c r="K2784" s="1" t="s">
        <v>19</v>
      </c>
      <c r="L2784" s="4" t="s">
        <v>9497</v>
      </c>
    </row>
    <row r="2785">
      <c r="A2785" s="1" t="s">
        <v>12</v>
      </c>
      <c r="B2785" s="1" t="s">
        <v>9498</v>
      </c>
      <c r="C2785" s="1" t="s">
        <v>9499</v>
      </c>
      <c r="D2785" s="1" t="s">
        <v>9500</v>
      </c>
      <c r="E2785" s="5">
        <v>37208.0</v>
      </c>
      <c r="F2785" s="1" t="s">
        <v>24</v>
      </c>
      <c r="G2785" s="1" t="s">
        <v>17</v>
      </c>
      <c r="H2785" s="1" t="s">
        <v>18</v>
      </c>
      <c r="I2785" s="3">
        <f>+2250141616785</f>
        <v>2250141616785</v>
      </c>
      <c r="J2785" s="3">
        <f>+2250103706718</f>
        <v>2250103706718</v>
      </c>
      <c r="K2785" s="1" t="s">
        <v>19</v>
      </c>
      <c r="L2785" s="4" t="s">
        <v>9501</v>
      </c>
    </row>
    <row r="2786">
      <c r="A2786" s="1" t="s">
        <v>12</v>
      </c>
      <c r="B2786" s="1" t="s">
        <v>9502</v>
      </c>
      <c r="C2786" s="1" t="s">
        <v>9499</v>
      </c>
      <c r="D2786" s="1" t="s">
        <v>9503</v>
      </c>
      <c r="E2786" s="2">
        <v>38553.0</v>
      </c>
      <c r="F2786" s="1" t="s">
        <v>92</v>
      </c>
      <c r="G2786" s="1" t="s">
        <v>76</v>
      </c>
      <c r="H2786" s="1" t="s">
        <v>32</v>
      </c>
      <c r="I2786" s="3">
        <f>+2250777835478</f>
        <v>2250777835478</v>
      </c>
      <c r="J2786" s="3">
        <f>+2250707410567</f>
        <v>2250707410567</v>
      </c>
      <c r="K2786" s="1" t="s">
        <v>19</v>
      </c>
      <c r="L2786" s="4" t="s">
        <v>9504</v>
      </c>
    </row>
    <row r="2787">
      <c r="A2787" s="1" t="s">
        <v>12</v>
      </c>
      <c r="B2787" s="1" t="s">
        <v>9505</v>
      </c>
      <c r="C2787" s="1" t="s">
        <v>9506</v>
      </c>
      <c r="D2787" s="1" t="s">
        <v>9507</v>
      </c>
      <c r="E2787" s="2">
        <v>36719.0</v>
      </c>
      <c r="F2787" s="1" t="s">
        <v>48</v>
      </c>
      <c r="G2787" s="1" t="s">
        <v>76</v>
      </c>
      <c r="H2787" s="1" t="s">
        <v>32</v>
      </c>
      <c r="I2787" s="3">
        <f>+2250576223991</f>
        <v>2250576223991</v>
      </c>
      <c r="J2787" s="3">
        <f>+2250708609728</f>
        <v>2250708609728</v>
      </c>
      <c r="K2787" s="1" t="s">
        <v>19</v>
      </c>
      <c r="L2787" s="4" t="s">
        <v>9508</v>
      </c>
    </row>
    <row r="2788">
      <c r="A2788" s="1" t="s">
        <v>12</v>
      </c>
      <c r="B2788" s="1" t="s">
        <v>9509</v>
      </c>
      <c r="C2788" s="1" t="s">
        <v>9506</v>
      </c>
      <c r="D2788" s="1" t="s">
        <v>9510</v>
      </c>
      <c r="E2788" s="2">
        <v>39276.0</v>
      </c>
      <c r="F2788" s="1" t="s">
        <v>62</v>
      </c>
      <c r="G2788" s="1" t="s">
        <v>25</v>
      </c>
      <c r="H2788" s="1" t="s">
        <v>18</v>
      </c>
      <c r="I2788" s="3">
        <f>+2250503669602</f>
        <v>2250503669602</v>
      </c>
      <c r="J2788" s="3">
        <f>+2250708199759</f>
        <v>2250708199759</v>
      </c>
      <c r="K2788" s="1" t="s">
        <v>19</v>
      </c>
      <c r="L2788" s="4" t="s">
        <v>9511</v>
      </c>
    </row>
    <row r="2789">
      <c r="A2789" s="1" t="s">
        <v>12</v>
      </c>
      <c r="B2789" s="1" t="s">
        <v>9512</v>
      </c>
      <c r="C2789" s="1" t="s">
        <v>9513</v>
      </c>
      <c r="D2789" s="1" t="s">
        <v>9514</v>
      </c>
      <c r="E2789" s="2">
        <v>36434.0</v>
      </c>
      <c r="F2789" s="1" t="s">
        <v>351</v>
      </c>
      <c r="G2789" s="1" t="s">
        <v>25</v>
      </c>
      <c r="H2789" s="1" t="s">
        <v>18</v>
      </c>
      <c r="I2789" s="3">
        <f>+2250172406578</f>
        <v>2250172406578</v>
      </c>
      <c r="J2789" s="3">
        <f>+2256972159982</f>
        <v>2256972159982</v>
      </c>
      <c r="K2789" s="1" t="s">
        <v>19</v>
      </c>
      <c r="L2789" s="4" t="s">
        <v>9515</v>
      </c>
    </row>
    <row r="2790">
      <c r="A2790" s="1" t="s">
        <v>12</v>
      </c>
      <c r="B2790" s="1" t="s">
        <v>9516</v>
      </c>
      <c r="C2790" s="1" t="s">
        <v>9517</v>
      </c>
      <c r="D2790" s="1" t="s">
        <v>9518</v>
      </c>
      <c r="E2790" s="5">
        <v>38713.0</v>
      </c>
      <c r="F2790" s="1" t="s">
        <v>30</v>
      </c>
      <c r="G2790" s="1" t="s">
        <v>76</v>
      </c>
      <c r="H2790" s="1" t="s">
        <v>32</v>
      </c>
      <c r="I2790" s="3">
        <f>+2250778626958</f>
        <v>2250778626958</v>
      </c>
      <c r="J2790" s="3">
        <f>+2250506307818</f>
        <v>2250506307818</v>
      </c>
      <c r="K2790" s="1" t="s">
        <v>19</v>
      </c>
      <c r="L2790" s="4" t="s">
        <v>9519</v>
      </c>
    </row>
    <row r="2791">
      <c r="A2791" s="1" t="s">
        <v>12</v>
      </c>
      <c r="B2791" s="1" t="s">
        <v>9520</v>
      </c>
      <c r="C2791" s="1" t="s">
        <v>9521</v>
      </c>
      <c r="D2791" s="1" t="s">
        <v>9522</v>
      </c>
      <c r="E2791" s="5">
        <v>38352.0</v>
      </c>
      <c r="F2791" s="1" t="s">
        <v>92</v>
      </c>
      <c r="G2791" s="1" t="s">
        <v>31</v>
      </c>
      <c r="H2791" s="1" t="s">
        <v>32</v>
      </c>
      <c r="I2791" s="3">
        <f>+2250575327678</f>
        <v>2250575327678</v>
      </c>
      <c r="J2791" s="3">
        <f>+2250505260319</f>
        <v>2250505260319</v>
      </c>
      <c r="K2791" s="1" t="s">
        <v>19</v>
      </c>
      <c r="L2791" s="4" t="s">
        <v>9523</v>
      </c>
    </row>
    <row r="2792">
      <c r="A2792" s="1" t="s">
        <v>12</v>
      </c>
      <c r="B2792" s="1" t="s">
        <v>9524</v>
      </c>
      <c r="C2792" s="1" t="s">
        <v>9525</v>
      </c>
      <c r="D2792" s="1" t="s">
        <v>9526</v>
      </c>
      <c r="E2792" s="2">
        <v>38431.0</v>
      </c>
      <c r="F2792" s="1" t="s">
        <v>16</v>
      </c>
      <c r="G2792" s="1" t="s">
        <v>17</v>
      </c>
      <c r="H2792" s="1" t="s">
        <v>18</v>
      </c>
      <c r="I2792" s="3">
        <f>+2250709496508</f>
        <v>2250709496508</v>
      </c>
      <c r="J2792" s="3">
        <f>+2250789311659</f>
        <v>2250789311659</v>
      </c>
      <c r="K2792" s="1" t="s">
        <v>19</v>
      </c>
      <c r="L2792" s="4" t="s">
        <v>9527</v>
      </c>
    </row>
    <row r="2793">
      <c r="A2793" s="1" t="s">
        <v>12</v>
      </c>
      <c r="B2793" s="1" t="s">
        <v>9528</v>
      </c>
      <c r="C2793" s="1" t="s">
        <v>9529</v>
      </c>
      <c r="D2793" s="1" t="s">
        <v>9530</v>
      </c>
      <c r="E2793" s="2">
        <v>38027.0</v>
      </c>
      <c r="F2793" s="1" t="s">
        <v>48</v>
      </c>
      <c r="G2793" s="1" t="s">
        <v>25</v>
      </c>
      <c r="H2793" s="1" t="s">
        <v>18</v>
      </c>
      <c r="I2793" s="3">
        <f>+2250143417971</f>
        <v>2250143417971</v>
      </c>
      <c r="J2793" s="3">
        <f>+2250707914068</f>
        <v>2250707914068</v>
      </c>
      <c r="K2793" s="1" t="s">
        <v>19</v>
      </c>
      <c r="L2793" s="4" t="s">
        <v>9531</v>
      </c>
    </row>
    <row r="2794">
      <c r="A2794" s="1" t="s">
        <v>12</v>
      </c>
      <c r="B2794" s="1" t="s">
        <v>9532</v>
      </c>
      <c r="C2794" s="1" t="s">
        <v>9533</v>
      </c>
      <c r="D2794" s="1" t="s">
        <v>178</v>
      </c>
      <c r="E2794" s="5">
        <v>36819.0</v>
      </c>
      <c r="F2794" s="1" t="s">
        <v>155</v>
      </c>
      <c r="G2794" s="1" t="s">
        <v>31</v>
      </c>
      <c r="H2794" s="1" t="s">
        <v>32</v>
      </c>
      <c r="I2794" s="3">
        <f>+2250171627594</f>
        <v>2250171627594</v>
      </c>
      <c r="J2794" s="3">
        <f>+2250574745679</f>
        <v>2250574745679</v>
      </c>
      <c r="K2794" s="1" t="s">
        <v>19</v>
      </c>
      <c r="L2794" s="4" t="s">
        <v>9534</v>
      </c>
    </row>
    <row r="2795">
      <c r="A2795" s="1" t="s">
        <v>12</v>
      </c>
      <c r="B2795" s="1" t="s">
        <v>9535</v>
      </c>
      <c r="C2795" s="1" t="s">
        <v>9536</v>
      </c>
      <c r="D2795" s="1" t="s">
        <v>9537</v>
      </c>
      <c r="E2795" s="2">
        <v>36994.0</v>
      </c>
      <c r="F2795" s="1" t="s">
        <v>138</v>
      </c>
      <c r="G2795" s="1" t="s">
        <v>31</v>
      </c>
      <c r="H2795" s="1" t="s">
        <v>32</v>
      </c>
      <c r="I2795" s="3">
        <f>+2250160984056</f>
        <v>2250160984056</v>
      </c>
      <c r="J2795" s="3">
        <f>+2250757365347</f>
        <v>2250757365347</v>
      </c>
      <c r="K2795" s="1" t="s">
        <v>19</v>
      </c>
      <c r="L2795" s="4" t="s">
        <v>9538</v>
      </c>
    </row>
    <row r="2796">
      <c r="A2796" s="1" t="s">
        <v>12</v>
      </c>
      <c r="B2796" s="1" t="s">
        <v>9539</v>
      </c>
      <c r="C2796" s="1" t="s">
        <v>9540</v>
      </c>
      <c r="D2796" s="1" t="s">
        <v>178</v>
      </c>
      <c r="E2796" s="2">
        <v>37276.0</v>
      </c>
      <c r="F2796" s="1" t="s">
        <v>147</v>
      </c>
      <c r="G2796" s="1" t="s">
        <v>82</v>
      </c>
      <c r="H2796" s="1" t="s">
        <v>18</v>
      </c>
      <c r="I2796" s="3">
        <f>+2250779031004</f>
        <v>2250779031004</v>
      </c>
      <c r="J2796" s="3">
        <f>+2250709955521</f>
        <v>2250709955521</v>
      </c>
      <c r="K2796" s="1" t="s">
        <v>19</v>
      </c>
      <c r="L2796" s="4" t="s">
        <v>9541</v>
      </c>
    </row>
    <row r="2797">
      <c r="A2797" s="1" t="s">
        <v>12</v>
      </c>
      <c r="B2797" s="1" t="s">
        <v>9542</v>
      </c>
      <c r="C2797" s="1" t="s">
        <v>9543</v>
      </c>
      <c r="D2797" s="1" t="s">
        <v>9544</v>
      </c>
      <c r="E2797" s="2">
        <v>36566.0</v>
      </c>
      <c r="F2797" s="1" t="s">
        <v>110</v>
      </c>
      <c r="G2797" s="1" t="s">
        <v>38</v>
      </c>
      <c r="H2797" s="1" t="s">
        <v>39</v>
      </c>
      <c r="I2797" s="3">
        <f>+2250768239153</f>
        <v>2250768239153</v>
      </c>
      <c r="J2797" s="3">
        <f>+2250748401049</f>
        <v>2250748401049</v>
      </c>
      <c r="K2797" s="1" t="s">
        <v>19</v>
      </c>
      <c r="L2797" s="4" t="s">
        <v>9545</v>
      </c>
    </row>
    <row r="2798">
      <c r="A2798" s="1" t="s">
        <v>12</v>
      </c>
      <c r="B2798" s="1" t="s">
        <v>9546</v>
      </c>
      <c r="C2798" s="1" t="s">
        <v>9543</v>
      </c>
      <c r="D2798" s="1" t="s">
        <v>9547</v>
      </c>
      <c r="E2798" s="2">
        <v>37036.0</v>
      </c>
      <c r="F2798" s="1" t="s">
        <v>155</v>
      </c>
      <c r="G2798" s="1" t="s">
        <v>82</v>
      </c>
      <c r="H2798" s="1" t="s">
        <v>18</v>
      </c>
      <c r="I2798" s="3">
        <f>+2250757374930</f>
        <v>2250757374930</v>
      </c>
      <c r="J2798" s="3">
        <f>+2250707546837</f>
        <v>2250707546837</v>
      </c>
      <c r="K2798" s="1" t="s">
        <v>19</v>
      </c>
      <c r="L2798" s="4" t="s">
        <v>9548</v>
      </c>
    </row>
    <row r="2799">
      <c r="A2799" s="1" t="s">
        <v>12</v>
      </c>
      <c r="B2799" s="1" t="s">
        <v>9549</v>
      </c>
      <c r="C2799" s="1" t="s">
        <v>9550</v>
      </c>
      <c r="D2799" s="1" t="s">
        <v>9551</v>
      </c>
      <c r="E2799" s="2">
        <v>37388.0</v>
      </c>
      <c r="F2799" s="1" t="s">
        <v>16</v>
      </c>
      <c r="G2799" s="1" t="s">
        <v>25</v>
      </c>
      <c r="H2799" s="1" t="s">
        <v>18</v>
      </c>
      <c r="I2799" s="3">
        <f>+2250767876036</f>
        <v>2250767876036</v>
      </c>
      <c r="J2799" s="3">
        <f>+2250707093887</f>
        <v>2250707093887</v>
      </c>
      <c r="K2799" s="1" t="s">
        <v>19</v>
      </c>
      <c r="L2799" s="4" t="s">
        <v>9552</v>
      </c>
    </row>
    <row r="2800">
      <c r="A2800" s="1" t="s">
        <v>12</v>
      </c>
      <c r="B2800" s="1" t="s">
        <v>9553</v>
      </c>
      <c r="C2800" s="1" t="s">
        <v>9550</v>
      </c>
      <c r="D2800" s="1" t="s">
        <v>9554</v>
      </c>
      <c r="E2800" s="5">
        <v>38318.0</v>
      </c>
      <c r="F2800" s="1" t="s">
        <v>30</v>
      </c>
      <c r="G2800" s="1" t="s">
        <v>76</v>
      </c>
      <c r="H2800" s="1" t="s">
        <v>32</v>
      </c>
      <c r="I2800" s="3">
        <f>+2250546568092</f>
        <v>2250546568092</v>
      </c>
      <c r="J2800" s="3">
        <f>+2250153369119</f>
        <v>2250153369119</v>
      </c>
      <c r="K2800" s="1" t="s">
        <v>19</v>
      </c>
      <c r="L2800" s="4" t="s">
        <v>9555</v>
      </c>
    </row>
    <row r="2801">
      <c r="A2801" s="1" t="s">
        <v>12</v>
      </c>
      <c r="B2801" s="1" t="s">
        <v>9556</v>
      </c>
      <c r="C2801" s="1" t="s">
        <v>9550</v>
      </c>
      <c r="D2801" s="1" t="s">
        <v>9557</v>
      </c>
      <c r="E2801" s="2">
        <v>38476.0</v>
      </c>
      <c r="F2801" s="1" t="s">
        <v>48</v>
      </c>
      <c r="G2801" s="1" t="s">
        <v>76</v>
      </c>
      <c r="H2801" s="1" t="s">
        <v>32</v>
      </c>
      <c r="I2801" s="3">
        <f>+2250586301122</f>
        <v>2250586301122</v>
      </c>
      <c r="J2801" s="3">
        <f>+2250707170722</f>
        <v>2250707170722</v>
      </c>
      <c r="K2801" s="1" t="s">
        <v>19</v>
      </c>
      <c r="L2801" s="4" t="s">
        <v>9558</v>
      </c>
    </row>
    <row r="2802">
      <c r="A2802" s="1" t="s">
        <v>12</v>
      </c>
      <c r="B2802" s="1" t="s">
        <v>9559</v>
      </c>
      <c r="C2802" s="1" t="s">
        <v>9560</v>
      </c>
      <c r="D2802" s="1" t="s">
        <v>9561</v>
      </c>
      <c r="E2802" s="2">
        <v>38387.0</v>
      </c>
      <c r="F2802" s="1" t="s">
        <v>16</v>
      </c>
      <c r="G2802" s="1" t="s">
        <v>25</v>
      </c>
      <c r="H2802" s="1" t="s">
        <v>18</v>
      </c>
      <c r="I2802" s="3">
        <f>+2250778581938</f>
        <v>2250778581938</v>
      </c>
      <c r="J2802" s="3">
        <f>+2250749524502</f>
        <v>2250749524502</v>
      </c>
      <c r="K2802" s="1" t="s">
        <v>19</v>
      </c>
      <c r="L2802" s="4" t="s">
        <v>9562</v>
      </c>
    </row>
    <row r="2803">
      <c r="A2803" s="1" t="s">
        <v>12</v>
      </c>
      <c r="B2803" s="1" t="s">
        <v>9563</v>
      </c>
      <c r="C2803" s="1" t="s">
        <v>9564</v>
      </c>
      <c r="D2803" s="1" t="s">
        <v>9565</v>
      </c>
      <c r="E2803" s="2">
        <v>37504.0</v>
      </c>
      <c r="F2803" s="1" t="s">
        <v>155</v>
      </c>
      <c r="G2803" s="1" t="s">
        <v>82</v>
      </c>
      <c r="H2803" s="1" t="s">
        <v>18</v>
      </c>
      <c r="I2803" s="3">
        <f>+2250758405350</f>
        <v>2250758405350</v>
      </c>
      <c r="J2803" s="3">
        <f>+2250161240359</f>
        <v>2250161240359</v>
      </c>
      <c r="K2803" s="1" t="s">
        <v>19</v>
      </c>
      <c r="L2803" s="4" t="s">
        <v>9566</v>
      </c>
    </row>
    <row r="2804">
      <c r="A2804" s="1" t="s">
        <v>12</v>
      </c>
      <c r="B2804" s="1" t="s">
        <v>9567</v>
      </c>
      <c r="C2804" s="1" t="s">
        <v>9568</v>
      </c>
      <c r="D2804" s="1" t="s">
        <v>9569</v>
      </c>
      <c r="E2804" s="2">
        <v>37851.0</v>
      </c>
      <c r="F2804" s="1" t="s">
        <v>53</v>
      </c>
      <c r="G2804" s="1" t="s">
        <v>25</v>
      </c>
      <c r="H2804" s="1" t="s">
        <v>18</v>
      </c>
      <c r="I2804" s="3">
        <f>+2250142462890</f>
        <v>2250142462890</v>
      </c>
      <c r="J2804" s="3">
        <f>+2250101631804</f>
        <v>2250101631804</v>
      </c>
      <c r="K2804" s="1" t="s">
        <v>19</v>
      </c>
      <c r="L2804" s="4" t="s">
        <v>9570</v>
      </c>
    </row>
    <row r="2805">
      <c r="A2805" s="1" t="s">
        <v>12</v>
      </c>
      <c r="B2805" s="1" t="s">
        <v>9571</v>
      </c>
      <c r="C2805" s="1" t="s">
        <v>9568</v>
      </c>
      <c r="D2805" s="1" t="s">
        <v>9572</v>
      </c>
      <c r="E2805" s="5">
        <v>37610.0</v>
      </c>
      <c r="F2805" s="1" t="s">
        <v>16</v>
      </c>
      <c r="G2805" s="1" t="s">
        <v>82</v>
      </c>
      <c r="H2805" s="1" t="s">
        <v>18</v>
      </c>
      <c r="I2805" s="3">
        <f>+2250706840230</f>
        <v>2250706840230</v>
      </c>
      <c r="J2805" s="3">
        <f>+2250747729940</f>
        <v>2250747729940</v>
      </c>
      <c r="K2805" s="1" t="s">
        <v>19</v>
      </c>
      <c r="L2805" s="4" t="s">
        <v>9573</v>
      </c>
    </row>
    <row r="2806">
      <c r="A2806" s="1" t="s">
        <v>12</v>
      </c>
      <c r="B2806" s="1" t="s">
        <v>9574</v>
      </c>
      <c r="C2806" s="1" t="s">
        <v>9575</v>
      </c>
      <c r="D2806" s="1" t="s">
        <v>9576</v>
      </c>
      <c r="E2806" s="2">
        <v>37154.0</v>
      </c>
      <c r="F2806" s="1" t="s">
        <v>16</v>
      </c>
      <c r="G2806" s="1" t="s">
        <v>17</v>
      </c>
      <c r="H2806" s="1" t="s">
        <v>18</v>
      </c>
      <c r="I2806" s="3">
        <f>+2250787076612</f>
        <v>2250787076612</v>
      </c>
      <c r="J2806" s="3">
        <f>+2250707288913</f>
        <v>2250707288913</v>
      </c>
      <c r="K2806" s="1" t="s">
        <v>19</v>
      </c>
      <c r="L2806" s="4" t="s">
        <v>9577</v>
      </c>
    </row>
    <row r="2807">
      <c r="A2807" s="1" t="s">
        <v>12</v>
      </c>
      <c r="B2807" s="1" t="s">
        <v>9578</v>
      </c>
      <c r="C2807" s="1" t="s">
        <v>9575</v>
      </c>
      <c r="D2807" s="1" t="s">
        <v>9579</v>
      </c>
      <c r="E2807" s="5">
        <v>38290.0</v>
      </c>
      <c r="F2807" s="1" t="s">
        <v>53</v>
      </c>
      <c r="G2807" s="1" t="s">
        <v>25</v>
      </c>
      <c r="H2807" s="1" t="s">
        <v>18</v>
      </c>
      <c r="I2807" s="3">
        <f>+2250500645828</f>
        <v>2250500645828</v>
      </c>
      <c r="J2807" s="3">
        <f>+2250758892459</f>
        <v>2250758892459</v>
      </c>
      <c r="K2807" s="1" t="s">
        <v>19</v>
      </c>
      <c r="L2807" s="4" t="s">
        <v>9580</v>
      </c>
    </row>
    <row r="2808">
      <c r="A2808" s="1" t="s">
        <v>12</v>
      </c>
      <c r="B2808" s="1" t="s">
        <v>9581</v>
      </c>
      <c r="C2808" s="1" t="s">
        <v>9582</v>
      </c>
      <c r="D2808" s="1" t="s">
        <v>9583</v>
      </c>
      <c r="E2808" s="2">
        <v>36710.0</v>
      </c>
      <c r="F2808" s="1" t="s">
        <v>110</v>
      </c>
      <c r="G2808" s="1" t="s">
        <v>82</v>
      </c>
      <c r="H2808" s="1" t="s">
        <v>18</v>
      </c>
      <c r="I2808" s="3">
        <f>+2250703227592</f>
        <v>2250703227592</v>
      </c>
      <c r="J2808" s="3">
        <f>+2250748054905</f>
        <v>2250748054905</v>
      </c>
      <c r="K2808" s="1" t="s">
        <v>19</v>
      </c>
      <c r="L2808" s="4" t="s">
        <v>9584</v>
      </c>
    </row>
    <row r="2809">
      <c r="A2809" s="1" t="s">
        <v>12</v>
      </c>
      <c r="B2809" s="1" t="s">
        <v>9585</v>
      </c>
      <c r="C2809" s="1" t="s">
        <v>9586</v>
      </c>
      <c r="D2809" s="1" t="s">
        <v>9587</v>
      </c>
      <c r="E2809" s="2">
        <v>37830.0</v>
      </c>
      <c r="F2809" s="1" t="s">
        <v>62</v>
      </c>
      <c r="G2809" s="1" t="s">
        <v>17</v>
      </c>
      <c r="H2809" s="1" t="s">
        <v>18</v>
      </c>
      <c r="I2809" s="3">
        <f>+2250749341519</f>
        <v>2250749341519</v>
      </c>
      <c r="J2809" s="3">
        <f>+2250707535215</f>
        <v>2250707535215</v>
      </c>
      <c r="K2809" s="1" t="s">
        <v>19</v>
      </c>
      <c r="L2809" s="4" t="s">
        <v>9588</v>
      </c>
    </row>
    <row r="2810">
      <c r="A2810" s="1" t="s">
        <v>12</v>
      </c>
      <c r="B2810" s="1" t="s">
        <v>9589</v>
      </c>
      <c r="C2810" s="1" t="s">
        <v>9590</v>
      </c>
      <c r="D2810" s="1" t="s">
        <v>9591</v>
      </c>
      <c r="E2810" s="2">
        <v>37314.0</v>
      </c>
      <c r="F2810" s="1" t="s">
        <v>155</v>
      </c>
      <c r="G2810" s="1" t="s">
        <v>76</v>
      </c>
      <c r="H2810" s="1" t="s">
        <v>32</v>
      </c>
      <c r="I2810" s="3">
        <f>+2250152528950</f>
        <v>2250152528950</v>
      </c>
      <c r="J2810" s="3">
        <f>+2250152132023</f>
        <v>2250152132023</v>
      </c>
      <c r="K2810" s="1" t="s">
        <v>19</v>
      </c>
      <c r="L2810" s="4" t="s">
        <v>9592</v>
      </c>
    </row>
    <row r="2811">
      <c r="A2811" s="1" t="s">
        <v>12</v>
      </c>
      <c r="B2811" s="1" t="s">
        <v>9593</v>
      </c>
      <c r="C2811" s="1" t="s">
        <v>9594</v>
      </c>
      <c r="D2811" s="1" t="s">
        <v>9595</v>
      </c>
      <c r="E2811" s="2">
        <v>37367.0</v>
      </c>
      <c r="F2811" s="1" t="s">
        <v>101</v>
      </c>
      <c r="G2811" s="1" t="s">
        <v>31</v>
      </c>
      <c r="H2811" s="1" t="s">
        <v>32</v>
      </c>
      <c r="I2811" s="3">
        <f>+2250160931840</f>
        <v>2250160931840</v>
      </c>
      <c r="J2811" s="3">
        <f>+2250757318031</f>
        <v>2250757318031</v>
      </c>
      <c r="K2811" s="1" t="s">
        <v>19</v>
      </c>
      <c r="L2811" s="4" t="s">
        <v>9596</v>
      </c>
    </row>
    <row r="2812">
      <c r="A2812" s="1" t="s">
        <v>12</v>
      </c>
      <c r="B2812" s="1" t="s">
        <v>9597</v>
      </c>
      <c r="C2812" s="1" t="s">
        <v>9594</v>
      </c>
      <c r="D2812" s="1" t="s">
        <v>9598</v>
      </c>
      <c r="E2812" s="2">
        <v>38204.0</v>
      </c>
      <c r="F2812" s="1" t="s">
        <v>48</v>
      </c>
      <c r="G2812" s="1" t="s">
        <v>76</v>
      </c>
      <c r="H2812" s="1" t="s">
        <v>32</v>
      </c>
      <c r="I2812" s="3">
        <f>+2250150255403</f>
        <v>2250150255403</v>
      </c>
      <c r="J2812" s="3">
        <f>+2250707563181</f>
        <v>2250707563181</v>
      </c>
      <c r="K2812" s="1" t="s">
        <v>19</v>
      </c>
      <c r="L2812" s="4" t="s">
        <v>9599</v>
      </c>
    </row>
    <row r="2813">
      <c r="A2813" s="1" t="s">
        <v>12</v>
      </c>
      <c r="B2813" s="1" t="s">
        <v>9600</v>
      </c>
      <c r="C2813" s="1" t="s">
        <v>9594</v>
      </c>
      <c r="D2813" s="1" t="s">
        <v>9601</v>
      </c>
      <c r="E2813" s="2">
        <v>36030.0</v>
      </c>
      <c r="F2813" s="1" t="s">
        <v>16</v>
      </c>
      <c r="G2813" s="1" t="s">
        <v>17</v>
      </c>
      <c r="H2813" s="1" t="s">
        <v>18</v>
      </c>
      <c r="I2813" s="3">
        <f>+2250769582512</f>
        <v>2250769582512</v>
      </c>
      <c r="J2813" s="3">
        <f>+2250747323482</f>
        <v>2250747323482</v>
      </c>
      <c r="K2813" s="1" t="s">
        <v>19</v>
      </c>
      <c r="L2813" s="4" t="s">
        <v>9602</v>
      </c>
    </row>
    <row r="2814">
      <c r="A2814" s="1" t="s">
        <v>12</v>
      </c>
      <c r="B2814" s="1" t="s">
        <v>9603</v>
      </c>
      <c r="C2814" s="1" t="s">
        <v>9604</v>
      </c>
      <c r="D2814" s="1" t="s">
        <v>9605</v>
      </c>
      <c r="E2814" s="2">
        <v>38928.0</v>
      </c>
      <c r="F2814" s="1" t="s">
        <v>92</v>
      </c>
      <c r="G2814" s="1" t="s">
        <v>76</v>
      </c>
      <c r="H2814" s="1" t="s">
        <v>32</v>
      </c>
      <c r="I2814" s="3">
        <f>+2250564714922</f>
        <v>2250564714922</v>
      </c>
      <c r="J2814" s="3">
        <f>+2250151050609</f>
        <v>2250151050609</v>
      </c>
      <c r="K2814" s="1" t="s">
        <v>19</v>
      </c>
      <c r="L2814" s="4" t="s">
        <v>9606</v>
      </c>
    </row>
    <row r="2815">
      <c r="A2815" s="1" t="s">
        <v>12</v>
      </c>
      <c r="B2815" s="1" t="s">
        <v>9607</v>
      </c>
      <c r="C2815" s="1" t="s">
        <v>9608</v>
      </c>
      <c r="D2815" s="1" t="s">
        <v>178</v>
      </c>
      <c r="E2815" s="5">
        <v>38305.0</v>
      </c>
      <c r="F2815" s="1" t="s">
        <v>30</v>
      </c>
      <c r="G2815" s="1" t="s">
        <v>76</v>
      </c>
      <c r="H2815" s="1" t="s">
        <v>32</v>
      </c>
      <c r="I2815" s="3">
        <f>+2250769905946</f>
        <v>2250769905946</v>
      </c>
      <c r="J2815" s="3">
        <f>+2250707534300</f>
        <v>2250707534300</v>
      </c>
      <c r="K2815" s="1" t="s">
        <v>19</v>
      </c>
      <c r="L2815" s="4" t="s">
        <v>9609</v>
      </c>
    </row>
    <row r="2816">
      <c r="A2816" s="1" t="s">
        <v>12</v>
      </c>
      <c r="B2816" s="1" t="s">
        <v>9610</v>
      </c>
      <c r="C2816" s="1" t="s">
        <v>9611</v>
      </c>
      <c r="D2816" s="1" t="s">
        <v>9612</v>
      </c>
      <c r="E2816" s="2">
        <v>36701.0</v>
      </c>
      <c r="F2816" s="1" t="s">
        <v>62</v>
      </c>
      <c r="G2816" s="1" t="s">
        <v>17</v>
      </c>
      <c r="H2816" s="1" t="s">
        <v>18</v>
      </c>
      <c r="I2816" s="3">
        <f>+2250767341014</f>
        <v>2250767341014</v>
      </c>
      <c r="J2816" s="3">
        <f>+2250507638454</f>
        <v>2250507638454</v>
      </c>
      <c r="K2816" s="1" t="s">
        <v>19</v>
      </c>
      <c r="L2816" s="4" t="s">
        <v>9613</v>
      </c>
    </row>
    <row r="2817">
      <c r="A2817" s="1" t="s">
        <v>12</v>
      </c>
      <c r="B2817" s="1" t="s">
        <v>9614</v>
      </c>
      <c r="C2817" s="1" t="s">
        <v>9615</v>
      </c>
      <c r="D2817" s="1" t="s">
        <v>9616</v>
      </c>
      <c r="E2817" s="2">
        <v>37481.0</v>
      </c>
      <c r="F2817" s="1" t="s">
        <v>16</v>
      </c>
      <c r="G2817" s="1" t="s">
        <v>25</v>
      </c>
      <c r="H2817" s="1" t="s">
        <v>18</v>
      </c>
      <c r="I2817" s="3">
        <f>+2250778931537</f>
        <v>2250778931537</v>
      </c>
      <c r="J2817" s="3">
        <f>+2250708270124</f>
        <v>2250708270124</v>
      </c>
      <c r="K2817" s="1" t="s">
        <v>19</v>
      </c>
      <c r="L2817" s="4" t="s">
        <v>9617</v>
      </c>
    </row>
    <row r="2818">
      <c r="A2818" s="1" t="s">
        <v>12</v>
      </c>
      <c r="B2818" s="1" t="s">
        <v>9618</v>
      </c>
      <c r="C2818" s="1" t="s">
        <v>9619</v>
      </c>
      <c r="D2818" s="1" t="s">
        <v>9620</v>
      </c>
      <c r="E2818" s="2">
        <v>35568.0</v>
      </c>
      <c r="F2818" s="1" t="s">
        <v>342</v>
      </c>
      <c r="G2818" s="1" t="s">
        <v>82</v>
      </c>
      <c r="H2818" s="1" t="s">
        <v>18</v>
      </c>
      <c r="I2818" s="3">
        <f>+2250701959933</f>
        <v>2250701959933</v>
      </c>
      <c r="J2818" s="3">
        <f>+2250707608373</f>
        <v>2250707608373</v>
      </c>
      <c r="K2818" s="1" t="s">
        <v>19</v>
      </c>
      <c r="L2818" s="4" t="s">
        <v>9621</v>
      </c>
    </row>
    <row r="2819">
      <c r="A2819" s="1" t="s">
        <v>12</v>
      </c>
      <c r="B2819" s="1" t="s">
        <v>9622</v>
      </c>
      <c r="C2819" s="1" t="s">
        <v>9623</v>
      </c>
      <c r="D2819" s="1" t="s">
        <v>9624</v>
      </c>
      <c r="E2819" s="2">
        <v>37166.0</v>
      </c>
      <c r="F2819" s="1" t="s">
        <v>16</v>
      </c>
      <c r="G2819" s="1" t="s">
        <v>82</v>
      </c>
      <c r="H2819" s="1" t="s">
        <v>18</v>
      </c>
      <c r="I2819" s="3">
        <f>+2250768348040</f>
        <v>2250768348040</v>
      </c>
      <c r="J2819" s="3">
        <f>+2250544695049</f>
        <v>2250544695049</v>
      </c>
      <c r="K2819" s="1" t="s">
        <v>19</v>
      </c>
      <c r="L2819" s="4" t="s">
        <v>9625</v>
      </c>
    </row>
    <row r="2820">
      <c r="A2820" s="1" t="s">
        <v>12</v>
      </c>
      <c r="B2820" s="1" t="s">
        <v>9626</v>
      </c>
      <c r="C2820" s="1" t="s">
        <v>9627</v>
      </c>
      <c r="D2820" s="1" t="s">
        <v>9628</v>
      </c>
      <c r="E2820" s="5">
        <v>38706.0</v>
      </c>
      <c r="F2820" s="1" t="s">
        <v>155</v>
      </c>
      <c r="G2820" s="1" t="s">
        <v>31</v>
      </c>
      <c r="H2820" s="1" t="s">
        <v>32</v>
      </c>
      <c r="I2820" s="3">
        <f>+2250152973599</f>
        <v>2250152973599</v>
      </c>
      <c r="J2820" s="3">
        <f>+2250749351949</f>
        <v>2250749351949</v>
      </c>
      <c r="K2820" s="1" t="s">
        <v>19</v>
      </c>
      <c r="L2820" s="4" t="s">
        <v>9629</v>
      </c>
    </row>
    <row r="2821">
      <c r="A2821" s="1" t="s">
        <v>12</v>
      </c>
      <c r="B2821" s="1" t="s">
        <v>9630</v>
      </c>
      <c r="C2821" s="1" t="s">
        <v>9627</v>
      </c>
      <c r="D2821" s="1" t="s">
        <v>9631</v>
      </c>
      <c r="E2821" s="2">
        <v>38362.0</v>
      </c>
      <c r="F2821" s="1" t="s">
        <v>53</v>
      </c>
      <c r="G2821" s="1" t="s">
        <v>25</v>
      </c>
      <c r="H2821" s="1" t="s">
        <v>18</v>
      </c>
      <c r="I2821" s="3">
        <f>+2250161437514</f>
        <v>2250161437514</v>
      </c>
      <c r="J2821" s="3">
        <f>+2250759133945</f>
        <v>2250759133945</v>
      </c>
      <c r="K2821" s="1" t="s">
        <v>19</v>
      </c>
      <c r="L2821" s="4" t="s">
        <v>9632</v>
      </c>
    </row>
    <row r="2822">
      <c r="A2822" s="1" t="s">
        <v>12</v>
      </c>
      <c r="B2822" s="1" t="s">
        <v>9633</v>
      </c>
      <c r="C2822" s="1" t="s">
        <v>9634</v>
      </c>
      <c r="D2822" s="1" t="s">
        <v>9635</v>
      </c>
      <c r="E2822" s="2">
        <v>37117.0</v>
      </c>
      <c r="F2822" s="1" t="s">
        <v>62</v>
      </c>
      <c r="G2822" s="1" t="s">
        <v>25</v>
      </c>
      <c r="H2822" s="1" t="s">
        <v>18</v>
      </c>
      <c r="I2822" s="3">
        <f>+2250758322172</f>
        <v>2250758322172</v>
      </c>
      <c r="J2822" s="3">
        <f>+2250757049304</f>
        <v>2250757049304</v>
      </c>
      <c r="K2822" s="1" t="s">
        <v>19</v>
      </c>
      <c r="L2822" s="4" t="s">
        <v>9636</v>
      </c>
    </row>
    <row r="2823">
      <c r="A2823" s="1" t="s">
        <v>12</v>
      </c>
      <c r="B2823" s="1" t="s">
        <v>9637</v>
      </c>
      <c r="C2823" s="1" t="s">
        <v>9638</v>
      </c>
      <c r="D2823" s="1" t="s">
        <v>9639</v>
      </c>
      <c r="E2823" s="2">
        <v>37070.0</v>
      </c>
      <c r="F2823" s="1" t="s">
        <v>138</v>
      </c>
      <c r="G2823" s="1" t="s">
        <v>25</v>
      </c>
      <c r="H2823" s="1" t="s">
        <v>18</v>
      </c>
      <c r="I2823" s="3">
        <f>+2250701842733</f>
        <v>2250701842733</v>
      </c>
      <c r="J2823" s="3">
        <f>+2250707109476</f>
        <v>2250707109476</v>
      </c>
      <c r="K2823" s="1" t="s">
        <v>19</v>
      </c>
      <c r="L2823" s="4" t="s">
        <v>9640</v>
      </c>
    </row>
    <row r="2824">
      <c r="A2824" s="1" t="s">
        <v>12</v>
      </c>
      <c r="B2824" s="1" t="s">
        <v>9641</v>
      </c>
      <c r="C2824" s="1" t="s">
        <v>9638</v>
      </c>
      <c r="D2824" s="1" t="s">
        <v>9642</v>
      </c>
      <c r="E2824" s="2">
        <v>37370.0</v>
      </c>
      <c r="F2824" s="1" t="s">
        <v>62</v>
      </c>
      <c r="G2824" s="1" t="s">
        <v>17</v>
      </c>
      <c r="H2824" s="1" t="s">
        <v>18</v>
      </c>
      <c r="I2824" s="3">
        <f>+2250143053954</f>
        <v>2250143053954</v>
      </c>
      <c r="J2824" s="3">
        <f>+2250709662840</f>
        <v>2250709662840</v>
      </c>
      <c r="K2824" s="1" t="s">
        <v>19</v>
      </c>
      <c r="L2824" s="4" t="s">
        <v>9643</v>
      </c>
    </row>
    <row r="2825">
      <c r="A2825" s="1" t="s">
        <v>12</v>
      </c>
      <c r="B2825" s="1" t="s">
        <v>9644</v>
      </c>
      <c r="C2825" s="1" t="s">
        <v>9645</v>
      </c>
      <c r="D2825" s="1" t="s">
        <v>9646</v>
      </c>
      <c r="E2825" s="2">
        <v>37330.0</v>
      </c>
      <c r="F2825" s="1" t="s">
        <v>75</v>
      </c>
      <c r="G2825" s="1" t="s">
        <v>31</v>
      </c>
      <c r="H2825" s="1" t="s">
        <v>32</v>
      </c>
      <c r="I2825" s="3">
        <f>+2250789377822</f>
        <v>2250789377822</v>
      </c>
      <c r="J2825" s="3">
        <f>+2250707139367</f>
        <v>2250707139367</v>
      </c>
      <c r="K2825" s="1" t="s">
        <v>19</v>
      </c>
      <c r="L2825" s="4" t="s">
        <v>9647</v>
      </c>
    </row>
    <row r="2826">
      <c r="A2826" s="1" t="s">
        <v>12</v>
      </c>
      <c r="B2826" s="1" t="s">
        <v>9648</v>
      </c>
      <c r="C2826" s="1" t="s">
        <v>9649</v>
      </c>
      <c r="D2826" s="1" t="s">
        <v>9650</v>
      </c>
      <c r="E2826" s="2">
        <v>37268.0</v>
      </c>
      <c r="F2826" s="1" t="s">
        <v>155</v>
      </c>
      <c r="G2826" s="1" t="s">
        <v>82</v>
      </c>
      <c r="H2826" s="1" t="s">
        <v>18</v>
      </c>
      <c r="I2826" s="3">
        <f>+2250596497787</f>
        <v>2250596497787</v>
      </c>
      <c r="J2826" s="3">
        <f>+2250707876026</f>
        <v>2250707876026</v>
      </c>
      <c r="K2826" s="1" t="s">
        <v>19</v>
      </c>
      <c r="L2826" s="4" t="s">
        <v>9651</v>
      </c>
    </row>
    <row r="2827">
      <c r="A2827" s="1" t="s">
        <v>12</v>
      </c>
      <c r="B2827" s="1" t="s">
        <v>9652</v>
      </c>
      <c r="C2827" s="1" t="s">
        <v>9653</v>
      </c>
      <c r="D2827" s="1" t="s">
        <v>9654</v>
      </c>
      <c r="E2827" s="2">
        <v>38018.0</v>
      </c>
      <c r="F2827" s="1" t="s">
        <v>53</v>
      </c>
      <c r="G2827" s="1" t="s">
        <v>25</v>
      </c>
      <c r="H2827" s="1" t="s">
        <v>18</v>
      </c>
      <c r="I2827" s="3">
        <f>+2250576873944</f>
        <v>2250576873944</v>
      </c>
      <c r="J2827" s="3">
        <f>+2250707631918</f>
        <v>2250707631918</v>
      </c>
      <c r="K2827" s="1" t="s">
        <v>19</v>
      </c>
      <c r="L2827" s="4" t="s">
        <v>9655</v>
      </c>
    </row>
    <row r="2828">
      <c r="A2828" s="1" t="s">
        <v>12</v>
      </c>
      <c r="B2828" s="1" t="s">
        <v>9656</v>
      </c>
      <c r="C2828" s="1" t="s">
        <v>9657</v>
      </c>
      <c r="D2828" s="1" t="s">
        <v>9658</v>
      </c>
      <c r="E2828" s="2">
        <v>36019.0</v>
      </c>
      <c r="F2828" s="1" t="s">
        <v>155</v>
      </c>
      <c r="G2828" s="1" t="s">
        <v>76</v>
      </c>
      <c r="H2828" s="1" t="s">
        <v>32</v>
      </c>
      <c r="I2828" s="3">
        <f>+2250585472857</f>
        <v>2250585472857</v>
      </c>
      <c r="J2828" s="3">
        <f>+2250103473544</f>
        <v>2250103473544</v>
      </c>
      <c r="K2828" s="1" t="s">
        <v>19</v>
      </c>
      <c r="L2828" s="4" t="s">
        <v>9659</v>
      </c>
    </row>
    <row r="2829">
      <c r="A2829" s="1" t="s">
        <v>12</v>
      </c>
      <c r="B2829" s="1" t="s">
        <v>9660</v>
      </c>
      <c r="C2829" s="1" t="s">
        <v>9661</v>
      </c>
      <c r="D2829" s="1" t="s">
        <v>9662</v>
      </c>
      <c r="E2829" s="2">
        <v>38392.0</v>
      </c>
      <c r="F2829" s="1" t="s">
        <v>16</v>
      </c>
      <c r="G2829" s="1" t="s">
        <v>17</v>
      </c>
      <c r="H2829" s="1" t="s">
        <v>18</v>
      </c>
      <c r="I2829" s="3">
        <f>+2250101897299</f>
        <v>2250101897299</v>
      </c>
      <c r="J2829" s="3">
        <f>+2250757578375</f>
        <v>2250757578375</v>
      </c>
      <c r="K2829" s="1" t="s">
        <v>19</v>
      </c>
      <c r="L2829" s="4" t="s">
        <v>9663</v>
      </c>
    </row>
    <row r="2830">
      <c r="A2830" s="1" t="s">
        <v>12</v>
      </c>
      <c r="B2830" s="1" t="s">
        <v>9664</v>
      </c>
      <c r="C2830" s="1" t="s">
        <v>9665</v>
      </c>
      <c r="D2830" s="1" t="s">
        <v>9666</v>
      </c>
      <c r="E2830" s="5">
        <v>38291.0</v>
      </c>
      <c r="F2830" s="1" t="s">
        <v>48</v>
      </c>
      <c r="G2830" s="1" t="s">
        <v>76</v>
      </c>
      <c r="H2830" s="1" t="s">
        <v>32</v>
      </c>
      <c r="I2830" s="3">
        <f>+2250170358501</f>
        <v>2250170358501</v>
      </c>
      <c r="J2830" s="3">
        <f>+2250748289454</f>
        <v>2250748289454</v>
      </c>
      <c r="K2830" s="1" t="s">
        <v>19</v>
      </c>
      <c r="L2830" s="4" t="s">
        <v>9667</v>
      </c>
    </row>
    <row r="2831">
      <c r="A2831" s="1" t="s">
        <v>12</v>
      </c>
      <c r="B2831" s="1" t="s">
        <v>9668</v>
      </c>
      <c r="C2831" s="1" t="s">
        <v>9669</v>
      </c>
      <c r="D2831" s="1" t="s">
        <v>9670</v>
      </c>
      <c r="E2831" s="5">
        <v>37574.0</v>
      </c>
      <c r="F2831" s="1" t="s">
        <v>147</v>
      </c>
      <c r="G2831" s="1" t="s">
        <v>17</v>
      </c>
      <c r="H2831" s="1" t="s">
        <v>18</v>
      </c>
      <c r="I2831" s="3">
        <f>+2250564189671</f>
        <v>2250564189671</v>
      </c>
      <c r="J2831" s="3">
        <f>+2250141813069</f>
        <v>2250141813069</v>
      </c>
      <c r="K2831" s="1" t="s">
        <v>19</v>
      </c>
      <c r="L2831" s="4" t="s">
        <v>9671</v>
      </c>
    </row>
    <row r="2832">
      <c r="A2832" s="1" t="s">
        <v>12</v>
      </c>
      <c r="B2832" s="1" t="s">
        <v>9672</v>
      </c>
      <c r="C2832" s="1" t="s">
        <v>9669</v>
      </c>
      <c r="D2832" s="1" t="s">
        <v>9673</v>
      </c>
      <c r="E2832" s="2">
        <v>38249.0</v>
      </c>
      <c r="F2832" s="1" t="s">
        <v>53</v>
      </c>
      <c r="G2832" s="1" t="s">
        <v>17</v>
      </c>
      <c r="H2832" s="1" t="s">
        <v>18</v>
      </c>
      <c r="I2832" s="3">
        <f>+2250152256965</f>
        <v>2250152256965</v>
      </c>
      <c r="J2832" s="3">
        <f>+2250103797394</f>
        <v>2250103797394</v>
      </c>
      <c r="K2832" s="1" t="s">
        <v>19</v>
      </c>
      <c r="L2832" s="4" t="s">
        <v>9674</v>
      </c>
    </row>
    <row r="2833">
      <c r="A2833" s="1" t="s">
        <v>12</v>
      </c>
      <c r="B2833" s="1" t="s">
        <v>9675</v>
      </c>
      <c r="C2833" s="1" t="s">
        <v>9676</v>
      </c>
      <c r="D2833" s="1" t="s">
        <v>9677</v>
      </c>
      <c r="E2833" s="2">
        <v>38620.0</v>
      </c>
      <c r="F2833" s="1" t="s">
        <v>53</v>
      </c>
      <c r="G2833" s="1" t="s">
        <v>25</v>
      </c>
      <c r="H2833" s="1" t="s">
        <v>18</v>
      </c>
      <c r="I2833" s="3">
        <f>+2250546199470</f>
        <v>2250546199470</v>
      </c>
      <c r="J2833" s="3">
        <f>+2250505209277</f>
        <v>2250505209277</v>
      </c>
      <c r="K2833" s="1" t="s">
        <v>19</v>
      </c>
      <c r="L2833" s="4" t="s">
        <v>9678</v>
      </c>
    </row>
    <row r="2834">
      <c r="A2834" s="1" t="s">
        <v>12</v>
      </c>
      <c r="B2834" s="1" t="s">
        <v>9679</v>
      </c>
      <c r="C2834" s="1" t="s">
        <v>9680</v>
      </c>
      <c r="D2834" s="1" t="s">
        <v>9681</v>
      </c>
      <c r="E2834" s="2">
        <v>38494.0</v>
      </c>
      <c r="F2834" s="1" t="s">
        <v>70</v>
      </c>
      <c r="G2834" s="1" t="s">
        <v>76</v>
      </c>
      <c r="H2834" s="1" t="s">
        <v>32</v>
      </c>
      <c r="I2834" s="3">
        <f>+2250554424595</f>
        <v>2250554424595</v>
      </c>
      <c r="J2834" s="3">
        <f>+2250506350755</f>
        <v>2250506350755</v>
      </c>
      <c r="K2834" s="1" t="s">
        <v>19</v>
      </c>
      <c r="L2834" s="4" t="s">
        <v>9682</v>
      </c>
    </row>
    <row r="2835">
      <c r="A2835" s="1" t="s">
        <v>12</v>
      </c>
      <c r="B2835" s="1" t="s">
        <v>9683</v>
      </c>
      <c r="C2835" s="1" t="s">
        <v>9684</v>
      </c>
      <c r="D2835" s="1" t="s">
        <v>9685</v>
      </c>
      <c r="E2835" s="2">
        <v>37320.0</v>
      </c>
      <c r="F2835" s="1" t="s">
        <v>81</v>
      </c>
      <c r="G2835" s="1" t="s">
        <v>82</v>
      </c>
      <c r="H2835" s="1" t="s">
        <v>18</v>
      </c>
      <c r="I2835" s="3">
        <f>+2250141403550</f>
        <v>2250141403550</v>
      </c>
      <c r="J2835" s="3">
        <f>+2250707390539</f>
        <v>2250707390539</v>
      </c>
      <c r="K2835" s="1" t="s">
        <v>19</v>
      </c>
      <c r="L2835" s="4" t="s">
        <v>9686</v>
      </c>
    </row>
    <row r="2836">
      <c r="A2836" s="1" t="s">
        <v>12</v>
      </c>
      <c r="B2836" s="1" t="s">
        <v>9687</v>
      </c>
      <c r="C2836" s="1" t="s">
        <v>9688</v>
      </c>
      <c r="D2836" s="1" t="s">
        <v>9689</v>
      </c>
      <c r="E2836" s="2">
        <v>37159.0</v>
      </c>
      <c r="F2836" s="1" t="s">
        <v>138</v>
      </c>
      <c r="G2836" s="1" t="s">
        <v>76</v>
      </c>
      <c r="H2836" s="1" t="s">
        <v>32</v>
      </c>
      <c r="I2836" s="3">
        <f>+2250757486599</f>
        <v>2250757486599</v>
      </c>
      <c r="J2836" s="3">
        <f>+2250747460777</f>
        <v>2250747460777</v>
      </c>
      <c r="K2836" s="1" t="s">
        <v>19</v>
      </c>
      <c r="L2836" s="4" t="s">
        <v>9690</v>
      </c>
    </row>
    <row r="2837">
      <c r="A2837" s="1" t="s">
        <v>12</v>
      </c>
      <c r="B2837" s="1" t="s">
        <v>9691</v>
      </c>
      <c r="C2837" s="1" t="s">
        <v>9692</v>
      </c>
      <c r="D2837" s="1" t="s">
        <v>9693</v>
      </c>
      <c r="E2837" s="2">
        <v>37705.0</v>
      </c>
      <c r="F2837" s="1" t="s">
        <v>110</v>
      </c>
      <c r="G2837" s="1" t="s">
        <v>82</v>
      </c>
      <c r="H2837" s="1" t="s">
        <v>18</v>
      </c>
      <c r="I2837" s="3">
        <f>+2250564660121</f>
        <v>2250564660121</v>
      </c>
      <c r="J2837" s="3">
        <f>+2250546793797</f>
        <v>2250546793797</v>
      </c>
      <c r="K2837" s="1" t="s">
        <v>19</v>
      </c>
      <c r="L2837" s="4" t="s">
        <v>9694</v>
      </c>
    </row>
    <row r="2838">
      <c r="A2838" s="1" t="s">
        <v>12</v>
      </c>
      <c r="B2838" s="1" t="s">
        <v>9695</v>
      </c>
      <c r="C2838" s="1" t="s">
        <v>9696</v>
      </c>
      <c r="D2838" s="1" t="s">
        <v>9697</v>
      </c>
      <c r="E2838" s="5">
        <v>37193.0</v>
      </c>
      <c r="F2838" s="1" t="s">
        <v>62</v>
      </c>
      <c r="G2838" s="1" t="s">
        <v>17</v>
      </c>
      <c r="H2838" s="1" t="s">
        <v>18</v>
      </c>
      <c r="I2838" s="3">
        <f>+2250502927301</f>
        <v>2250502927301</v>
      </c>
      <c r="J2838" s="3">
        <f>+2250777694098</f>
        <v>2250777694098</v>
      </c>
      <c r="K2838" s="1" t="s">
        <v>19</v>
      </c>
      <c r="L2838" s="4" t="s">
        <v>9698</v>
      </c>
    </row>
    <row r="2839">
      <c r="A2839" s="1" t="s">
        <v>12</v>
      </c>
      <c r="B2839" s="1" t="s">
        <v>9699</v>
      </c>
      <c r="C2839" s="1" t="s">
        <v>9700</v>
      </c>
      <c r="D2839" s="1" t="s">
        <v>9701</v>
      </c>
      <c r="E2839" s="2">
        <v>36039.0</v>
      </c>
      <c r="F2839" s="1" t="s">
        <v>101</v>
      </c>
      <c r="G2839" s="1" t="s">
        <v>31</v>
      </c>
      <c r="H2839" s="1" t="s">
        <v>32</v>
      </c>
      <c r="I2839" s="3">
        <f>+2250151630882</f>
        <v>2250151630882</v>
      </c>
      <c r="J2839" s="3">
        <f>+2250151090702</f>
        <v>2250151090702</v>
      </c>
      <c r="K2839" s="1" t="s">
        <v>19</v>
      </c>
      <c r="L2839" s="4" t="s">
        <v>9702</v>
      </c>
    </row>
    <row r="2840">
      <c r="A2840" s="1" t="s">
        <v>12</v>
      </c>
      <c r="B2840" s="1" t="s">
        <v>9703</v>
      </c>
      <c r="C2840" s="1" t="s">
        <v>9704</v>
      </c>
      <c r="D2840" s="1" t="s">
        <v>9705</v>
      </c>
      <c r="E2840" s="2">
        <v>38229.0</v>
      </c>
      <c r="F2840" s="1" t="s">
        <v>53</v>
      </c>
      <c r="G2840" s="1" t="s">
        <v>17</v>
      </c>
      <c r="H2840" s="1" t="s">
        <v>18</v>
      </c>
      <c r="I2840" s="3">
        <f>+2250555452301</f>
        <v>2250555452301</v>
      </c>
      <c r="J2840" s="3">
        <f>+2250702327747</f>
        <v>2250702327747</v>
      </c>
      <c r="K2840" s="1" t="s">
        <v>19</v>
      </c>
      <c r="L2840" s="4" t="s">
        <v>9706</v>
      </c>
    </row>
    <row r="2841">
      <c r="A2841" s="1" t="s">
        <v>12</v>
      </c>
      <c r="B2841" s="1" t="s">
        <v>9707</v>
      </c>
      <c r="C2841" s="1" t="s">
        <v>9708</v>
      </c>
      <c r="D2841" s="1" t="s">
        <v>9709</v>
      </c>
      <c r="E2841" s="2">
        <v>37933.0</v>
      </c>
      <c r="F2841" s="1" t="s">
        <v>62</v>
      </c>
      <c r="G2841" s="1" t="s">
        <v>25</v>
      </c>
      <c r="H2841" s="1" t="s">
        <v>18</v>
      </c>
      <c r="I2841" s="3">
        <f t="shared" ref="I2841:J2841" si="88">+2250788705969</f>
        <v>2250788705969</v>
      </c>
      <c r="J2841" s="3">
        <f t="shared" si="88"/>
        <v>2250788705969</v>
      </c>
      <c r="K2841" s="1" t="s">
        <v>19</v>
      </c>
      <c r="L2841" s="4" t="s">
        <v>9710</v>
      </c>
    </row>
    <row r="2842">
      <c r="A2842" s="1" t="s">
        <v>12</v>
      </c>
      <c r="B2842" s="1" t="s">
        <v>9711</v>
      </c>
      <c r="C2842" s="1" t="s">
        <v>9712</v>
      </c>
      <c r="D2842" s="1" t="s">
        <v>9713</v>
      </c>
      <c r="E2842" s="2">
        <v>36649.0</v>
      </c>
      <c r="F2842" s="1" t="s">
        <v>48</v>
      </c>
      <c r="G2842" s="1" t="s">
        <v>76</v>
      </c>
      <c r="H2842" s="1" t="s">
        <v>32</v>
      </c>
      <c r="I2842" s="3">
        <f>+2250700893656</f>
        <v>2250700893656</v>
      </c>
      <c r="J2842" s="3">
        <f>+2250708850136</f>
        <v>2250708850136</v>
      </c>
      <c r="K2842" s="1" t="s">
        <v>19</v>
      </c>
      <c r="L2842" s="4" t="s">
        <v>9714</v>
      </c>
    </row>
    <row r="2843">
      <c r="A2843" s="1" t="s">
        <v>12</v>
      </c>
      <c r="B2843" s="1" t="s">
        <v>9715</v>
      </c>
      <c r="C2843" s="1" t="s">
        <v>9716</v>
      </c>
      <c r="D2843" s="1" t="s">
        <v>9717</v>
      </c>
      <c r="E2843" s="2">
        <v>37363.0</v>
      </c>
      <c r="F2843" s="1" t="s">
        <v>62</v>
      </c>
      <c r="G2843" s="1" t="s">
        <v>17</v>
      </c>
      <c r="H2843" s="1" t="s">
        <v>18</v>
      </c>
      <c r="I2843" s="3">
        <f>+2250769686096</f>
        <v>2250769686096</v>
      </c>
      <c r="J2843" s="3">
        <f>+2250748569917</f>
        <v>2250748569917</v>
      </c>
      <c r="K2843" s="1" t="s">
        <v>19</v>
      </c>
      <c r="L2843" s="4" t="s">
        <v>9718</v>
      </c>
    </row>
    <row r="2844">
      <c r="A2844" s="1" t="s">
        <v>12</v>
      </c>
      <c r="B2844" s="1" t="s">
        <v>9719</v>
      </c>
      <c r="C2844" s="1" t="s">
        <v>9720</v>
      </c>
      <c r="D2844" s="1" t="s">
        <v>9721</v>
      </c>
      <c r="E2844" s="2">
        <v>37732.0</v>
      </c>
      <c r="F2844" s="1" t="s">
        <v>16</v>
      </c>
      <c r="G2844" s="1" t="s">
        <v>17</v>
      </c>
      <c r="H2844" s="1" t="s">
        <v>18</v>
      </c>
      <c r="I2844" s="3">
        <f>+2250586281614</f>
        <v>2250586281614</v>
      </c>
      <c r="J2844" s="3">
        <f>+2250707158553</f>
        <v>2250707158553</v>
      </c>
      <c r="K2844" s="1" t="s">
        <v>19</v>
      </c>
      <c r="L2844" s="4" t="s">
        <v>9722</v>
      </c>
    </row>
    <row r="2845">
      <c r="A2845" s="1" t="s">
        <v>12</v>
      </c>
      <c r="B2845" s="1" t="s">
        <v>9723</v>
      </c>
      <c r="C2845" s="1" t="s">
        <v>9724</v>
      </c>
      <c r="D2845" s="1" t="s">
        <v>7888</v>
      </c>
      <c r="E2845" s="5">
        <v>37968.0</v>
      </c>
      <c r="F2845" s="1" t="s">
        <v>155</v>
      </c>
      <c r="G2845" s="1" t="s">
        <v>82</v>
      </c>
      <c r="H2845" s="1" t="s">
        <v>18</v>
      </c>
      <c r="I2845" s="3">
        <f>+2250172494427</f>
        <v>2250172494427</v>
      </c>
      <c r="J2845" s="3">
        <f>+2250707713014</f>
        <v>2250707713014</v>
      </c>
      <c r="K2845" s="1" t="s">
        <v>19</v>
      </c>
      <c r="L2845" s="4" t="s">
        <v>9725</v>
      </c>
    </row>
    <row r="2846">
      <c r="A2846" s="1" t="s">
        <v>12</v>
      </c>
      <c r="B2846" s="1" t="s">
        <v>9726</v>
      </c>
      <c r="C2846" s="1" t="s">
        <v>9724</v>
      </c>
      <c r="D2846" s="1" t="s">
        <v>9727</v>
      </c>
      <c r="E2846" s="2">
        <v>39166.0</v>
      </c>
      <c r="F2846" s="1" t="s">
        <v>48</v>
      </c>
      <c r="G2846" s="1" t="s">
        <v>76</v>
      </c>
      <c r="H2846" s="1" t="s">
        <v>32</v>
      </c>
      <c r="I2846" s="3">
        <f>+2250102735375</f>
        <v>2250102735375</v>
      </c>
      <c r="J2846" s="3">
        <f>+2250505122907</f>
        <v>2250505122907</v>
      </c>
      <c r="K2846" s="1" t="s">
        <v>19</v>
      </c>
      <c r="L2846" s="4" t="s">
        <v>9728</v>
      </c>
    </row>
    <row r="2847">
      <c r="A2847" s="1" t="s">
        <v>12</v>
      </c>
      <c r="B2847" s="1" t="s">
        <v>9729</v>
      </c>
      <c r="C2847" s="1" t="s">
        <v>9730</v>
      </c>
      <c r="D2847" s="1" t="s">
        <v>9731</v>
      </c>
      <c r="E2847" s="2">
        <v>37124.0</v>
      </c>
      <c r="F2847" s="1" t="s">
        <v>101</v>
      </c>
      <c r="G2847" s="1" t="s">
        <v>31</v>
      </c>
      <c r="H2847" s="1" t="s">
        <v>32</v>
      </c>
      <c r="I2847" s="3">
        <f>+2250575334899</f>
        <v>2250575334899</v>
      </c>
      <c r="J2847" s="3">
        <f t="shared" ref="J2847:J2849" si="89">+2250709094843</f>
        <v>2250709094843</v>
      </c>
      <c r="K2847" s="1" t="s">
        <v>19</v>
      </c>
      <c r="L2847" s="4" t="s">
        <v>9732</v>
      </c>
    </row>
    <row r="2848">
      <c r="A2848" s="1" t="s">
        <v>12</v>
      </c>
      <c r="B2848" s="1" t="s">
        <v>9733</v>
      </c>
      <c r="C2848" s="1" t="s">
        <v>9730</v>
      </c>
      <c r="D2848" s="1" t="s">
        <v>9734</v>
      </c>
      <c r="E2848" s="2">
        <v>35903.0</v>
      </c>
      <c r="F2848" s="1" t="s">
        <v>48</v>
      </c>
      <c r="G2848" s="1" t="s">
        <v>31</v>
      </c>
      <c r="H2848" s="1" t="s">
        <v>32</v>
      </c>
      <c r="I2848" s="3">
        <f>+2250575377197</f>
        <v>2250575377197</v>
      </c>
      <c r="J2848" s="3">
        <f t="shared" si="89"/>
        <v>2250709094843</v>
      </c>
      <c r="K2848" s="1" t="s">
        <v>19</v>
      </c>
      <c r="L2848" s="4" t="s">
        <v>9735</v>
      </c>
    </row>
    <row r="2849">
      <c r="A2849" s="1" t="s">
        <v>12</v>
      </c>
      <c r="B2849" s="1" t="s">
        <v>9736</v>
      </c>
      <c r="C2849" s="1" t="s">
        <v>9730</v>
      </c>
      <c r="D2849" s="1" t="s">
        <v>9737</v>
      </c>
      <c r="E2849" s="2">
        <v>37729.0</v>
      </c>
      <c r="F2849" s="1" t="s">
        <v>155</v>
      </c>
      <c r="G2849" s="1" t="s">
        <v>76</v>
      </c>
      <c r="H2849" s="1" t="s">
        <v>32</v>
      </c>
      <c r="I2849" s="3">
        <f>+2250544656763</f>
        <v>2250544656763</v>
      </c>
      <c r="J2849" s="3">
        <f t="shared" si="89"/>
        <v>2250709094843</v>
      </c>
      <c r="K2849" s="1" t="s">
        <v>19</v>
      </c>
      <c r="L2849" s="4" t="s">
        <v>9738</v>
      </c>
    </row>
    <row r="2850">
      <c r="A2850" s="1" t="s">
        <v>12</v>
      </c>
      <c r="B2850" s="1" t="s">
        <v>9739</v>
      </c>
      <c r="C2850" s="1" t="s">
        <v>9740</v>
      </c>
      <c r="D2850" s="1" t="s">
        <v>9741</v>
      </c>
      <c r="E2850" s="2">
        <v>38264.0</v>
      </c>
      <c r="F2850" s="1" t="s">
        <v>16</v>
      </c>
      <c r="G2850" s="1" t="s">
        <v>17</v>
      </c>
      <c r="H2850" s="1" t="s">
        <v>18</v>
      </c>
      <c r="I2850" s="3">
        <f>+2250544561254</f>
        <v>2250544561254</v>
      </c>
      <c r="J2850" s="3">
        <f>+2250749369966</f>
        <v>2250749369966</v>
      </c>
      <c r="K2850" s="1" t="s">
        <v>19</v>
      </c>
      <c r="L2850" s="4" t="s">
        <v>9742</v>
      </c>
    </row>
    <row r="2851">
      <c r="A2851" s="1" t="s">
        <v>12</v>
      </c>
      <c r="B2851" s="1" t="s">
        <v>9743</v>
      </c>
      <c r="C2851" s="1" t="s">
        <v>9744</v>
      </c>
      <c r="D2851" s="1" t="s">
        <v>9745</v>
      </c>
      <c r="E2851" s="2">
        <v>38014.0</v>
      </c>
      <c r="F2851" s="1" t="s">
        <v>62</v>
      </c>
      <c r="G2851" s="1" t="s">
        <v>25</v>
      </c>
      <c r="H2851" s="1" t="s">
        <v>18</v>
      </c>
      <c r="I2851" s="3">
        <f>+2250777508883</f>
        <v>2250777508883</v>
      </c>
      <c r="J2851" s="3">
        <f>+2250506491872</f>
        <v>2250506491872</v>
      </c>
      <c r="K2851" s="1" t="s">
        <v>19</v>
      </c>
      <c r="L2851" s="4" t="s">
        <v>9746</v>
      </c>
    </row>
    <row r="2852">
      <c r="A2852" s="1" t="s">
        <v>12</v>
      </c>
      <c r="B2852" s="1" t="s">
        <v>9747</v>
      </c>
      <c r="C2852" s="1" t="s">
        <v>9748</v>
      </c>
      <c r="D2852" s="1" t="s">
        <v>9749</v>
      </c>
      <c r="E2852" s="5">
        <v>38717.0</v>
      </c>
      <c r="F2852" s="1" t="s">
        <v>138</v>
      </c>
      <c r="G2852" s="1" t="s">
        <v>31</v>
      </c>
      <c r="H2852" s="1" t="s">
        <v>32</v>
      </c>
      <c r="I2852" s="3">
        <f>+2250160661931</f>
        <v>2250160661931</v>
      </c>
      <c r="J2852" s="3">
        <f>+2250103568901</f>
        <v>2250103568901</v>
      </c>
      <c r="K2852" s="1" t="s">
        <v>19</v>
      </c>
      <c r="L2852" s="4" t="s">
        <v>9750</v>
      </c>
    </row>
    <row r="2853">
      <c r="A2853" s="1" t="s">
        <v>12</v>
      </c>
      <c r="B2853" s="1" t="s">
        <v>9751</v>
      </c>
      <c r="C2853" s="1" t="s">
        <v>9752</v>
      </c>
      <c r="D2853" s="1" t="s">
        <v>9753</v>
      </c>
      <c r="E2853" s="2">
        <v>38854.0</v>
      </c>
      <c r="F2853" s="1" t="s">
        <v>138</v>
      </c>
      <c r="G2853" s="1" t="s">
        <v>76</v>
      </c>
      <c r="H2853" s="1" t="s">
        <v>32</v>
      </c>
      <c r="I2853" s="3">
        <f>+2250143714979</f>
        <v>2250143714979</v>
      </c>
      <c r="J2853" s="3">
        <f>+2250707910359</f>
        <v>2250707910359</v>
      </c>
      <c r="K2853" s="1" t="s">
        <v>19</v>
      </c>
      <c r="L2853" s="4" t="s">
        <v>9754</v>
      </c>
    </row>
    <row r="2854">
      <c r="A2854" s="1" t="s">
        <v>12</v>
      </c>
      <c r="B2854" s="1" t="s">
        <v>9755</v>
      </c>
      <c r="C2854" s="1" t="s">
        <v>9756</v>
      </c>
      <c r="D2854" s="1" t="s">
        <v>9757</v>
      </c>
      <c r="E2854" s="2">
        <v>37825.0</v>
      </c>
      <c r="F2854" s="1" t="s">
        <v>101</v>
      </c>
      <c r="G2854" s="1" t="s">
        <v>31</v>
      </c>
      <c r="H2854" s="1" t="s">
        <v>32</v>
      </c>
      <c r="I2854" s="3">
        <f>+2250103811527</f>
        <v>2250103811527</v>
      </c>
      <c r="J2854" s="3">
        <f>+2250152536535</f>
        <v>2250152536535</v>
      </c>
      <c r="K2854" s="1" t="s">
        <v>19</v>
      </c>
      <c r="L2854" s="4" t="s">
        <v>9758</v>
      </c>
    </row>
    <row r="2855">
      <c r="A2855" s="1" t="s">
        <v>12</v>
      </c>
      <c r="B2855" s="1" t="s">
        <v>9759</v>
      </c>
      <c r="C2855" s="1" t="s">
        <v>9760</v>
      </c>
      <c r="D2855" s="1" t="s">
        <v>9761</v>
      </c>
      <c r="E2855" s="2">
        <v>38168.0</v>
      </c>
      <c r="F2855" s="1" t="s">
        <v>30</v>
      </c>
      <c r="G2855" s="1" t="s">
        <v>31</v>
      </c>
      <c r="H2855" s="1" t="s">
        <v>32</v>
      </c>
      <c r="I2855" s="3">
        <f>+2250779254633</f>
        <v>2250779254633</v>
      </c>
      <c r="J2855" s="3">
        <f>+2250747424702</f>
        <v>2250747424702</v>
      </c>
      <c r="K2855" s="1" t="s">
        <v>19</v>
      </c>
      <c r="L2855" s="4" t="s">
        <v>9762</v>
      </c>
    </row>
    <row r="2856">
      <c r="A2856" s="1" t="s">
        <v>12</v>
      </c>
      <c r="B2856" s="1" t="s">
        <v>9763</v>
      </c>
      <c r="C2856" s="1" t="s">
        <v>9764</v>
      </c>
      <c r="D2856" s="1" t="s">
        <v>9765</v>
      </c>
      <c r="E2856" s="2">
        <v>38005.0</v>
      </c>
      <c r="F2856" s="1" t="s">
        <v>155</v>
      </c>
      <c r="G2856" s="1" t="s">
        <v>31</v>
      </c>
      <c r="H2856" s="1" t="s">
        <v>32</v>
      </c>
      <c r="I2856" s="3">
        <f>+2250160415578</f>
        <v>2250160415578</v>
      </c>
      <c r="J2856" s="3">
        <f>+2250747827098</f>
        <v>2250747827098</v>
      </c>
      <c r="K2856" s="1" t="s">
        <v>19</v>
      </c>
      <c r="L2856" s="4" t="s">
        <v>9766</v>
      </c>
    </row>
    <row r="2857">
      <c r="A2857" s="1" t="s">
        <v>12</v>
      </c>
      <c r="B2857" s="1" t="s">
        <v>9767</v>
      </c>
      <c r="C2857" s="1" t="s">
        <v>9768</v>
      </c>
      <c r="D2857" s="1" t="s">
        <v>9769</v>
      </c>
      <c r="E2857" s="2">
        <v>38190.0</v>
      </c>
      <c r="F2857" s="1" t="s">
        <v>62</v>
      </c>
      <c r="G2857" s="1" t="s">
        <v>17</v>
      </c>
      <c r="H2857" s="1" t="s">
        <v>18</v>
      </c>
      <c r="I2857" s="3">
        <f>+2250143238303</f>
        <v>2250143238303</v>
      </c>
      <c r="J2857" s="3">
        <f>+2250708130701</f>
        <v>2250708130701</v>
      </c>
      <c r="K2857" s="1" t="s">
        <v>19</v>
      </c>
      <c r="L2857" s="4" t="s">
        <v>9770</v>
      </c>
    </row>
    <row r="2858">
      <c r="A2858" s="1" t="s">
        <v>12</v>
      </c>
      <c r="B2858" s="1" t="s">
        <v>9771</v>
      </c>
      <c r="C2858" s="1" t="s">
        <v>9772</v>
      </c>
      <c r="D2858" s="1" t="s">
        <v>9773</v>
      </c>
      <c r="E2858" s="2">
        <v>37343.0</v>
      </c>
      <c r="F2858" s="1" t="s">
        <v>155</v>
      </c>
      <c r="G2858" s="1" t="s">
        <v>82</v>
      </c>
      <c r="H2858" s="1" t="s">
        <v>18</v>
      </c>
      <c r="I2858" s="3">
        <f>+2250789907986</f>
        <v>2250789907986</v>
      </c>
      <c r="J2858" s="3">
        <f>+2250747103008</f>
        <v>2250747103008</v>
      </c>
      <c r="K2858" s="1" t="s">
        <v>19</v>
      </c>
      <c r="L2858" s="4" t="s">
        <v>9774</v>
      </c>
    </row>
    <row r="2859">
      <c r="A2859" s="1" t="s">
        <v>12</v>
      </c>
      <c r="B2859" s="1" t="s">
        <v>9775</v>
      </c>
      <c r="C2859" s="1" t="s">
        <v>9776</v>
      </c>
      <c r="D2859" s="1" t="s">
        <v>9777</v>
      </c>
      <c r="E2859" s="2">
        <v>38523.0</v>
      </c>
      <c r="F2859" s="1" t="s">
        <v>62</v>
      </c>
      <c r="G2859" s="1" t="s">
        <v>25</v>
      </c>
      <c r="H2859" s="1" t="s">
        <v>18</v>
      </c>
      <c r="I2859" s="3">
        <f>+2250556052361</f>
        <v>2250556052361</v>
      </c>
      <c r="J2859" s="3">
        <f>+2250799231969</f>
        <v>2250799231969</v>
      </c>
      <c r="K2859" s="1" t="s">
        <v>19</v>
      </c>
      <c r="L2859" s="4" t="s">
        <v>9778</v>
      </c>
    </row>
    <row r="2860">
      <c r="A2860" s="1" t="s">
        <v>12</v>
      </c>
      <c r="B2860" s="1" t="s">
        <v>9779</v>
      </c>
      <c r="C2860" s="1" t="s">
        <v>9780</v>
      </c>
      <c r="D2860" s="1" t="s">
        <v>9781</v>
      </c>
      <c r="E2860" s="2">
        <v>37039.0</v>
      </c>
      <c r="F2860" s="1" t="s">
        <v>70</v>
      </c>
      <c r="G2860" s="1" t="s">
        <v>76</v>
      </c>
      <c r="H2860" s="1" t="s">
        <v>32</v>
      </c>
      <c r="I2860" s="3">
        <f>+2250709190513</f>
        <v>2250709190513</v>
      </c>
      <c r="J2860" s="3">
        <f>+2250707778190</f>
        <v>2250707778190</v>
      </c>
      <c r="K2860" s="1" t="s">
        <v>19</v>
      </c>
      <c r="L2860" s="4" t="s">
        <v>9782</v>
      </c>
    </row>
    <row r="2861">
      <c r="A2861" s="1" t="s">
        <v>12</v>
      </c>
      <c r="B2861" s="1" t="s">
        <v>9783</v>
      </c>
      <c r="C2861" s="1" t="s">
        <v>9784</v>
      </c>
      <c r="D2861" s="1" t="s">
        <v>9785</v>
      </c>
      <c r="E2861" s="2">
        <v>38478.0</v>
      </c>
      <c r="F2861" s="1" t="s">
        <v>92</v>
      </c>
      <c r="G2861" s="1" t="s">
        <v>76</v>
      </c>
      <c r="H2861" s="1" t="s">
        <v>32</v>
      </c>
      <c r="I2861" s="3">
        <f>+2250799582842</f>
        <v>2250799582842</v>
      </c>
      <c r="J2861" s="3">
        <f>+2250506131760</f>
        <v>2250506131760</v>
      </c>
      <c r="K2861" s="1" t="s">
        <v>19</v>
      </c>
      <c r="L2861" s="4" t="s">
        <v>9786</v>
      </c>
    </row>
    <row r="2862">
      <c r="A2862" s="1" t="s">
        <v>12</v>
      </c>
      <c r="B2862" s="1" t="s">
        <v>9787</v>
      </c>
      <c r="C2862" s="1" t="s">
        <v>9788</v>
      </c>
      <c r="D2862" s="1" t="s">
        <v>9789</v>
      </c>
      <c r="E2862" s="2">
        <v>36367.0</v>
      </c>
      <c r="F2862" s="1" t="s">
        <v>288</v>
      </c>
      <c r="G2862" s="1" t="s">
        <v>76</v>
      </c>
      <c r="H2862" s="1" t="s">
        <v>32</v>
      </c>
      <c r="I2862" s="3">
        <f>+2250585371027</f>
        <v>2250585371027</v>
      </c>
      <c r="J2862" s="3">
        <f>+2250546994688</f>
        <v>2250546994688</v>
      </c>
      <c r="K2862" s="1" t="s">
        <v>19</v>
      </c>
      <c r="L2862" s="4" t="s">
        <v>9790</v>
      </c>
    </row>
    <row r="2863">
      <c r="A2863" s="1" t="s">
        <v>12</v>
      </c>
      <c r="B2863" s="1" t="s">
        <v>9791</v>
      </c>
      <c r="C2863" s="1" t="s">
        <v>9792</v>
      </c>
      <c r="D2863" s="1" t="s">
        <v>9793</v>
      </c>
      <c r="E2863" s="2">
        <v>36531.0</v>
      </c>
      <c r="F2863" s="1" t="s">
        <v>48</v>
      </c>
      <c r="G2863" s="1" t="s">
        <v>76</v>
      </c>
      <c r="H2863" s="1" t="s">
        <v>32</v>
      </c>
      <c r="I2863" s="3">
        <f>+2250758371064</f>
        <v>2250758371064</v>
      </c>
      <c r="J2863" s="3">
        <f>+2250748053805</f>
        <v>2250748053805</v>
      </c>
      <c r="K2863" s="1" t="s">
        <v>19</v>
      </c>
      <c r="L2863" s="4" t="s">
        <v>9794</v>
      </c>
    </row>
    <row r="2864">
      <c r="A2864" s="1" t="s">
        <v>12</v>
      </c>
      <c r="B2864" s="1" t="s">
        <v>9795</v>
      </c>
      <c r="C2864" s="1" t="s">
        <v>9796</v>
      </c>
      <c r="D2864" s="1" t="s">
        <v>9797</v>
      </c>
      <c r="E2864" s="2">
        <v>37662.0</v>
      </c>
      <c r="F2864" s="1" t="s">
        <v>167</v>
      </c>
      <c r="G2864" s="1" t="s">
        <v>17</v>
      </c>
      <c r="H2864" s="1" t="s">
        <v>18</v>
      </c>
      <c r="I2864" s="3">
        <f>+2250704917840</f>
        <v>2250704917840</v>
      </c>
      <c r="J2864" s="3">
        <f>+2250709264867</f>
        <v>2250709264867</v>
      </c>
      <c r="K2864" s="1" t="s">
        <v>19</v>
      </c>
      <c r="L2864" s="4" t="s">
        <v>9798</v>
      </c>
    </row>
    <row r="2865">
      <c r="A2865" s="1" t="s">
        <v>12</v>
      </c>
      <c r="B2865" s="1" t="s">
        <v>9799</v>
      </c>
      <c r="C2865" s="1" t="s">
        <v>9800</v>
      </c>
      <c r="D2865" s="1" t="s">
        <v>9801</v>
      </c>
      <c r="E2865" s="2">
        <v>38586.0</v>
      </c>
      <c r="F2865" s="1" t="s">
        <v>16</v>
      </c>
      <c r="G2865" s="1" t="s">
        <v>25</v>
      </c>
      <c r="H2865" s="1" t="s">
        <v>18</v>
      </c>
      <c r="I2865" s="3">
        <f>+2250101276254</f>
        <v>2250101276254</v>
      </c>
      <c r="J2865" s="3">
        <f>+2250101276258</f>
        <v>2250101276258</v>
      </c>
      <c r="K2865" s="1" t="s">
        <v>19</v>
      </c>
      <c r="L2865" s="4" t="s">
        <v>9802</v>
      </c>
    </row>
    <row r="2866">
      <c r="A2866" s="1" t="s">
        <v>12</v>
      </c>
      <c r="B2866" s="1" t="s">
        <v>9803</v>
      </c>
      <c r="C2866" s="1" t="s">
        <v>9804</v>
      </c>
      <c r="D2866" s="1" t="s">
        <v>9805</v>
      </c>
      <c r="E2866" s="5">
        <v>38653.0</v>
      </c>
      <c r="F2866" s="1" t="s">
        <v>24</v>
      </c>
      <c r="G2866" s="1" t="s">
        <v>25</v>
      </c>
      <c r="H2866" s="1" t="s">
        <v>18</v>
      </c>
      <c r="I2866" s="3">
        <f>+2250595736643</f>
        <v>2250595736643</v>
      </c>
      <c r="J2866" s="3">
        <f>+2250709998199</f>
        <v>2250709998199</v>
      </c>
      <c r="K2866" s="1" t="s">
        <v>19</v>
      </c>
      <c r="L2866" s="4" t="s">
        <v>9806</v>
      </c>
    </row>
    <row r="2867">
      <c r="A2867" s="1" t="s">
        <v>12</v>
      </c>
      <c r="B2867" s="1" t="s">
        <v>9807</v>
      </c>
      <c r="C2867" s="1" t="s">
        <v>9808</v>
      </c>
      <c r="D2867" s="1" t="s">
        <v>9809</v>
      </c>
      <c r="E2867" s="2">
        <v>37829.0</v>
      </c>
      <c r="F2867" s="1" t="s">
        <v>138</v>
      </c>
      <c r="G2867" s="1" t="s">
        <v>76</v>
      </c>
      <c r="H2867" s="1" t="s">
        <v>32</v>
      </c>
      <c r="I2867" s="3">
        <f>+2250758039151</f>
        <v>2250758039151</v>
      </c>
      <c r="J2867" s="3">
        <f>+2250546553500</f>
        <v>2250546553500</v>
      </c>
      <c r="K2867" s="1" t="s">
        <v>19</v>
      </c>
      <c r="L2867" s="4" t="s">
        <v>9810</v>
      </c>
    </row>
    <row r="2868">
      <c r="A2868" s="1" t="s">
        <v>12</v>
      </c>
      <c r="B2868" s="1" t="s">
        <v>9811</v>
      </c>
      <c r="C2868" s="1" t="s">
        <v>9812</v>
      </c>
      <c r="D2868" s="1" t="s">
        <v>9813</v>
      </c>
      <c r="E2868" s="5">
        <v>38646.0</v>
      </c>
      <c r="F2868" s="1" t="s">
        <v>155</v>
      </c>
      <c r="G2868" s="1" t="s">
        <v>76</v>
      </c>
      <c r="H2868" s="1" t="s">
        <v>32</v>
      </c>
      <c r="I2868" s="3">
        <f>+2250759310199</f>
        <v>2250759310199</v>
      </c>
      <c r="J2868" s="3">
        <f>+2250142642035</f>
        <v>2250142642035</v>
      </c>
      <c r="K2868" s="1" t="s">
        <v>19</v>
      </c>
      <c r="L2868" s="4" t="s">
        <v>9814</v>
      </c>
    </row>
    <row r="2869">
      <c r="A2869" s="1" t="s">
        <v>12</v>
      </c>
      <c r="B2869" s="1" t="s">
        <v>9815</v>
      </c>
      <c r="C2869" s="1" t="s">
        <v>9812</v>
      </c>
      <c r="D2869" s="1" t="s">
        <v>9816</v>
      </c>
      <c r="E2869" s="2">
        <v>37423.0</v>
      </c>
      <c r="F2869" s="1" t="s">
        <v>92</v>
      </c>
      <c r="G2869" s="1" t="s">
        <v>31</v>
      </c>
      <c r="H2869" s="1" t="s">
        <v>32</v>
      </c>
      <c r="I2869" s="3">
        <f>+2250769392904</f>
        <v>2250769392904</v>
      </c>
      <c r="J2869" s="3">
        <f>+2250103034244</f>
        <v>2250103034244</v>
      </c>
      <c r="K2869" s="1" t="s">
        <v>19</v>
      </c>
      <c r="L2869" s="4" t="s">
        <v>9817</v>
      </c>
    </row>
    <row r="2870">
      <c r="A2870" s="1" t="s">
        <v>12</v>
      </c>
      <c r="B2870" s="1" t="s">
        <v>9818</v>
      </c>
      <c r="C2870" s="1" t="s">
        <v>9819</v>
      </c>
      <c r="D2870" s="1" t="s">
        <v>9820</v>
      </c>
      <c r="E2870" s="2">
        <v>38062.0</v>
      </c>
      <c r="F2870" s="1" t="s">
        <v>92</v>
      </c>
      <c r="G2870" s="1" t="s">
        <v>76</v>
      </c>
      <c r="H2870" s="1" t="s">
        <v>32</v>
      </c>
      <c r="I2870" s="3">
        <f t="shared" ref="I2870:J2870" si="90">+2250704511094</f>
        <v>2250704511094</v>
      </c>
      <c r="J2870" s="3">
        <f t="shared" si="90"/>
        <v>2250704511094</v>
      </c>
      <c r="K2870" s="1" t="s">
        <v>19</v>
      </c>
      <c r="L2870" s="4" t="s">
        <v>9821</v>
      </c>
    </row>
    <row r="2871">
      <c r="A2871" s="1" t="s">
        <v>12</v>
      </c>
      <c r="B2871" s="1" t="s">
        <v>9822</v>
      </c>
      <c r="C2871" s="1" t="s">
        <v>9823</v>
      </c>
      <c r="D2871" s="1" t="s">
        <v>9824</v>
      </c>
      <c r="E2871" s="2">
        <v>38224.0</v>
      </c>
      <c r="F2871" s="1" t="s">
        <v>155</v>
      </c>
      <c r="G2871" s="1" t="s">
        <v>76</v>
      </c>
      <c r="H2871" s="1" t="s">
        <v>32</v>
      </c>
      <c r="I2871" s="3">
        <f>+2250544806869</f>
        <v>2250544806869</v>
      </c>
      <c r="J2871" s="3">
        <f>+2250708185192</f>
        <v>2250708185192</v>
      </c>
      <c r="K2871" s="1" t="s">
        <v>19</v>
      </c>
      <c r="L2871" s="4" t="s">
        <v>9825</v>
      </c>
    </row>
    <row r="2872">
      <c r="A2872" s="1" t="s">
        <v>12</v>
      </c>
      <c r="B2872" s="1" t="s">
        <v>9826</v>
      </c>
      <c r="C2872" s="1" t="s">
        <v>9827</v>
      </c>
      <c r="D2872" s="1" t="s">
        <v>9828</v>
      </c>
      <c r="E2872" s="2">
        <v>37654.0</v>
      </c>
      <c r="F2872" s="1" t="s">
        <v>24</v>
      </c>
      <c r="G2872" s="1" t="s">
        <v>17</v>
      </c>
      <c r="H2872" s="1" t="s">
        <v>18</v>
      </c>
      <c r="I2872" s="3">
        <f>+2250151617838</f>
        <v>2250151617838</v>
      </c>
      <c r="J2872" s="3">
        <f>+2250506303123</f>
        <v>2250506303123</v>
      </c>
      <c r="K2872" s="1" t="s">
        <v>19</v>
      </c>
      <c r="L2872" s="4" t="s">
        <v>9829</v>
      </c>
    </row>
    <row r="2873">
      <c r="A2873" s="1" t="s">
        <v>12</v>
      </c>
      <c r="B2873" s="1" t="s">
        <v>9830</v>
      </c>
      <c r="C2873" s="1" t="s">
        <v>9831</v>
      </c>
      <c r="D2873" s="1" t="s">
        <v>9832</v>
      </c>
      <c r="E2873" s="2">
        <v>37638.0</v>
      </c>
      <c r="F2873" s="1" t="s">
        <v>16</v>
      </c>
      <c r="G2873" s="1" t="s">
        <v>17</v>
      </c>
      <c r="H2873" s="1" t="s">
        <v>18</v>
      </c>
      <c r="I2873" s="3">
        <f>+2250757027067</f>
        <v>2250757027067</v>
      </c>
      <c r="J2873" s="3">
        <f>+2250707957827</f>
        <v>2250707957827</v>
      </c>
      <c r="K2873" s="1" t="s">
        <v>19</v>
      </c>
      <c r="L2873" s="4" t="s">
        <v>9833</v>
      </c>
    </row>
    <row r="2874">
      <c r="A2874" s="1" t="s">
        <v>12</v>
      </c>
      <c r="B2874" s="1" t="s">
        <v>9834</v>
      </c>
      <c r="C2874" s="1" t="s">
        <v>9831</v>
      </c>
      <c r="D2874" s="1" t="s">
        <v>9835</v>
      </c>
      <c r="E2874" s="2">
        <v>37705.0</v>
      </c>
      <c r="F2874" s="1" t="s">
        <v>62</v>
      </c>
      <c r="G2874" s="1" t="s">
        <v>17</v>
      </c>
      <c r="H2874" s="1" t="s">
        <v>18</v>
      </c>
      <c r="I2874" s="3">
        <f>+2250545217344</f>
        <v>2250545217344</v>
      </c>
      <c r="J2874" s="3">
        <f>+2250747168522</f>
        <v>2250747168522</v>
      </c>
      <c r="K2874" s="1" t="s">
        <v>19</v>
      </c>
      <c r="L2874" s="4" t="s">
        <v>9836</v>
      </c>
    </row>
    <row r="2875">
      <c r="A2875" s="1" t="s">
        <v>12</v>
      </c>
      <c r="B2875" s="1" t="s">
        <v>9837</v>
      </c>
      <c r="C2875" s="1" t="s">
        <v>9838</v>
      </c>
      <c r="D2875" s="1" t="s">
        <v>9839</v>
      </c>
      <c r="E2875" s="2">
        <v>37288.0</v>
      </c>
      <c r="F2875" s="1" t="s">
        <v>101</v>
      </c>
      <c r="G2875" s="1" t="s">
        <v>76</v>
      </c>
      <c r="H2875" s="1" t="s">
        <v>32</v>
      </c>
      <c r="I2875" s="3">
        <f>+2250710236501</f>
        <v>2250710236501</v>
      </c>
      <c r="J2875" s="3">
        <f>+2250172102091</f>
        <v>2250172102091</v>
      </c>
      <c r="K2875" s="1" t="s">
        <v>19</v>
      </c>
      <c r="L2875" s="4" t="s">
        <v>9840</v>
      </c>
    </row>
    <row r="2876">
      <c r="A2876" s="1" t="s">
        <v>12</v>
      </c>
      <c r="B2876" s="1" t="s">
        <v>9841</v>
      </c>
      <c r="C2876" s="1" t="s">
        <v>9842</v>
      </c>
      <c r="D2876" s="1" t="s">
        <v>9843</v>
      </c>
      <c r="E2876" s="2">
        <v>38505.0</v>
      </c>
      <c r="F2876" s="1" t="s">
        <v>101</v>
      </c>
      <c r="G2876" s="1" t="s">
        <v>31</v>
      </c>
      <c r="H2876" s="1" t="s">
        <v>32</v>
      </c>
      <c r="I2876" s="3">
        <f>+2250502062433</f>
        <v>2250502062433</v>
      </c>
      <c r="J2876" s="3">
        <f>+2250748538807</f>
        <v>2250748538807</v>
      </c>
      <c r="K2876" s="1" t="s">
        <v>19</v>
      </c>
      <c r="L2876" s="4" t="s">
        <v>9844</v>
      </c>
    </row>
    <row r="2877">
      <c r="A2877" s="1" t="s">
        <v>12</v>
      </c>
      <c r="B2877" s="1" t="s">
        <v>9845</v>
      </c>
      <c r="C2877" s="1" t="s">
        <v>9846</v>
      </c>
      <c r="D2877" s="1" t="s">
        <v>9847</v>
      </c>
      <c r="E2877" s="2">
        <v>38492.0</v>
      </c>
      <c r="F2877" s="1" t="s">
        <v>62</v>
      </c>
      <c r="G2877" s="1" t="s">
        <v>17</v>
      </c>
      <c r="H2877" s="1" t="s">
        <v>18</v>
      </c>
      <c r="I2877" s="3">
        <f>+2250140278197</f>
        <v>2250140278197</v>
      </c>
      <c r="J2877" s="3">
        <f>+2250546167149</f>
        <v>2250546167149</v>
      </c>
      <c r="K2877" s="1" t="s">
        <v>19</v>
      </c>
      <c r="L2877" s="4" t="s">
        <v>9848</v>
      </c>
    </row>
    <row r="2878">
      <c r="A2878" s="1" t="s">
        <v>12</v>
      </c>
      <c r="B2878" s="1" t="s">
        <v>9849</v>
      </c>
      <c r="C2878" s="1" t="s">
        <v>9850</v>
      </c>
      <c r="D2878" s="1" t="s">
        <v>9851</v>
      </c>
      <c r="E2878" s="2">
        <v>38102.0</v>
      </c>
      <c r="F2878" s="1" t="s">
        <v>167</v>
      </c>
      <c r="G2878" s="1" t="s">
        <v>17</v>
      </c>
      <c r="H2878" s="1" t="s">
        <v>18</v>
      </c>
      <c r="I2878" s="3">
        <f>+2250711122533</f>
        <v>2250711122533</v>
      </c>
      <c r="J2878" s="3">
        <f>+2250748421891</f>
        <v>2250748421891</v>
      </c>
      <c r="K2878" s="1" t="s">
        <v>19</v>
      </c>
      <c r="L2878" s="4" t="s">
        <v>9852</v>
      </c>
    </row>
    <row r="2879">
      <c r="A2879" s="1" t="s">
        <v>12</v>
      </c>
      <c r="B2879" s="1" t="s">
        <v>9853</v>
      </c>
      <c r="C2879" s="1" t="s">
        <v>9854</v>
      </c>
      <c r="D2879" s="1" t="s">
        <v>9855</v>
      </c>
      <c r="E2879" s="5">
        <v>38307.0</v>
      </c>
      <c r="F2879" s="1" t="s">
        <v>53</v>
      </c>
      <c r="G2879" s="1" t="s">
        <v>17</v>
      </c>
      <c r="H2879" s="1" t="s">
        <v>18</v>
      </c>
      <c r="I2879" s="3">
        <f>+2250564265977</f>
        <v>2250564265977</v>
      </c>
      <c r="J2879" s="3">
        <f>+2250757117173</f>
        <v>2250757117173</v>
      </c>
      <c r="K2879" s="1" t="s">
        <v>19</v>
      </c>
      <c r="L2879" s="4" t="s">
        <v>9856</v>
      </c>
    </row>
    <row r="2880">
      <c r="A2880" s="1" t="s">
        <v>12</v>
      </c>
      <c r="B2880" s="1" t="s">
        <v>9857</v>
      </c>
      <c r="C2880" s="1" t="s">
        <v>9858</v>
      </c>
      <c r="D2880" s="1" t="s">
        <v>3092</v>
      </c>
      <c r="E2880" s="2">
        <v>38101.0</v>
      </c>
      <c r="F2880" s="1" t="s">
        <v>62</v>
      </c>
      <c r="G2880" s="1" t="s">
        <v>82</v>
      </c>
      <c r="H2880" s="1" t="s">
        <v>18</v>
      </c>
      <c r="I2880" s="3">
        <f>+2250768919896</f>
        <v>2250768919896</v>
      </c>
      <c r="J2880" s="3">
        <f>+2250709956735</f>
        <v>2250709956735</v>
      </c>
      <c r="K2880" s="1" t="s">
        <v>19</v>
      </c>
      <c r="L2880" s="4" t="s">
        <v>9859</v>
      </c>
    </row>
    <row r="2881">
      <c r="A2881" s="1" t="s">
        <v>12</v>
      </c>
      <c r="B2881" s="1" t="s">
        <v>9860</v>
      </c>
      <c r="C2881" s="1" t="s">
        <v>9861</v>
      </c>
      <c r="D2881" s="1" t="s">
        <v>9862</v>
      </c>
      <c r="E2881" s="5">
        <v>37904.0</v>
      </c>
      <c r="F2881" s="1" t="s">
        <v>75</v>
      </c>
      <c r="G2881" s="1" t="s">
        <v>31</v>
      </c>
      <c r="H2881" s="1" t="s">
        <v>32</v>
      </c>
      <c r="I2881" s="3">
        <f>+2250554435551</f>
        <v>2250554435551</v>
      </c>
      <c r="J2881" s="3">
        <f>+2250505458660</f>
        <v>2250505458660</v>
      </c>
      <c r="K2881" s="1" t="s">
        <v>19</v>
      </c>
      <c r="L2881" s="4" t="s">
        <v>9863</v>
      </c>
    </row>
    <row r="2882">
      <c r="A2882" s="1" t="s">
        <v>12</v>
      </c>
      <c r="B2882" s="1" t="s">
        <v>9864</v>
      </c>
      <c r="C2882" s="1" t="s">
        <v>9865</v>
      </c>
      <c r="D2882" s="1" t="s">
        <v>9866</v>
      </c>
      <c r="E2882" s="2">
        <v>37314.0</v>
      </c>
      <c r="F2882" s="1" t="s">
        <v>62</v>
      </c>
      <c r="G2882" s="1" t="s">
        <v>17</v>
      </c>
      <c r="H2882" s="1" t="s">
        <v>18</v>
      </c>
      <c r="I2882" s="3">
        <f>+2250160541211</f>
        <v>2250160541211</v>
      </c>
      <c r="J2882" s="3">
        <f>+2250505552252</f>
        <v>2250505552252</v>
      </c>
      <c r="K2882" s="1" t="s">
        <v>19</v>
      </c>
      <c r="L2882" s="4" t="s">
        <v>9867</v>
      </c>
    </row>
    <row r="2883">
      <c r="A2883" s="1" t="s">
        <v>12</v>
      </c>
      <c r="B2883" s="1" t="s">
        <v>9868</v>
      </c>
      <c r="C2883" s="1" t="s">
        <v>9869</v>
      </c>
      <c r="D2883" s="1" t="s">
        <v>9870</v>
      </c>
      <c r="E2883" s="2">
        <v>36757.0</v>
      </c>
      <c r="F2883" s="1" t="s">
        <v>75</v>
      </c>
      <c r="G2883" s="1" t="s">
        <v>76</v>
      </c>
      <c r="H2883" s="1" t="s">
        <v>32</v>
      </c>
      <c r="I2883" s="3">
        <f>+2250594978891</f>
        <v>2250594978891</v>
      </c>
      <c r="J2883" s="3">
        <f>+2250748983874</f>
        <v>2250748983874</v>
      </c>
      <c r="K2883" s="1" t="s">
        <v>19</v>
      </c>
      <c r="L2883" s="4" t="s">
        <v>9871</v>
      </c>
    </row>
    <row r="2884">
      <c r="A2884" s="1" t="s">
        <v>12</v>
      </c>
      <c r="B2884" s="1" t="s">
        <v>9872</v>
      </c>
      <c r="C2884" s="1" t="s">
        <v>9873</v>
      </c>
      <c r="D2884" s="1" t="s">
        <v>9874</v>
      </c>
      <c r="E2884" s="2">
        <v>36896.0</v>
      </c>
      <c r="F2884" s="1" t="s">
        <v>155</v>
      </c>
      <c r="G2884" s="1" t="s">
        <v>82</v>
      </c>
      <c r="H2884" s="1" t="s">
        <v>18</v>
      </c>
      <c r="I2884" s="3">
        <f>+2250779184364</f>
        <v>2250779184364</v>
      </c>
      <c r="J2884" s="3">
        <f>+2250504153946</f>
        <v>2250504153946</v>
      </c>
      <c r="K2884" s="1" t="s">
        <v>19</v>
      </c>
      <c r="L2884" s="4" t="s">
        <v>9875</v>
      </c>
    </row>
    <row r="2885">
      <c r="A2885" s="1" t="s">
        <v>12</v>
      </c>
      <c r="B2885" s="1" t="s">
        <v>9876</v>
      </c>
      <c r="C2885" s="1" t="s">
        <v>9877</v>
      </c>
      <c r="D2885" s="1" t="s">
        <v>9878</v>
      </c>
      <c r="E2885" s="2">
        <v>36288.0</v>
      </c>
      <c r="F2885" s="1" t="s">
        <v>586</v>
      </c>
      <c r="G2885" s="1" t="s">
        <v>82</v>
      </c>
      <c r="H2885" s="1" t="s">
        <v>18</v>
      </c>
      <c r="I2885" s="3">
        <f>+2250787980922</f>
        <v>2250787980922</v>
      </c>
      <c r="J2885" s="3">
        <f>+2250758709946</f>
        <v>2250758709946</v>
      </c>
      <c r="K2885" s="1" t="s">
        <v>19</v>
      </c>
      <c r="L2885" s="4" t="s">
        <v>9879</v>
      </c>
    </row>
    <row r="2886">
      <c r="A2886" s="1" t="s">
        <v>12</v>
      </c>
      <c r="B2886" s="1" t="s">
        <v>9880</v>
      </c>
      <c r="C2886" s="1" t="s">
        <v>9877</v>
      </c>
      <c r="D2886" s="1" t="s">
        <v>9881</v>
      </c>
      <c r="E2886" s="2">
        <v>35341.0</v>
      </c>
      <c r="F2886" s="1" t="s">
        <v>167</v>
      </c>
      <c r="G2886" s="1" t="s">
        <v>17</v>
      </c>
      <c r="H2886" s="1" t="s">
        <v>18</v>
      </c>
      <c r="I2886" s="3">
        <f>+2250703801498</f>
        <v>2250703801498</v>
      </c>
      <c r="J2886" s="3">
        <f>+2250787750904</f>
        <v>2250787750904</v>
      </c>
      <c r="K2886" s="1" t="s">
        <v>19</v>
      </c>
      <c r="L2886" s="4" t="s">
        <v>9882</v>
      </c>
    </row>
    <row r="2887">
      <c r="A2887" s="1" t="s">
        <v>12</v>
      </c>
      <c r="B2887" s="1" t="s">
        <v>9883</v>
      </c>
      <c r="C2887" s="1" t="s">
        <v>9884</v>
      </c>
      <c r="D2887" s="1" t="s">
        <v>9885</v>
      </c>
      <c r="E2887" s="2">
        <v>37128.0</v>
      </c>
      <c r="F2887" s="1" t="s">
        <v>16</v>
      </c>
      <c r="G2887" s="1" t="s">
        <v>25</v>
      </c>
      <c r="H2887" s="1" t="s">
        <v>18</v>
      </c>
      <c r="I2887" s="3">
        <f>+2250171146678</f>
        <v>2250171146678</v>
      </c>
      <c r="J2887" s="3">
        <f>+2250708942243</f>
        <v>2250708942243</v>
      </c>
      <c r="K2887" s="1" t="s">
        <v>19</v>
      </c>
      <c r="L2887" s="4" t="s">
        <v>9886</v>
      </c>
    </row>
    <row r="2888">
      <c r="A2888" s="1" t="s">
        <v>12</v>
      </c>
      <c r="B2888" s="1" t="s">
        <v>9887</v>
      </c>
      <c r="C2888" s="1" t="s">
        <v>9884</v>
      </c>
      <c r="D2888" s="1" t="s">
        <v>9888</v>
      </c>
      <c r="E2888" s="2">
        <v>38405.0</v>
      </c>
      <c r="F2888" s="1" t="s">
        <v>48</v>
      </c>
      <c r="G2888" s="1" t="s">
        <v>31</v>
      </c>
      <c r="H2888" s="1" t="s">
        <v>32</v>
      </c>
      <c r="I2888" s="3">
        <f>+2250173915551</f>
        <v>2250173915551</v>
      </c>
      <c r="J2888" s="3">
        <f>+2250707697516</f>
        <v>2250707697516</v>
      </c>
      <c r="K2888" s="1" t="s">
        <v>19</v>
      </c>
      <c r="L2888" s="4" t="s">
        <v>9889</v>
      </c>
    </row>
    <row r="2889">
      <c r="A2889" s="1" t="s">
        <v>12</v>
      </c>
      <c r="B2889" s="1" t="s">
        <v>9890</v>
      </c>
      <c r="C2889" s="1" t="s">
        <v>9884</v>
      </c>
      <c r="D2889" s="1" t="s">
        <v>9891</v>
      </c>
      <c r="E2889" s="5">
        <v>37908.0</v>
      </c>
      <c r="F2889" s="1" t="s">
        <v>53</v>
      </c>
      <c r="G2889" s="1" t="s">
        <v>17</v>
      </c>
      <c r="H2889" s="1" t="s">
        <v>18</v>
      </c>
      <c r="I2889" s="3">
        <f>+2250788360335</f>
        <v>2250788360335</v>
      </c>
      <c r="J2889" s="3">
        <f>+2250709848847</f>
        <v>2250709848847</v>
      </c>
      <c r="K2889" s="1" t="s">
        <v>19</v>
      </c>
      <c r="L2889" s="4" t="s">
        <v>9892</v>
      </c>
    </row>
    <row r="2890">
      <c r="A2890" s="1" t="s">
        <v>12</v>
      </c>
      <c r="B2890" s="1" t="s">
        <v>9893</v>
      </c>
      <c r="C2890" s="1" t="s">
        <v>9884</v>
      </c>
      <c r="D2890" s="1" t="s">
        <v>9894</v>
      </c>
      <c r="E2890" s="2">
        <v>36737.0</v>
      </c>
      <c r="F2890" s="1" t="s">
        <v>182</v>
      </c>
      <c r="G2890" s="1" t="s">
        <v>82</v>
      </c>
      <c r="H2890" s="1" t="s">
        <v>18</v>
      </c>
      <c r="I2890" s="3">
        <f>+2250585765026</f>
        <v>2250585765026</v>
      </c>
      <c r="J2890" s="3">
        <f>+2250707228465</f>
        <v>2250707228465</v>
      </c>
      <c r="K2890" s="1" t="s">
        <v>19</v>
      </c>
      <c r="L2890" s="4" t="s">
        <v>9895</v>
      </c>
    </row>
    <row r="2891">
      <c r="A2891" s="1" t="s">
        <v>12</v>
      </c>
      <c r="B2891" s="1" t="s">
        <v>9896</v>
      </c>
      <c r="C2891" s="1" t="s">
        <v>9884</v>
      </c>
      <c r="D2891" s="1" t="s">
        <v>2709</v>
      </c>
      <c r="E2891" s="2">
        <v>38536.0</v>
      </c>
      <c r="F2891" s="1" t="s">
        <v>62</v>
      </c>
      <c r="G2891" s="1" t="s">
        <v>25</v>
      </c>
      <c r="H2891" s="1" t="s">
        <v>18</v>
      </c>
      <c r="I2891" s="3">
        <f>+2250779485927</f>
        <v>2250779485927</v>
      </c>
      <c r="J2891" s="3">
        <f>+2250710026009</f>
        <v>2250710026009</v>
      </c>
      <c r="K2891" s="1" t="s">
        <v>19</v>
      </c>
      <c r="L2891" s="4" t="s">
        <v>9897</v>
      </c>
    </row>
    <row r="2892">
      <c r="A2892" s="1" t="s">
        <v>12</v>
      </c>
      <c r="B2892" s="1" t="s">
        <v>9898</v>
      </c>
      <c r="C2892" s="1" t="s">
        <v>9884</v>
      </c>
      <c r="D2892" s="1" t="s">
        <v>2686</v>
      </c>
      <c r="E2892" s="5">
        <v>38270.0</v>
      </c>
      <c r="F2892" s="1" t="s">
        <v>155</v>
      </c>
      <c r="G2892" s="1" t="s">
        <v>76</v>
      </c>
      <c r="H2892" s="1" t="s">
        <v>32</v>
      </c>
      <c r="I2892" s="3">
        <f>+2250141765412</f>
        <v>2250141765412</v>
      </c>
      <c r="J2892" s="3">
        <f>+2250574609574</f>
        <v>2250574609574</v>
      </c>
      <c r="K2892" s="1" t="s">
        <v>19</v>
      </c>
      <c r="L2892" s="4" t="s">
        <v>9899</v>
      </c>
    </row>
    <row r="2893">
      <c r="A2893" s="1" t="s">
        <v>12</v>
      </c>
      <c r="B2893" s="1" t="s">
        <v>9900</v>
      </c>
      <c r="C2893" s="1" t="s">
        <v>9884</v>
      </c>
      <c r="D2893" s="1" t="s">
        <v>9901</v>
      </c>
      <c r="E2893" s="2">
        <v>38795.0</v>
      </c>
      <c r="F2893" s="1" t="s">
        <v>16</v>
      </c>
      <c r="G2893" s="1" t="s">
        <v>25</v>
      </c>
      <c r="H2893" s="1" t="s">
        <v>18</v>
      </c>
      <c r="I2893" s="3">
        <f>+2250151785929</f>
        <v>2250151785929</v>
      </c>
      <c r="J2893" s="3">
        <f>+2250556373232</f>
        <v>2250556373232</v>
      </c>
      <c r="K2893" s="1" t="s">
        <v>19</v>
      </c>
      <c r="L2893" s="4" t="s">
        <v>9902</v>
      </c>
    </row>
    <row r="2894">
      <c r="A2894" s="1" t="s">
        <v>12</v>
      </c>
      <c r="B2894" s="1" t="s">
        <v>9903</v>
      </c>
      <c r="C2894" s="1" t="s">
        <v>9884</v>
      </c>
      <c r="D2894" s="1" t="s">
        <v>5358</v>
      </c>
      <c r="E2894" s="2">
        <v>37025.0</v>
      </c>
      <c r="F2894" s="1" t="s">
        <v>110</v>
      </c>
      <c r="G2894" s="1" t="s">
        <v>82</v>
      </c>
      <c r="H2894" s="1" t="s">
        <v>18</v>
      </c>
      <c r="I2894" s="3">
        <f>+2250779469921</f>
        <v>2250779469921</v>
      </c>
      <c r="J2894" s="3">
        <f>+2250707233651</f>
        <v>2250707233651</v>
      </c>
      <c r="K2894" s="1" t="s">
        <v>19</v>
      </c>
      <c r="L2894" s="4" t="s">
        <v>9904</v>
      </c>
    </row>
    <row r="2895">
      <c r="A2895" s="1" t="s">
        <v>12</v>
      </c>
      <c r="B2895" s="1" t="s">
        <v>9905</v>
      </c>
      <c r="C2895" s="1" t="s">
        <v>9884</v>
      </c>
      <c r="D2895" s="1" t="s">
        <v>9906</v>
      </c>
      <c r="E2895" s="2">
        <v>37726.0</v>
      </c>
      <c r="F2895" s="1" t="s">
        <v>53</v>
      </c>
      <c r="G2895" s="1" t="s">
        <v>17</v>
      </c>
      <c r="H2895" s="1" t="s">
        <v>18</v>
      </c>
      <c r="I2895" s="3">
        <f>+2250797641809</f>
        <v>2250797641809</v>
      </c>
      <c r="J2895" s="3">
        <f>+2250707997434</f>
        <v>2250707997434</v>
      </c>
      <c r="K2895" s="1" t="s">
        <v>19</v>
      </c>
      <c r="L2895" s="4" t="s">
        <v>9907</v>
      </c>
    </row>
    <row r="2896">
      <c r="A2896" s="1" t="s">
        <v>12</v>
      </c>
      <c r="B2896" s="1" t="s">
        <v>9908</v>
      </c>
      <c r="C2896" s="1" t="s">
        <v>9884</v>
      </c>
      <c r="D2896" s="1" t="s">
        <v>9909</v>
      </c>
      <c r="E2896" s="2">
        <v>37742.0</v>
      </c>
      <c r="F2896" s="1" t="s">
        <v>101</v>
      </c>
      <c r="G2896" s="1" t="s">
        <v>31</v>
      </c>
      <c r="H2896" s="1" t="s">
        <v>32</v>
      </c>
      <c r="I2896" s="3">
        <f>+2250142758570</f>
        <v>2250142758570</v>
      </c>
      <c r="J2896" s="3">
        <f>+2250140662836</f>
        <v>2250140662836</v>
      </c>
      <c r="K2896" s="1" t="s">
        <v>19</v>
      </c>
      <c r="L2896" s="4" t="s">
        <v>9910</v>
      </c>
    </row>
    <row r="2897">
      <c r="A2897" s="1" t="s">
        <v>12</v>
      </c>
      <c r="B2897" s="1" t="s">
        <v>9911</v>
      </c>
      <c r="C2897" s="1" t="s">
        <v>9884</v>
      </c>
      <c r="D2897" s="1" t="s">
        <v>9912</v>
      </c>
      <c r="E2897" s="2">
        <v>38721.0</v>
      </c>
      <c r="F2897" s="1" t="s">
        <v>16</v>
      </c>
      <c r="G2897" s="1" t="s">
        <v>25</v>
      </c>
      <c r="H2897" s="1" t="s">
        <v>18</v>
      </c>
      <c r="I2897" s="3">
        <f t="shared" ref="I2897:J2897" si="91">+2250707974710</f>
        <v>2250707974710</v>
      </c>
      <c r="J2897" s="3">
        <f t="shared" si="91"/>
        <v>2250707974710</v>
      </c>
      <c r="K2897" s="1" t="s">
        <v>19</v>
      </c>
      <c r="L2897" s="4" t="s">
        <v>9913</v>
      </c>
    </row>
    <row r="2898">
      <c r="A2898" s="1" t="s">
        <v>12</v>
      </c>
      <c r="B2898" s="1" t="s">
        <v>9914</v>
      </c>
      <c r="C2898" s="1" t="s">
        <v>9884</v>
      </c>
      <c r="D2898" s="1" t="s">
        <v>9915</v>
      </c>
      <c r="E2898" s="2">
        <v>37440.0</v>
      </c>
      <c r="F2898" s="1" t="s">
        <v>37</v>
      </c>
      <c r="G2898" s="1" t="s">
        <v>82</v>
      </c>
      <c r="H2898" s="1" t="s">
        <v>18</v>
      </c>
      <c r="I2898" s="3">
        <f>+2250778505797</f>
        <v>2250778505797</v>
      </c>
      <c r="J2898" s="3">
        <f>+2250707425884</f>
        <v>2250707425884</v>
      </c>
      <c r="K2898" s="1" t="s">
        <v>19</v>
      </c>
      <c r="L2898" s="4" t="s">
        <v>9916</v>
      </c>
    </row>
    <row r="2899">
      <c r="A2899" s="1" t="s">
        <v>12</v>
      </c>
      <c r="B2899" s="1" t="s">
        <v>9917</v>
      </c>
      <c r="C2899" s="1" t="s">
        <v>9884</v>
      </c>
      <c r="D2899" s="1" t="s">
        <v>1053</v>
      </c>
      <c r="E2899" s="2">
        <v>35796.0</v>
      </c>
      <c r="F2899" s="1" t="s">
        <v>138</v>
      </c>
      <c r="G2899" s="1" t="s">
        <v>31</v>
      </c>
      <c r="H2899" s="1" t="s">
        <v>32</v>
      </c>
      <c r="I2899" s="3">
        <f>+2250700779734</f>
        <v>2250700779734</v>
      </c>
      <c r="J2899" s="3">
        <f>+2250759802591</f>
        <v>2250759802591</v>
      </c>
      <c r="K2899" s="1" t="s">
        <v>19</v>
      </c>
      <c r="L2899" s="4" t="s">
        <v>9918</v>
      </c>
    </row>
    <row r="2900">
      <c r="A2900" s="1" t="s">
        <v>12</v>
      </c>
      <c r="B2900" s="1" t="s">
        <v>9919</v>
      </c>
      <c r="C2900" s="1" t="s">
        <v>9884</v>
      </c>
      <c r="D2900" s="1" t="s">
        <v>9920</v>
      </c>
      <c r="E2900" s="2">
        <v>37738.0</v>
      </c>
      <c r="F2900" s="1" t="s">
        <v>110</v>
      </c>
      <c r="G2900" s="1" t="s">
        <v>82</v>
      </c>
      <c r="H2900" s="1" t="s">
        <v>18</v>
      </c>
      <c r="I2900" s="3">
        <f>+2250789710566</f>
        <v>2250789710566</v>
      </c>
      <c r="J2900" s="3">
        <f>+2250708262738</f>
        <v>2250708262738</v>
      </c>
      <c r="K2900" s="1" t="s">
        <v>19</v>
      </c>
      <c r="L2900" s="4" t="s">
        <v>9921</v>
      </c>
    </row>
    <row r="2901">
      <c r="A2901" s="1" t="s">
        <v>12</v>
      </c>
      <c r="B2901" s="1" t="s">
        <v>9922</v>
      </c>
      <c r="C2901" s="1" t="s">
        <v>9884</v>
      </c>
      <c r="D2901" s="1" t="s">
        <v>9923</v>
      </c>
      <c r="E2901" s="2">
        <v>38614.0</v>
      </c>
      <c r="F2901" s="1" t="s">
        <v>92</v>
      </c>
      <c r="G2901" s="1" t="s">
        <v>76</v>
      </c>
      <c r="H2901" s="1" t="s">
        <v>32</v>
      </c>
      <c r="I2901" s="3">
        <f>+2250703636883</f>
        <v>2250703636883</v>
      </c>
      <c r="J2901" s="3">
        <f>+2250777007153</f>
        <v>2250777007153</v>
      </c>
      <c r="K2901" s="1" t="s">
        <v>19</v>
      </c>
      <c r="L2901" s="4" t="s">
        <v>9924</v>
      </c>
    </row>
    <row r="2902">
      <c r="A2902" s="1" t="s">
        <v>12</v>
      </c>
      <c r="B2902" s="1" t="s">
        <v>9925</v>
      </c>
      <c r="C2902" s="1" t="s">
        <v>9884</v>
      </c>
      <c r="D2902" s="1" t="s">
        <v>9926</v>
      </c>
      <c r="E2902" s="2">
        <v>37538.0</v>
      </c>
      <c r="F2902" s="1" t="s">
        <v>1850</v>
      </c>
      <c r="G2902" s="1" t="s">
        <v>76</v>
      </c>
      <c r="H2902" s="1" t="s">
        <v>32</v>
      </c>
      <c r="I2902" s="3">
        <f>+2250749192010</f>
        <v>2250749192010</v>
      </c>
      <c r="J2902" s="3">
        <f>+2250505874450</f>
        <v>2250505874450</v>
      </c>
      <c r="K2902" s="1" t="s">
        <v>19</v>
      </c>
      <c r="L2902" s="4" t="s">
        <v>9927</v>
      </c>
    </row>
    <row r="2903">
      <c r="A2903" s="1" t="s">
        <v>12</v>
      </c>
      <c r="B2903" s="1" t="s">
        <v>9928</v>
      </c>
      <c r="C2903" s="1" t="s">
        <v>9884</v>
      </c>
      <c r="D2903" s="1" t="s">
        <v>9929</v>
      </c>
      <c r="E2903" s="2">
        <v>37700.0</v>
      </c>
      <c r="F2903" s="1" t="s">
        <v>155</v>
      </c>
      <c r="G2903" s="1" t="s">
        <v>82</v>
      </c>
      <c r="H2903" s="1" t="s">
        <v>18</v>
      </c>
      <c r="I2903" s="3">
        <f>+2250555218015</f>
        <v>2250555218015</v>
      </c>
      <c r="J2903" s="3">
        <f>+2250702125507</f>
        <v>2250702125507</v>
      </c>
      <c r="K2903" s="1" t="s">
        <v>19</v>
      </c>
      <c r="L2903" s="4" t="s">
        <v>9930</v>
      </c>
    </row>
    <row r="2904">
      <c r="A2904" s="1" t="s">
        <v>12</v>
      </c>
      <c r="B2904" s="1" t="s">
        <v>9931</v>
      </c>
      <c r="C2904" s="1" t="s">
        <v>9884</v>
      </c>
      <c r="D2904" s="1" t="s">
        <v>2734</v>
      </c>
      <c r="E2904" s="2">
        <v>37381.0</v>
      </c>
      <c r="F2904" s="1" t="s">
        <v>24</v>
      </c>
      <c r="G2904" s="1" t="s">
        <v>82</v>
      </c>
      <c r="H2904" s="1" t="s">
        <v>18</v>
      </c>
      <c r="I2904" s="3">
        <f>+2250703113654</f>
        <v>2250703113654</v>
      </c>
      <c r="J2904" s="3">
        <f>+2250101744450</f>
        <v>2250101744450</v>
      </c>
      <c r="K2904" s="1" t="s">
        <v>19</v>
      </c>
      <c r="L2904" s="4" t="s">
        <v>9932</v>
      </c>
    </row>
    <row r="2905">
      <c r="A2905" s="1" t="s">
        <v>12</v>
      </c>
      <c r="B2905" s="1" t="s">
        <v>9933</v>
      </c>
      <c r="C2905" s="1" t="s">
        <v>9884</v>
      </c>
      <c r="D2905" s="1" t="s">
        <v>9934</v>
      </c>
      <c r="E2905" s="2">
        <v>38981.0</v>
      </c>
      <c r="F2905" s="1" t="s">
        <v>62</v>
      </c>
      <c r="G2905" s="1" t="s">
        <v>25</v>
      </c>
      <c r="H2905" s="1" t="s">
        <v>18</v>
      </c>
      <c r="I2905" s="3">
        <f>+2250141621988</f>
        <v>2250141621988</v>
      </c>
      <c r="J2905" s="3">
        <f>+2250747300160</f>
        <v>2250747300160</v>
      </c>
      <c r="K2905" s="1" t="s">
        <v>19</v>
      </c>
      <c r="L2905" s="4" t="s">
        <v>9935</v>
      </c>
    </row>
    <row r="2906">
      <c r="A2906" s="1" t="s">
        <v>12</v>
      </c>
      <c r="B2906" s="1" t="s">
        <v>9936</v>
      </c>
      <c r="C2906" s="1" t="s">
        <v>9884</v>
      </c>
      <c r="D2906" s="1" t="s">
        <v>9937</v>
      </c>
      <c r="E2906" s="2">
        <v>37262.0</v>
      </c>
      <c r="F2906" s="1" t="s">
        <v>16</v>
      </c>
      <c r="G2906" s="1" t="s">
        <v>82</v>
      </c>
      <c r="H2906" s="1" t="s">
        <v>18</v>
      </c>
      <c r="I2906" s="3">
        <f>+2250565543892</f>
        <v>2250565543892</v>
      </c>
      <c r="J2906" s="3">
        <f>+2250747229141</f>
        <v>2250747229141</v>
      </c>
      <c r="K2906" s="1" t="s">
        <v>19</v>
      </c>
      <c r="L2906" s="4" t="s">
        <v>9938</v>
      </c>
    </row>
    <row r="2907">
      <c r="A2907" s="1" t="s">
        <v>12</v>
      </c>
      <c r="B2907" s="1" t="s">
        <v>9939</v>
      </c>
      <c r="C2907" s="1" t="s">
        <v>9884</v>
      </c>
      <c r="D2907" s="1" t="s">
        <v>9940</v>
      </c>
      <c r="E2907" s="2">
        <v>38037.0</v>
      </c>
      <c r="F2907" s="1" t="s">
        <v>48</v>
      </c>
      <c r="G2907" s="1" t="s">
        <v>76</v>
      </c>
      <c r="H2907" s="1" t="s">
        <v>32</v>
      </c>
      <c r="I2907" s="3">
        <f>+2250701866032</f>
        <v>2250701866032</v>
      </c>
      <c r="J2907" s="3">
        <f>+2250748052393</f>
        <v>2250748052393</v>
      </c>
      <c r="K2907" s="1" t="s">
        <v>19</v>
      </c>
      <c r="L2907" s="4" t="s">
        <v>9941</v>
      </c>
    </row>
    <row r="2908">
      <c r="A2908" s="1" t="s">
        <v>12</v>
      </c>
      <c r="B2908" s="1" t="s">
        <v>9942</v>
      </c>
      <c r="C2908" s="1" t="s">
        <v>9884</v>
      </c>
      <c r="D2908" s="1" t="s">
        <v>9943</v>
      </c>
      <c r="E2908" s="2">
        <v>37624.0</v>
      </c>
      <c r="F2908" s="1" t="s">
        <v>570</v>
      </c>
      <c r="G2908" s="1" t="s">
        <v>82</v>
      </c>
      <c r="H2908" s="1" t="s">
        <v>18</v>
      </c>
      <c r="I2908" s="3">
        <f>+2250151994919</f>
        <v>2250151994919</v>
      </c>
      <c r="J2908" s="3">
        <f>+2250564814452</f>
        <v>2250564814452</v>
      </c>
      <c r="K2908" s="1" t="s">
        <v>19</v>
      </c>
      <c r="L2908" s="4" t="s">
        <v>9944</v>
      </c>
    </row>
    <row r="2909">
      <c r="A2909" s="1" t="s">
        <v>12</v>
      </c>
      <c r="B2909" s="1" t="s">
        <v>9945</v>
      </c>
      <c r="C2909" s="1" t="s">
        <v>9884</v>
      </c>
      <c r="D2909" s="1" t="s">
        <v>9946</v>
      </c>
      <c r="E2909" s="2">
        <v>37990.0</v>
      </c>
      <c r="F2909" s="1" t="s">
        <v>62</v>
      </c>
      <c r="G2909" s="1" t="s">
        <v>25</v>
      </c>
      <c r="H2909" s="1" t="s">
        <v>18</v>
      </c>
      <c r="I2909" s="3">
        <f>+2250777255852</f>
        <v>2250777255852</v>
      </c>
      <c r="J2909" s="3">
        <f>+2250446707072</f>
        <v>2250446707072</v>
      </c>
      <c r="K2909" s="1" t="s">
        <v>19</v>
      </c>
      <c r="L2909" s="4" t="s">
        <v>9947</v>
      </c>
    </row>
    <row r="2910">
      <c r="A2910" s="1" t="s">
        <v>12</v>
      </c>
      <c r="B2910" s="1" t="s">
        <v>9948</v>
      </c>
      <c r="C2910" s="1" t="s">
        <v>9884</v>
      </c>
      <c r="D2910" s="1" t="s">
        <v>9949</v>
      </c>
      <c r="E2910" s="2">
        <v>36723.0</v>
      </c>
      <c r="F2910" s="1" t="s">
        <v>87</v>
      </c>
      <c r="G2910" s="1" t="s">
        <v>76</v>
      </c>
      <c r="H2910" s="1" t="s">
        <v>32</v>
      </c>
      <c r="I2910" s="3">
        <f>+2250774062661</f>
        <v>2250774062661</v>
      </c>
      <c r="J2910" s="3">
        <f>+2250575066702</f>
        <v>2250575066702</v>
      </c>
      <c r="K2910" s="1" t="s">
        <v>19</v>
      </c>
      <c r="L2910" s="4" t="s">
        <v>9950</v>
      </c>
    </row>
    <row r="2911">
      <c r="A2911" s="1" t="s">
        <v>12</v>
      </c>
      <c r="B2911" s="1" t="s">
        <v>9951</v>
      </c>
      <c r="C2911" s="1" t="s">
        <v>9884</v>
      </c>
      <c r="D2911" s="1" t="s">
        <v>9952</v>
      </c>
      <c r="E2911" s="2">
        <v>36252.0</v>
      </c>
      <c r="F2911" s="1" t="s">
        <v>53</v>
      </c>
      <c r="G2911" s="1" t="s">
        <v>17</v>
      </c>
      <c r="H2911" s="1" t="s">
        <v>18</v>
      </c>
      <c r="I2911" s="3">
        <f>+2250101635336</f>
        <v>2250101635336</v>
      </c>
      <c r="J2911" s="3">
        <f>+2250709714440</f>
        <v>2250709714440</v>
      </c>
      <c r="K2911" s="1" t="s">
        <v>19</v>
      </c>
      <c r="L2911" s="4" t="s">
        <v>9953</v>
      </c>
    </row>
    <row r="2912">
      <c r="A2912" s="1" t="s">
        <v>12</v>
      </c>
      <c r="B2912" s="1" t="s">
        <v>9954</v>
      </c>
      <c r="C2912" s="1" t="s">
        <v>9884</v>
      </c>
      <c r="D2912" s="1" t="s">
        <v>9955</v>
      </c>
      <c r="E2912" s="2">
        <v>36228.0</v>
      </c>
      <c r="F2912" s="1" t="s">
        <v>62</v>
      </c>
      <c r="G2912" s="1" t="s">
        <v>17</v>
      </c>
      <c r="H2912" s="1" t="s">
        <v>18</v>
      </c>
      <c r="I2912" s="3">
        <f>+2250565701050</f>
        <v>2250565701050</v>
      </c>
      <c r="J2912" s="3">
        <f>+2250564677204</f>
        <v>2250564677204</v>
      </c>
      <c r="K2912" s="1" t="s">
        <v>19</v>
      </c>
      <c r="L2912" s="4" t="s">
        <v>9956</v>
      </c>
    </row>
    <row r="2913">
      <c r="A2913" s="1" t="s">
        <v>12</v>
      </c>
      <c r="B2913" s="1" t="s">
        <v>9957</v>
      </c>
      <c r="C2913" s="1" t="s">
        <v>9884</v>
      </c>
      <c r="D2913" s="1" t="s">
        <v>9507</v>
      </c>
      <c r="E2913" s="2">
        <v>37622.0</v>
      </c>
      <c r="F2913" s="1" t="s">
        <v>101</v>
      </c>
      <c r="G2913" s="1" t="s">
        <v>76</v>
      </c>
      <c r="H2913" s="1" t="s">
        <v>32</v>
      </c>
      <c r="I2913" s="3">
        <f>+2250748281510</f>
        <v>2250748281510</v>
      </c>
      <c r="J2913" s="3">
        <f>+2250778431639</f>
        <v>2250778431639</v>
      </c>
      <c r="K2913" s="1" t="s">
        <v>19</v>
      </c>
      <c r="L2913" s="4" t="s">
        <v>9958</v>
      </c>
    </row>
    <row r="2914">
      <c r="A2914" s="1" t="s">
        <v>12</v>
      </c>
      <c r="B2914" s="1" t="s">
        <v>9959</v>
      </c>
      <c r="C2914" s="1" t="s">
        <v>9884</v>
      </c>
      <c r="D2914" s="1" t="s">
        <v>9507</v>
      </c>
      <c r="E2914" s="2">
        <v>36696.0</v>
      </c>
      <c r="F2914" s="1" t="s">
        <v>62</v>
      </c>
      <c r="G2914" s="1" t="s">
        <v>17</v>
      </c>
      <c r="H2914" s="1" t="s">
        <v>18</v>
      </c>
      <c r="I2914" s="3">
        <f>+2250554030833</f>
        <v>2250554030833</v>
      </c>
      <c r="J2914" s="3">
        <f>+2250709403253</f>
        <v>2250709403253</v>
      </c>
      <c r="K2914" s="1" t="s">
        <v>19</v>
      </c>
      <c r="L2914" s="4" t="s">
        <v>9960</v>
      </c>
    </row>
    <row r="2915">
      <c r="A2915" s="1" t="s">
        <v>12</v>
      </c>
      <c r="B2915" s="1" t="s">
        <v>9961</v>
      </c>
      <c r="C2915" s="1" t="s">
        <v>9884</v>
      </c>
      <c r="D2915" s="1" t="s">
        <v>9962</v>
      </c>
      <c r="E2915" s="5">
        <v>37573.0</v>
      </c>
      <c r="F2915" s="1" t="s">
        <v>16</v>
      </c>
      <c r="G2915" s="1" t="s">
        <v>25</v>
      </c>
      <c r="H2915" s="1" t="s">
        <v>18</v>
      </c>
      <c r="I2915" s="3">
        <f>+2250768580554</f>
        <v>2250768580554</v>
      </c>
      <c r="J2915" s="3">
        <f>+2250767195000</f>
        <v>2250767195000</v>
      </c>
      <c r="K2915" s="1" t="s">
        <v>19</v>
      </c>
      <c r="L2915" s="4" t="s">
        <v>9963</v>
      </c>
    </row>
    <row r="2916">
      <c r="A2916" s="1" t="s">
        <v>12</v>
      </c>
      <c r="B2916" s="1" t="s">
        <v>9964</v>
      </c>
      <c r="C2916" s="1" t="s">
        <v>9884</v>
      </c>
      <c r="D2916" s="1" t="s">
        <v>9965</v>
      </c>
      <c r="E2916" s="2">
        <v>38449.0</v>
      </c>
      <c r="F2916" s="1" t="s">
        <v>16</v>
      </c>
      <c r="G2916" s="1" t="s">
        <v>25</v>
      </c>
      <c r="H2916" s="1" t="s">
        <v>18</v>
      </c>
      <c r="I2916" s="3">
        <f>+2250788257156</f>
        <v>2250788257156</v>
      </c>
      <c r="J2916" s="3">
        <f>+2250708276891</f>
        <v>2250708276891</v>
      </c>
      <c r="K2916" s="1" t="s">
        <v>19</v>
      </c>
      <c r="L2916" s="4" t="s">
        <v>9966</v>
      </c>
    </row>
    <row r="2917">
      <c r="A2917" s="1" t="s">
        <v>12</v>
      </c>
      <c r="B2917" s="1" t="s">
        <v>9967</v>
      </c>
      <c r="C2917" s="1" t="s">
        <v>9884</v>
      </c>
      <c r="D2917" s="1" t="s">
        <v>9968</v>
      </c>
      <c r="E2917" s="2">
        <v>37437.0</v>
      </c>
      <c r="F2917" s="1" t="s">
        <v>16</v>
      </c>
      <c r="G2917" s="1" t="s">
        <v>17</v>
      </c>
      <c r="H2917" s="1" t="s">
        <v>18</v>
      </c>
      <c r="I2917" s="3">
        <f>+2250566822081</f>
        <v>2250566822081</v>
      </c>
      <c r="J2917" s="3">
        <f>+2250707905991</f>
        <v>2250707905991</v>
      </c>
      <c r="K2917" s="1" t="s">
        <v>19</v>
      </c>
      <c r="L2917" s="4" t="s">
        <v>9969</v>
      </c>
    </row>
    <row r="2918">
      <c r="A2918" s="1" t="s">
        <v>12</v>
      </c>
      <c r="B2918" s="1" t="s">
        <v>9970</v>
      </c>
      <c r="C2918" s="1" t="s">
        <v>9884</v>
      </c>
      <c r="D2918" s="1" t="s">
        <v>9971</v>
      </c>
      <c r="E2918" s="2">
        <v>37389.0</v>
      </c>
      <c r="F2918" s="1" t="s">
        <v>62</v>
      </c>
      <c r="G2918" s="1" t="s">
        <v>25</v>
      </c>
      <c r="H2918" s="1" t="s">
        <v>18</v>
      </c>
      <c r="I2918" s="3">
        <f>+2250152360849</f>
        <v>2250152360849</v>
      </c>
      <c r="J2918" s="3">
        <f>+2250789143418</f>
        <v>2250789143418</v>
      </c>
      <c r="K2918" s="1" t="s">
        <v>19</v>
      </c>
      <c r="L2918" s="4" t="s">
        <v>9972</v>
      </c>
    </row>
    <row r="2919">
      <c r="A2919" s="1" t="s">
        <v>12</v>
      </c>
      <c r="B2919" s="1" t="s">
        <v>9973</v>
      </c>
      <c r="C2919" s="1" t="s">
        <v>9884</v>
      </c>
      <c r="D2919" s="1" t="s">
        <v>9974</v>
      </c>
      <c r="E2919" s="2">
        <v>38005.0</v>
      </c>
      <c r="F2919" s="1" t="s">
        <v>16</v>
      </c>
      <c r="G2919" s="1" t="s">
        <v>17</v>
      </c>
      <c r="H2919" s="1" t="s">
        <v>18</v>
      </c>
      <c r="I2919" s="3">
        <f>+2250594113187</f>
        <v>2250594113187</v>
      </c>
      <c r="J2919" s="3">
        <f>+2250747051208</f>
        <v>2250747051208</v>
      </c>
      <c r="K2919" s="1" t="s">
        <v>19</v>
      </c>
      <c r="L2919" s="4" t="s">
        <v>9975</v>
      </c>
    </row>
    <row r="2920">
      <c r="A2920" s="1" t="s">
        <v>12</v>
      </c>
      <c r="B2920" s="1" t="s">
        <v>9976</v>
      </c>
      <c r="C2920" s="1" t="s">
        <v>9884</v>
      </c>
      <c r="D2920" s="1" t="s">
        <v>9977</v>
      </c>
      <c r="E2920" s="2">
        <v>37805.0</v>
      </c>
      <c r="F2920" s="1" t="s">
        <v>53</v>
      </c>
      <c r="G2920" s="1" t="s">
        <v>17</v>
      </c>
      <c r="H2920" s="1" t="s">
        <v>18</v>
      </c>
      <c r="I2920" s="3">
        <f>+2250576512473</f>
        <v>2250576512473</v>
      </c>
      <c r="J2920" s="3">
        <f>+2250101211183</f>
        <v>2250101211183</v>
      </c>
      <c r="K2920" s="1" t="s">
        <v>19</v>
      </c>
      <c r="L2920" s="4" t="s">
        <v>9978</v>
      </c>
    </row>
    <row r="2921">
      <c r="A2921" s="1" t="s">
        <v>12</v>
      </c>
      <c r="B2921" s="1" t="s">
        <v>9979</v>
      </c>
      <c r="C2921" s="1" t="s">
        <v>9884</v>
      </c>
      <c r="D2921" s="1" t="s">
        <v>9980</v>
      </c>
      <c r="E2921" s="2">
        <v>38081.0</v>
      </c>
      <c r="F2921" s="1" t="s">
        <v>110</v>
      </c>
      <c r="G2921" s="1" t="s">
        <v>82</v>
      </c>
      <c r="H2921" s="1" t="s">
        <v>18</v>
      </c>
      <c r="I2921" s="3">
        <f>+2250777949522</f>
        <v>2250777949522</v>
      </c>
      <c r="J2921" s="3">
        <f>+2250707301705</f>
        <v>2250707301705</v>
      </c>
      <c r="K2921" s="1" t="s">
        <v>19</v>
      </c>
      <c r="L2921" s="4" t="s">
        <v>9981</v>
      </c>
    </row>
    <row r="2922">
      <c r="A2922" s="1" t="s">
        <v>12</v>
      </c>
      <c r="B2922" s="1" t="s">
        <v>9982</v>
      </c>
      <c r="C2922" s="1" t="s">
        <v>9884</v>
      </c>
      <c r="D2922" s="1" t="s">
        <v>9983</v>
      </c>
      <c r="E2922" s="2">
        <v>37332.0</v>
      </c>
      <c r="F2922" s="1" t="s">
        <v>138</v>
      </c>
      <c r="G2922" s="1" t="s">
        <v>31</v>
      </c>
      <c r="H2922" s="1" t="s">
        <v>32</v>
      </c>
      <c r="I2922" s="3">
        <f>+2250101386683</f>
        <v>2250101386683</v>
      </c>
      <c r="J2922" s="3">
        <f>+2250506893068</f>
        <v>2250506893068</v>
      </c>
      <c r="K2922" s="1" t="s">
        <v>19</v>
      </c>
      <c r="L2922" s="4" t="s">
        <v>9984</v>
      </c>
    </row>
    <row r="2923">
      <c r="A2923" s="1" t="s">
        <v>12</v>
      </c>
      <c r="B2923" s="1" t="s">
        <v>9985</v>
      </c>
      <c r="C2923" s="1" t="s">
        <v>9884</v>
      </c>
      <c r="D2923" s="1" t="s">
        <v>9986</v>
      </c>
      <c r="E2923" s="2">
        <v>37436.0</v>
      </c>
      <c r="F2923" s="1" t="s">
        <v>30</v>
      </c>
      <c r="G2923" s="1" t="s">
        <v>76</v>
      </c>
      <c r="H2923" s="1" t="s">
        <v>32</v>
      </c>
      <c r="I2923" s="3">
        <f>+2250705910495</f>
        <v>2250705910495</v>
      </c>
      <c r="J2923" s="3">
        <f>+2250707905756</f>
        <v>2250707905756</v>
      </c>
      <c r="K2923" s="1" t="s">
        <v>19</v>
      </c>
      <c r="L2923" s="4" t="s">
        <v>9987</v>
      </c>
    </row>
    <row r="2924">
      <c r="A2924" s="1" t="s">
        <v>12</v>
      </c>
      <c r="B2924" s="1" t="s">
        <v>9988</v>
      </c>
      <c r="C2924" s="1" t="s">
        <v>9884</v>
      </c>
      <c r="D2924" s="1" t="s">
        <v>9989</v>
      </c>
      <c r="E2924" s="2">
        <v>38121.0</v>
      </c>
      <c r="F2924" s="1" t="s">
        <v>182</v>
      </c>
      <c r="G2924" s="1" t="s">
        <v>82</v>
      </c>
      <c r="H2924" s="1" t="s">
        <v>18</v>
      </c>
      <c r="I2924" s="3">
        <f>+2250172504562</f>
        <v>2250172504562</v>
      </c>
      <c r="J2924" s="3">
        <f>+2250709496075</f>
        <v>2250709496075</v>
      </c>
      <c r="K2924" s="1" t="s">
        <v>19</v>
      </c>
      <c r="L2924" s="4" t="s">
        <v>9990</v>
      </c>
    </row>
    <row r="2925">
      <c r="A2925" s="1" t="s">
        <v>12</v>
      </c>
      <c r="B2925" s="1" t="s">
        <v>9991</v>
      </c>
      <c r="C2925" s="1" t="s">
        <v>9884</v>
      </c>
      <c r="D2925" s="1" t="s">
        <v>1714</v>
      </c>
      <c r="E2925" s="5">
        <v>37979.0</v>
      </c>
      <c r="F2925" s="1" t="s">
        <v>53</v>
      </c>
      <c r="G2925" s="1" t="s">
        <v>25</v>
      </c>
      <c r="H2925" s="1" t="s">
        <v>18</v>
      </c>
      <c r="I2925" s="3">
        <f>+2250150174167</f>
        <v>2250150174167</v>
      </c>
      <c r="J2925" s="3">
        <f>+2250596678004</f>
        <v>2250596678004</v>
      </c>
      <c r="K2925" s="1" t="s">
        <v>19</v>
      </c>
      <c r="L2925" s="4" t="s">
        <v>9992</v>
      </c>
    </row>
    <row r="2926">
      <c r="A2926" s="1" t="s">
        <v>12</v>
      </c>
      <c r="B2926" s="1" t="s">
        <v>9993</v>
      </c>
      <c r="C2926" s="1" t="s">
        <v>9884</v>
      </c>
      <c r="D2926" s="1" t="s">
        <v>9994</v>
      </c>
      <c r="E2926" s="2">
        <v>37622.0</v>
      </c>
      <c r="F2926" s="1" t="s">
        <v>75</v>
      </c>
      <c r="G2926" s="1" t="s">
        <v>76</v>
      </c>
      <c r="H2926" s="1" t="s">
        <v>32</v>
      </c>
      <c r="I2926" s="3">
        <f>+2250767996148</f>
        <v>2250767996148</v>
      </c>
      <c r="J2926" s="3">
        <f>+2250749772693</f>
        <v>2250749772693</v>
      </c>
      <c r="K2926" s="1" t="s">
        <v>19</v>
      </c>
      <c r="L2926" s="4" t="s">
        <v>9995</v>
      </c>
    </row>
    <row r="2927">
      <c r="A2927" s="1" t="s">
        <v>12</v>
      </c>
      <c r="B2927" s="1" t="s">
        <v>9996</v>
      </c>
      <c r="C2927" s="1" t="s">
        <v>9884</v>
      </c>
      <c r="D2927" s="1" t="s">
        <v>9997</v>
      </c>
      <c r="E2927" s="2">
        <v>36621.0</v>
      </c>
      <c r="F2927" s="1" t="s">
        <v>16</v>
      </c>
      <c r="G2927" s="1" t="s">
        <v>38</v>
      </c>
      <c r="H2927" s="1" t="s">
        <v>39</v>
      </c>
      <c r="I2927" s="3">
        <f>+2250788491589</f>
        <v>2250788491589</v>
      </c>
      <c r="J2927" s="3">
        <f>+2250777669069</f>
        <v>2250777669069</v>
      </c>
      <c r="K2927" s="1" t="s">
        <v>19</v>
      </c>
      <c r="L2927" s="4" t="s">
        <v>9998</v>
      </c>
    </row>
    <row r="2928">
      <c r="A2928" s="1" t="s">
        <v>12</v>
      </c>
      <c r="B2928" s="1" t="s">
        <v>9999</v>
      </c>
      <c r="C2928" s="1" t="s">
        <v>9884</v>
      </c>
      <c r="D2928" s="1" t="s">
        <v>10000</v>
      </c>
      <c r="E2928" s="5">
        <v>37188.0</v>
      </c>
      <c r="F2928" s="1" t="s">
        <v>16</v>
      </c>
      <c r="G2928" s="1" t="s">
        <v>82</v>
      </c>
      <c r="H2928" s="1" t="s">
        <v>18</v>
      </c>
      <c r="I2928" s="3">
        <f>+2250143439938</f>
        <v>2250143439938</v>
      </c>
      <c r="J2928" s="3">
        <f>+2250758896681</f>
        <v>2250758896681</v>
      </c>
      <c r="K2928" s="1" t="s">
        <v>19</v>
      </c>
      <c r="L2928" s="4" t="s">
        <v>10001</v>
      </c>
    </row>
    <row r="2929">
      <c r="A2929" s="1" t="s">
        <v>12</v>
      </c>
      <c r="B2929" s="1" t="s">
        <v>10002</v>
      </c>
      <c r="C2929" s="1" t="s">
        <v>9884</v>
      </c>
      <c r="D2929" s="1" t="s">
        <v>10003</v>
      </c>
      <c r="E2929" s="5">
        <v>37256.0</v>
      </c>
      <c r="F2929" s="1" t="s">
        <v>62</v>
      </c>
      <c r="G2929" s="1" t="s">
        <v>17</v>
      </c>
      <c r="H2929" s="1" t="s">
        <v>18</v>
      </c>
      <c r="I2929" s="3">
        <f>+2250767123051</f>
        <v>2250767123051</v>
      </c>
      <c r="J2929" s="3">
        <f>+2250505851778</f>
        <v>2250505851778</v>
      </c>
      <c r="K2929" s="1" t="s">
        <v>19</v>
      </c>
      <c r="L2929" s="4" t="s">
        <v>10004</v>
      </c>
    </row>
    <row r="2930">
      <c r="A2930" s="1" t="s">
        <v>12</v>
      </c>
      <c r="B2930" s="1" t="s">
        <v>10005</v>
      </c>
      <c r="C2930" s="1" t="s">
        <v>9884</v>
      </c>
      <c r="D2930" s="1" t="s">
        <v>10006</v>
      </c>
      <c r="E2930" s="2">
        <v>38153.0</v>
      </c>
      <c r="F2930" s="1" t="s">
        <v>342</v>
      </c>
      <c r="G2930" s="1" t="s">
        <v>82</v>
      </c>
      <c r="H2930" s="1" t="s">
        <v>18</v>
      </c>
      <c r="I2930" s="3">
        <f>+2250788862575</f>
        <v>2250788862575</v>
      </c>
      <c r="J2930" s="3">
        <f>+2250707386440</f>
        <v>2250707386440</v>
      </c>
      <c r="K2930" s="1" t="s">
        <v>19</v>
      </c>
      <c r="L2930" s="4" t="s">
        <v>10007</v>
      </c>
    </row>
    <row r="2931">
      <c r="A2931" s="1" t="s">
        <v>12</v>
      </c>
      <c r="B2931" s="1" t="s">
        <v>10008</v>
      </c>
      <c r="C2931" s="1" t="s">
        <v>9884</v>
      </c>
      <c r="D2931" s="1" t="s">
        <v>10009</v>
      </c>
      <c r="E2931" s="2">
        <v>37045.0</v>
      </c>
      <c r="F2931" s="1" t="s">
        <v>16</v>
      </c>
      <c r="G2931" s="1" t="s">
        <v>25</v>
      </c>
      <c r="H2931" s="1" t="s">
        <v>18</v>
      </c>
      <c r="I2931" s="3">
        <f>+2250798043709</f>
        <v>2250798043709</v>
      </c>
      <c r="J2931" s="3">
        <f>+2250747447753</f>
        <v>2250747447753</v>
      </c>
      <c r="K2931" s="1" t="s">
        <v>19</v>
      </c>
      <c r="L2931" s="4" t="s">
        <v>10010</v>
      </c>
    </row>
    <row r="2932">
      <c r="A2932" s="1" t="s">
        <v>12</v>
      </c>
      <c r="B2932" s="1" t="s">
        <v>10011</v>
      </c>
      <c r="C2932" s="1" t="s">
        <v>9884</v>
      </c>
      <c r="D2932" s="1" t="s">
        <v>10012</v>
      </c>
      <c r="E2932" s="2">
        <v>38691.0</v>
      </c>
      <c r="F2932" s="1" t="s">
        <v>155</v>
      </c>
      <c r="G2932" s="1" t="s">
        <v>76</v>
      </c>
      <c r="H2932" s="1" t="s">
        <v>32</v>
      </c>
      <c r="I2932" s="3">
        <f>+2250556245153</f>
        <v>2250556245153</v>
      </c>
      <c r="J2932" s="3">
        <f>+2250545399297</f>
        <v>2250545399297</v>
      </c>
      <c r="K2932" s="1" t="s">
        <v>19</v>
      </c>
      <c r="L2932" s="4" t="s">
        <v>10013</v>
      </c>
    </row>
    <row r="2933">
      <c r="A2933" s="1" t="s">
        <v>12</v>
      </c>
      <c r="B2933" s="1" t="s">
        <v>10014</v>
      </c>
      <c r="C2933" s="1" t="s">
        <v>9884</v>
      </c>
      <c r="D2933" s="1" t="s">
        <v>10015</v>
      </c>
      <c r="E2933" s="2">
        <v>37467.0</v>
      </c>
      <c r="F2933" s="1" t="s">
        <v>53</v>
      </c>
      <c r="G2933" s="1" t="s">
        <v>25</v>
      </c>
      <c r="H2933" s="1" t="s">
        <v>18</v>
      </c>
      <c r="I2933" s="3">
        <f>+2250798306621</f>
        <v>2250798306621</v>
      </c>
      <c r="J2933" s="3">
        <f>+2250758579310</f>
        <v>2250758579310</v>
      </c>
      <c r="K2933" s="1" t="s">
        <v>19</v>
      </c>
      <c r="L2933" s="4" t="s">
        <v>10016</v>
      </c>
    </row>
    <row r="2934">
      <c r="A2934" s="1" t="s">
        <v>12</v>
      </c>
      <c r="B2934" s="1" t="s">
        <v>10017</v>
      </c>
      <c r="C2934" s="1" t="s">
        <v>9884</v>
      </c>
      <c r="D2934" s="1" t="s">
        <v>1853</v>
      </c>
      <c r="E2934" s="2">
        <v>37839.0</v>
      </c>
      <c r="F2934" s="1" t="s">
        <v>182</v>
      </c>
      <c r="G2934" s="1" t="s">
        <v>82</v>
      </c>
      <c r="H2934" s="1" t="s">
        <v>18</v>
      </c>
      <c r="I2934" s="3">
        <f>+2250799138304</f>
        <v>2250799138304</v>
      </c>
      <c r="J2934" s="3">
        <f>+2250708005356</f>
        <v>2250708005356</v>
      </c>
      <c r="K2934" s="1" t="s">
        <v>19</v>
      </c>
      <c r="L2934" s="4" t="s">
        <v>10018</v>
      </c>
    </row>
    <row r="2935">
      <c r="A2935" s="1" t="s">
        <v>12</v>
      </c>
      <c r="B2935" s="1" t="s">
        <v>10019</v>
      </c>
      <c r="C2935" s="1" t="s">
        <v>9884</v>
      </c>
      <c r="D2935" s="1" t="s">
        <v>10020</v>
      </c>
      <c r="E2935" s="5">
        <v>37554.0</v>
      </c>
      <c r="F2935" s="1" t="s">
        <v>48</v>
      </c>
      <c r="G2935" s="1" t="s">
        <v>76</v>
      </c>
      <c r="H2935" s="1" t="s">
        <v>32</v>
      </c>
      <c r="I2935" s="3">
        <f>+2250779912061</f>
        <v>2250779912061</v>
      </c>
      <c r="J2935" s="3">
        <f>+2250707075518</f>
        <v>2250707075518</v>
      </c>
      <c r="K2935" s="1" t="s">
        <v>19</v>
      </c>
      <c r="L2935" s="4" t="s">
        <v>10021</v>
      </c>
    </row>
    <row r="2936">
      <c r="A2936" s="1" t="s">
        <v>12</v>
      </c>
      <c r="B2936" s="1" t="s">
        <v>10022</v>
      </c>
      <c r="C2936" s="1" t="s">
        <v>9884</v>
      </c>
      <c r="D2936" s="1" t="s">
        <v>1643</v>
      </c>
      <c r="E2936" s="2">
        <v>37517.0</v>
      </c>
      <c r="F2936" s="1" t="s">
        <v>155</v>
      </c>
      <c r="G2936" s="1" t="s">
        <v>82</v>
      </c>
      <c r="H2936" s="1" t="s">
        <v>18</v>
      </c>
      <c r="I2936" s="3">
        <f>+2250501327600</f>
        <v>2250501327600</v>
      </c>
      <c r="J2936" s="3">
        <f>+2250748482874</f>
        <v>2250748482874</v>
      </c>
      <c r="K2936" s="1" t="s">
        <v>19</v>
      </c>
      <c r="L2936" s="4" t="s">
        <v>10023</v>
      </c>
    </row>
    <row r="2937">
      <c r="A2937" s="1" t="s">
        <v>12</v>
      </c>
      <c r="B2937" s="1" t="s">
        <v>10024</v>
      </c>
      <c r="C2937" s="1" t="s">
        <v>9884</v>
      </c>
      <c r="D2937" s="1" t="s">
        <v>10025</v>
      </c>
      <c r="E2937" s="2">
        <v>36540.0</v>
      </c>
      <c r="F2937" s="1" t="s">
        <v>167</v>
      </c>
      <c r="G2937" s="1" t="s">
        <v>17</v>
      </c>
      <c r="H2937" s="1" t="s">
        <v>18</v>
      </c>
      <c r="I2937" s="3">
        <f>+2250778887367</f>
        <v>2250778887367</v>
      </c>
      <c r="J2937" s="3">
        <f>+2250777008209</f>
        <v>2250777008209</v>
      </c>
      <c r="K2937" s="1" t="s">
        <v>19</v>
      </c>
      <c r="L2937" s="4" t="s">
        <v>10026</v>
      </c>
    </row>
    <row r="2938">
      <c r="A2938" s="1" t="s">
        <v>12</v>
      </c>
      <c r="B2938" s="1" t="s">
        <v>10027</v>
      </c>
      <c r="C2938" s="1" t="s">
        <v>9884</v>
      </c>
      <c r="D2938" s="1" t="s">
        <v>10028</v>
      </c>
      <c r="E2938" s="2">
        <v>37028.0</v>
      </c>
      <c r="F2938" s="1" t="s">
        <v>155</v>
      </c>
      <c r="G2938" s="1" t="s">
        <v>76</v>
      </c>
      <c r="H2938" s="1" t="s">
        <v>32</v>
      </c>
      <c r="I2938" s="3">
        <f>+2250102844581</f>
        <v>2250102844581</v>
      </c>
      <c r="J2938" s="3">
        <f>+2250505867351</f>
        <v>2250505867351</v>
      </c>
      <c r="K2938" s="1" t="s">
        <v>19</v>
      </c>
      <c r="L2938" s="4" t="s">
        <v>10029</v>
      </c>
    </row>
    <row r="2939">
      <c r="A2939" s="1" t="s">
        <v>12</v>
      </c>
      <c r="B2939" s="1" t="s">
        <v>10030</v>
      </c>
      <c r="C2939" s="1" t="s">
        <v>9884</v>
      </c>
      <c r="D2939" s="1" t="s">
        <v>2806</v>
      </c>
      <c r="E2939" s="5">
        <v>37952.0</v>
      </c>
      <c r="F2939" s="1" t="s">
        <v>155</v>
      </c>
      <c r="G2939" s="1" t="s">
        <v>76</v>
      </c>
      <c r="H2939" s="1" t="s">
        <v>32</v>
      </c>
      <c r="I2939" s="3">
        <f>+2250759607407</f>
        <v>2250759607407</v>
      </c>
      <c r="J2939" s="3">
        <f>+2250504984520</f>
        <v>2250504984520</v>
      </c>
      <c r="K2939" s="1" t="s">
        <v>19</v>
      </c>
      <c r="L2939" s="4" t="s">
        <v>10031</v>
      </c>
    </row>
    <row r="2940">
      <c r="A2940" s="1" t="s">
        <v>12</v>
      </c>
      <c r="B2940" s="1" t="s">
        <v>10032</v>
      </c>
      <c r="C2940" s="1" t="s">
        <v>9884</v>
      </c>
      <c r="D2940" s="1" t="s">
        <v>2806</v>
      </c>
      <c r="E2940" s="5">
        <v>37552.0</v>
      </c>
      <c r="F2940" s="1" t="s">
        <v>62</v>
      </c>
      <c r="G2940" s="1" t="s">
        <v>17</v>
      </c>
      <c r="H2940" s="1" t="s">
        <v>18</v>
      </c>
      <c r="I2940" s="3">
        <f>+2250143475405</f>
        <v>2250143475405</v>
      </c>
      <c r="J2940" s="3">
        <f>+2250711422403</f>
        <v>2250711422403</v>
      </c>
      <c r="K2940" s="1" t="s">
        <v>19</v>
      </c>
      <c r="L2940" s="4" t="s">
        <v>10033</v>
      </c>
    </row>
    <row r="2941">
      <c r="A2941" s="1" t="s">
        <v>12</v>
      </c>
      <c r="B2941" s="1" t="s">
        <v>10034</v>
      </c>
      <c r="C2941" s="1" t="s">
        <v>9884</v>
      </c>
      <c r="D2941" s="1" t="s">
        <v>10035</v>
      </c>
      <c r="E2941" s="2">
        <v>38500.0</v>
      </c>
      <c r="F2941" s="1" t="s">
        <v>53</v>
      </c>
      <c r="G2941" s="1" t="s">
        <v>17</v>
      </c>
      <c r="H2941" s="1" t="s">
        <v>18</v>
      </c>
      <c r="I2941" s="3">
        <f>+2250151823301</f>
        <v>2250151823301</v>
      </c>
      <c r="J2941" s="3">
        <f>+2250747090818</f>
        <v>2250747090818</v>
      </c>
      <c r="K2941" s="1" t="s">
        <v>19</v>
      </c>
      <c r="L2941" s="4" t="s">
        <v>10036</v>
      </c>
    </row>
    <row r="2942">
      <c r="A2942" s="1" t="s">
        <v>12</v>
      </c>
      <c r="B2942" s="1" t="s">
        <v>10037</v>
      </c>
      <c r="C2942" s="1" t="s">
        <v>9884</v>
      </c>
      <c r="D2942" s="1" t="s">
        <v>10038</v>
      </c>
      <c r="E2942" s="2">
        <v>37016.0</v>
      </c>
      <c r="F2942" s="1" t="s">
        <v>155</v>
      </c>
      <c r="G2942" s="1" t="s">
        <v>82</v>
      </c>
      <c r="H2942" s="1" t="s">
        <v>18</v>
      </c>
      <c r="I2942" s="3">
        <f>+2250759958716</f>
        <v>2250759958716</v>
      </c>
      <c r="J2942" s="3">
        <f>+2250705118616</f>
        <v>2250705118616</v>
      </c>
      <c r="K2942" s="1" t="s">
        <v>19</v>
      </c>
      <c r="L2942" s="4" t="s">
        <v>10039</v>
      </c>
    </row>
    <row r="2943">
      <c r="A2943" s="1" t="s">
        <v>12</v>
      </c>
      <c r="B2943" s="1" t="s">
        <v>10040</v>
      </c>
      <c r="C2943" s="1" t="s">
        <v>9884</v>
      </c>
      <c r="D2943" s="1" t="s">
        <v>10041</v>
      </c>
      <c r="E2943" s="2">
        <v>37161.0</v>
      </c>
      <c r="F2943" s="1" t="s">
        <v>16</v>
      </c>
      <c r="G2943" s="1" t="s">
        <v>17</v>
      </c>
      <c r="H2943" s="1" t="s">
        <v>18</v>
      </c>
      <c r="I2943" s="3">
        <f>+2250798108323</f>
        <v>2250798108323</v>
      </c>
      <c r="J2943" s="3">
        <f>+2250708833212</f>
        <v>2250708833212</v>
      </c>
      <c r="K2943" s="1" t="s">
        <v>19</v>
      </c>
      <c r="L2943" s="4" t="s">
        <v>10042</v>
      </c>
    </row>
    <row r="2944">
      <c r="A2944" s="1" t="s">
        <v>12</v>
      </c>
      <c r="B2944" s="1" t="s">
        <v>10043</v>
      </c>
      <c r="C2944" s="1" t="s">
        <v>9884</v>
      </c>
      <c r="D2944" s="1" t="s">
        <v>10044</v>
      </c>
      <c r="E2944" s="2">
        <v>36995.0</v>
      </c>
      <c r="F2944" s="1" t="s">
        <v>351</v>
      </c>
      <c r="G2944" s="1" t="s">
        <v>31</v>
      </c>
      <c r="H2944" s="1" t="s">
        <v>32</v>
      </c>
      <c r="I2944" s="3">
        <f>+2250586220870</f>
        <v>2250586220870</v>
      </c>
      <c r="J2944" s="3">
        <f>+2250708276794</f>
        <v>2250708276794</v>
      </c>
      <c r="K2944" s="1" t="s">
        <v>19</v>
      </c>
      <c r="L2944" s="4" t="s">
        <v>10045</v>
      </c>
    </row>
    <row r="2945">
      <c r="A2945" s="1" t="s">
        <v>12</v>
      </c>
      <c r="B2945" s="1" t="s">
        <v>10046</v>
      </c>
      <c r="C2945" s="1" t="s">
        <v>9884</v>
      </c>
      <c r="D2945" s="1" t="s">
        <v>10047</v>
      </c>
      <c r="E2945" s="5">
        <v>38656.0</v>
      </c>
      <c r="F2945" s="1" t="s">
        <v>16</v>
      </c>
      <c r="G2945" s="1" t="s">
        <v>25</v>
      </c>
      <c r="H2945" s="1" t="s">
        <v>18</v>
      </c>
      <c r="I2945" s="3">
        <f t="shared" ref="I2945:J2945" si="92">+2250788076341</f>
        <v>2250788076341</v>
      </c>
      <c r="J2945" s="3">
        <f t="shared" si="92"/>
        <v>2250788076341</v>
      </c>
      <c r="K2945" s="1" t="s">
        <v>19</v>
      </c>
      <c r="L2945" s="4" t="s">
        <v>10048</v>
      </c>
    </row>
    <row r="2946">
      <c r="A2946" s="1" t="s">
        <v>12</v>
      </c>
      <c r="B2946" s="1" t="s">
        <v>10049</v>
      </c>
      <c r="C2946" s="1" t="s">
        <v>9884</v>
      </c>
      <c r="D2946" s="1" t="s">
        <v>10050</v>
      </c>
      <c r="E2946" s="2">
        <v>38037.0</v>
      </c>
      <c r="F2946" s="1" t="s">
        <v>16</v>
      </c>
      <c r="G2946" s="1" t="s">
        <v>17</v>
      </c>
      <c r="H2946" s="1" t="s">
        <v>18</v>
      </c>
      <c r="I2946" s="3">
        <f>+2250554750010</f>
        <v>2250554750010</v>
      </c>
      <c r="J2946" s="3">
        <f>+2250777058868</f>
        <v>2250777058868</v>
      </c>
      <c r="K2946" s="1" t="s">
        <v>19</v>
      </c>
      <c r="L2946" s="4" t="s">
        <v>10051</v>
      </c>
    </row>
    <row r="2947">
      <c r="A2947" s="1" t="s">
        <v>12</v>
      </c>
      <c r="B2947" s="1" t="s">
        <v>10052</v>
      </c>
      <c r="C2947" s="1" t="s">
        <v>9884</v>
      </c>
      <c r="D2947" s="1" t="s">
        <v>10053</v>
      </c>
      <c r="E2947" s="2">
        <v>37323.0</v>
      </c>
      <c r="F2947" s="1" t="s">
        <v>110</v>
      </c>
      <c r="G2947" s="1" t="s">
        <v>82</v>
      </c>
      <c r="H2947" s="1" t="s">
        <v>18</v>
      </c>
      <c r="I2947" s="3">
        <f>+2250702938146</f>
        <v>2250702938146</v>
      </c>
      <c r="J2947" s="3">
        <f>+2250545835085</f>
        <v>2250545835085</v>
      </c>
      <c r="K2947" s="1" t="s">
        <v>19</v>
      </c>
      <c r="L2947" s="4" t="s">
        <v>10054</v>
      </c>
    </row>
    <row r="2948">
      <c r="A2948" s="1" t="s">
        <v>12</v>
      </c>
      <c r="B2948" s="1" t="s">
        <v>10055</v>
      </c>
      <c r="C2948" s="1" t="s">
        <v>9884</v>
      </c>
      <c r="D2948" s="1" t="s">
        <v>10056</v>
      </c>
      <c r="E2948" s="2">
        <v>36673.0</v>
      </c>
      <c r="F2948" s="1" t="s">
        <v>53</v>
      </c>
      <c r="G2948" s="1" t="s">
        <v>17</v>
      </c>
      <c r="H2948" s="1" t="s">
        <v>18</v>
      </c>
      <c r="I2948" s="3">
        <f>+2250707599773</f>
        <v>2250707599773</v>
      </c>
      <c r="J2948" s="3">
        <f>+2250103630971</f>
        <v>2250103630971</v>
      </c>
      <c r="K2948" s="1" t="s">
        <v>19</v>
      </c>
      <c r="L2948" s="4" t="s">
        <v>10057</v>
      </c>
    </row>
    <row r="2949">
      <c r="A2949" s="1" t="s">
        <v>12</v>
      </c>
      <c r="B2949" s="1" t="s">
        <v>10058</v>
      </c>
      <c r="C2949" s="1" t="s">
        <v>9884</v>
      </c>
      <c r="D2949" s="1" t="s">
        <v>10059</v>
      </c>
      <c r="E2949" s="2">
        <v>37370.0</v>
      </c>
      <c r="F2949" s="1" t="s">
        <v>62</v>
      </c>
      <c r="G2949" s="1" t="s">
        <v>25</v>
      </c>
      <c r="H2949" s="1" t="s">
        <v>18</v>
      </c>
      <c r="I2949" s="3">
        <f>+2250759857821</f>
        <v>2250759857821</v>
      </c>
      <c r="J2949" s="3">
        <f>+2250102704205</f>
        <v>2250102704205</v>
      </c>
      <c r="K2949" s="1" t="s">
        <v>19</v>
      </c>
      <c r="L2949" s="4" t="s">
        <v>10060</v>
      </c>
    </row>
    <row r="2950">
      <c r="A2950" s="1" t="s">
        <v>12</v>
      </c>
      <c r="B2950" s="1" t="s">
        <v>10061</v>
      </c>
      <c r="C2950" s="1" t="s">
        <v>9884</v>
      </c>
      <c r="D2950" s="1" t="s">
        <v>10062</v>
      </c>
      <c r="E2950" s="2">
        <v>37792.0</v>
      </c>
      <c r="F2950" s="1" t="s">
        <v>48</v>
      </c>
      <c r="G2950" s="1" t="s">
        <v>82</v>
      </c>
      <c r="H2950" s="1" t="s">
        <v>18</v>
      </c>
      <c r="I2950" s="3" t="str">
        <f>+225BADB050803</f>
        <v>#ERROR!</v>
      </c>
      <c r="J2950" s="3">
        <f>+2250505743316</f>
        <v>2250505743316</v>
      </c>
      <c r="K2950" s="1" t="s">
        <v>19</v>
      </c>
      <c r="L2950" s="4" t="s">
        <v>10063</v>
      </c>
    </row>
    <row r="2951">
      <c r="A2951" s="1" t="s">
        <v>12</v>
      </c>
      <c r="B2951" s="1" t="s">
        <v>10064</v>
      </c>
      <c r="C2951" s="1" t="s">
        <v>9884</v>
      </c>
      <c r="D2951" s="1" t="s">
        <v>10065</v>
      </c>
      <c r="E2951" s="5">
        <v>36453.0</v>
      </c>
      <c r="F2951" s="1" t="s">
        <v>138</v>
      </c>
      <c r="G2951" s="1" t="s">
        <v>31</v>
      </c>
      <c r="H2951" s="1" t="s">
        <v>32</v>
      </c>
      <c r="I2951" s="3">
        <f>+2250545015539</f>
        <v>2250545015539</v>
      </c>
      <c r="J2951" s="3">
        <f>+2250505314321</f>
        <v>2250505314321</v>
      </c>
      <c r="K2951" s="1" t="s">
        <v>19</v>
      </c>
      <c r="L2951" s="4" t="s">
        <v>10066</v>
      </c>
    </row>
    <row r="2952">
      <c r="A2952" s="1" t="s">
        <v>12</v>
      </c>
      <c r="B2952" s="1" t="s">
        <v>10067</v>
      </c>
      <c r="C2952" s="1" t="s">
        <v>9884</v>
      </c>
      <c r="D2952" s="1" t="s">
        <v>10068</v>
      </c>
      <c r="E2952" s="2">
        <v>37140.0</v>
      </c>
      <c r="F2952" s="1" t="s">
        <v>92</v>
      </c>
      <c r="G2952" s="1" t="s">
        <v>31</v>
      </c>
      <c r="H2952" s="1" t="s">
        <v>32</v>
      </c>
      <c r="I2952" s="3">
        <f>+2250798383927</f>
        <v>2250798383927</v>
      </c>
      <c r="J2952" s="3">
        <f>+2250747088713</f>
        <v>2250747088713</v>
      </c>
      <c r="K2952" s="1" t="s">
        <v>19</v>
      </c>
      <c r="L2952" s="4" t="s">
        <v>10069</v>
      </c>
    </row>
    <row r="2953">
      <c r="A2953" s="1" t="s">
        <v>12</v>
      </c>
      <c r="B2953" s="1" t="s">
        <v>10070</v>
      </c>
      <c r="C2953" s="1" t="s">
        <v>9884</v>
      </c>
      <c r="D2953" s="1" t="s">
        <v>10071</v>
      </c>
      <c r="E2953" s="2">
        <v>38042.0</v>
      </c>
      <c r="F2953" s="1" t="s">
        <v>138</v>
      </c>
      <c r="G2953" s="1" t="s">
        <v>76</v>
      </c>
      <c r="H2953" s="1" t="s">
        <v>32</v>
      </c>
      <c r="I2953" s="3">
        <f>+2250501740846</f>
        <v>2250501740846</v>
      </c>
      <c r="J2953" s="3">
        <f>+2250787038174</f>
        <v>2250787038174</v>
      </c>
      <c r="K2953" s="1" t="s">
        <v>19</v>
      </c>
      <c r="L2953" s="4" t="s">
        <v>10072</v>
      </c>
    </row>
    <row r="2954">
      <c r="A2954" s="1" t="s">
        <v>12</v>
      </c>
      <c r="B2954" s="1" t="s">
        <v>10073</v>
      </c>
      <c r="C2954" s="1" t="s">
        <v>9884</v>
      </c>
      <c r="D2954" s="1" t="s">
        <v>10074</v>
      </c>
      <c r="E2954" s="2">
        <v>37670.0</v>
      </c>
      <c r="F2954" s="1" t="s">
        <v>62</v>
      </c>
      <c r="G2954" s="1" t="s">
        <v>17</v>
      </c>
      <c r="H2954" s="1" t="s">
        <v>18</v>
      </c>
      <c r="I2954" s="3">
        <f>+2250554896059</f>
        <v>2250554896059</v>
      </c>
      <c r="J2954" s="3">
        <f>+2250506667775</f>
        <v>2250506667775</v>
      </c>
      <c r="K2954" s="1" t="s">
        <v>19</v>
      </c>
      <c r="L2954" s="4" t="s">
        <v>10075</v>
      </c>
    </row>
    <row r="2955">
      <c r="A2955" s="1" t="s">
        <v>12</v>
      </c>
      <c r="B2955" s="1" t="s">
        <v>10076</v>
      </c>
      <c r="C2955" s="1" t="s">
        <v>9884</v>
      </c>
      <c r="D2955" s="1" t="s">
        <v>1732</v>
      </c>
      <c r="E2955" s="5">
        <v>37585.0</v>
      </c>
      <c r="F2955" s="1" t="s">
        <v>92</v>
      </c>
      <c r="G2955" s="1" t="s">
        <v>76</v>
      </c>
      <c r="H2955" s="1" t="s">
        <v>32</v>
      </c>
      <c r="I2955" s="3">
        <f>+2250700131962</f>
        <v>2250700131962</v>
      </c>
      <c r="J2955" s="3">
        <f>+2250505437392</f>
        <v>2250505437392</v>
      </c>
      <c r="K2955" s="1" t="s">
        <v>19</v>
      </c>
      <c r="L2955" s="4" t="s">
        <v>10077</v>
      </c>
    </row>
    <row r="2956">
      <c r="A2956" s="1" t="s">
        <v>12</v>
      </c>
      <c r="B2956" s="1" t="s">
        <v>10078</v>
      </c>
      <c r="C2956" s="1" t="s">
        <v>9884</v>
      </c>
      <c r="D2956" s="1" t="s">
        <v>1740</v>
      </c>
      <c r="E2956" s="2">
        <v>37299.0</v>
      </c>
      <c r="F2956" s="1" t="s">
        <v>48</v>
      </c>
      <c r="G2956" s="1" t="s">
        <v>76</v>
      </c>
      <c r="H2956" s="1" t="s">
        <v>32</v>
      </c>
      <c r="I2956" s="3">
        <f>+2250564708704</f>
        <v>2250564708704</v>
      </c>
      <c r="J2956" s="3">
        <f>+2250506422570</f>
        <v>2250506422570</v>
      </c>
      <c r="K2956" s="1" t="s">
        <v>19</v>
      </c>
      <c r="L2956" s="4" t="s">
        <v>10079</v>
      </c>
    </row>
    <row r="2957">
      <c r="A2957" s="1" t="s">
        <v>12</v>
      </c>
      <c r="B2957" s="1" t="s">
        <v>10080</v>
      </c>
      <c r="C2957" s="1" t="s">
        <v>9884</v>
      </c>
      <c r="D2957" s="1" t="s">
        <v>1740</v>
      </c>
      <c r="E2957" s="2">
        <v>37130.0</v>
      </c>
      <c r="F2957" s="1" t="s">
        <v>351</v>
      </c>
      <c r="G2957" s="1" t="s">
        <v>31</v>
      </c>
      <c r="H2957" s="1" t="s">
        <v>32</v>
      </c>
      <c r="I2957" s="3">
        <f>+2250789998480</f>
        <v>2250789998480</v>
      </c>
      <c r="J2957" s="3">
        <f>+2250707088743</f>
        <v>2250707088743</v>
      </c>
      <c r="K2957" s="1" t="s">
        <v>19</v>
      </c>
      <c r="L2957" s="4" t="s">
        <v>10081</v>
      </c>
    </row>
    <row r="2958">
      <c r="A2958" s="1" t="s">
        <v>12</v>
      </c>
      <c r="B2958" s="1" t="s">
        <v>10082</v>
      </c>
      <c r="C2958" s="1" t="s">
        <v>9884</v>
      </c>
      <c r="D2958" s="1" t="s">
        <v>10083</v>
      </c>
      <c r="E2958" s="2">
        <v>36273.0</v>
      </c>
      <c r="F2958" s="1" t="s">
        <v>24</v>
      </c>
      <c r="G2958" s="1" t="s">
        <v>82</v>
      </c>
      <c r="H2958" s="1" t="s">
        <v>18</v>
      </c>
      <c r="I2958" s="3">
        <f>+2250799980689</f>
        <v>2250799980689</v>
      </c>
      <c r="J2958" s="3">
        <f>+2250708003432</f>
        <v>2250708003432</v>
      </c>
      <c r="K2958" s="1" t="s">
        <v>19</v>
      </c>
      <c r="L2958" s="4" t="s">
        <v>10084</v>
      </c>
    </row>
    <row r="2959">
      <c r="A2959" s="1" t="s">
        <v>12</v>
      </c>
      <c r="B2959" s="1" t="s">
        <v>10085</v>
      </c>
      <c r="C2959" s="1" t="s">
        <v>9884</v>
      </c>
      <c r="D2959" s="1" t="s">
        <v>10086</v>
      </c>
      <c r="E2959" s="2">
        <v>37746.0</v>
      </c>
      <c r="F2959" s="1" t="s">
        <v>92</v>
      </c>
      <c r="G2959" s="1" t="s">
        <v>31</v>
      </c>
      <c r="H2959" s="1" t="s">
        <v>32</v>
      </c>
      <c r="I2959" s="3">
        <f>+2250759522031</f>
        <v>2250759522031</v>
      </c>
      <c r="J2959" s="3">
        <f>+2250141020297</f>
        <v>2250141020297</v>
      </c>
      <c r="K2959" s="1" t="s">
        <v>19</v>
      </c>
      <c r="L2959" s="4" t="s">
        <v>10087</v>
      </c>
    </row>
    <row r="2960">
      <c r="A2960" s="1" t="s">
        <v>12</v>
      </c>
      <c r="B2960" s="1" t="s">
        <v>10088</v>
      </c>
      <c r="C2960" s="1" t="s">
        <v>9884</v>
      </c>
      <c r="D2960" s="1" t="s">
        <v>10089</v>
      </c>
      <c r="E2960" s="2">
        <v>37278.0</v>
      </c>
      <c r="F2960" s="1" t="s">
        <v>16</v>
      </c>
      <c r="G2960" s="1" t="s">
        <v>17</v>
      </c>
      <c r="H2960" s="1" t="s">
        <v>18</v>
      </c>
      <c r="I2960" s="3">
        <f>+2250758137548</f>
        <v>2250758137548</v>
      </c>
      <c r="J2960" s="3">
        <f>+2250171725533</f>
        <v>2250171725533</v>
      </c>
      <c r="K2960" s="1" t="s">
        <v>19</v>
      </c>
      <c r="L2960" s="4" t="s">
        <v>10090</v>
      </c>
    </row>
    <row r="2961">
      <c r="A2961" s="1" t="s">
        <v>12</v>
      </c>
      <c r="B2961" s="1" t="s">
        <v>10091</v>
      </c>
      <c r="C2961" s="1" t="s">
        <v>9884</v>
      </c>
      <c r="D2961" s="1" t="s">
        <v>10092</v>
      </c>
      <c r="E2961" s="2">
        <v>38396.0</v>
      </c>
      <c r="F2961" s="1" t="s">
        <v>62</v>
      </c>
      <c r="G2961" s="1" t="s">
        <v>25</v>
      </c>
      <c r="H2961" s="1" t="s">
        <v>18</v>
      </c>
      <c r="I2961" s="3">
        <f>+2250556522962</f>
        <v>2250556522962</v>
      </c>
      <c r="J2961" s="3">
        <f>+2250546453710</f>
        <v>2250546453710</v>
      </c>
      <c r="K2961" s="1" t="s">
        <v>19</v>
      </c>
      <c r="L2961" s="4" t="s">
        <v>10093</v>
      </c>
    </row>
    <row r="2962">
      <c r="A2962" s="1" t="s">
        <v>12</v>
      </c>
      <c r="B2962" s="1" t="s">
        <v>10094</v>
      </c>
      <c r="C2962" s="1" t="s">
        <v>9884</v>
      </c>
      <c r="D2962" s="1" t="s">
        <v>10095</v>
      </c>
      <c r="E2962" s="2">
        <v>37681.0</v>
      </c>
      <c r="F2962" s="1" t="s">
        <v>16</v>
      </c>
      <c r="G2962" s="1" t="s">
        <v>17</v>
      </c>
      <c r="H2962" s="1" t="s">
        <v>18</v>
      </c>
      <c r="I2962" s="3">
        <f>+2250703075072</f>
        <v>2250703075072</v>
      </c>
      <c r="J2962" s="3">
        <f>+2250500849672</f>
        <v>2250500849672</v>
      </c>
      <c r="K2962" s="1" t="s">
        <v>19</v>
      </c>
      <c r="L2962" s="4" t="s">
        <v>10096</v>
      </c>
    </row>
    <row r="2963">
      <c r="A2963" s="1" t="s">
        <v>12</v>
      </c>
      <c r="B2963" s="1" t="s">
        <v>10097</v>
      </c>
      <c r="C2963" s="1" t="s">
        <v>9884</v>
      </c>
      <c r="D2963" s="1" t="s">
        <v>10098</v>
      </c>
      <c r="E2963" s="2">
        <v>38200.0</v>
      </c>
      <c r="F2963" s="1" t="s">
        <v>16</v>
      </c>
      <c r="G2963" s="1" t="s">
        <v>17</v>
      </c>
      <c r="H2963" s="1" t="s">
        <v>18</v>
      </c>
      <c r="I2963" s="3">
        <f>+2250565350870</f>
        <v>2250565350870</v>
      </c>
      <c r="J2963" s="3">
        <f>+2250709870858</f>
        <v>2250709870858</v>
      </c>
      <c r="K2963" s="1" t="s">
        <v>19</v>
      </c>
      <c r="L2963" s="4" t="s">
        <v>10099</v>
      </c>
    </row>
    <row r="2964">
      <c r="A2964" s="1" t="s">
        <v>12</v>
      </c>
      <c r="B2964" s="1" t="s">
        <v>10100</v>
      </c>
      <c r="C2964" s="1" t="s">
        <v>9884</v>
      </c>
      <c r="D2964" s="1" t="s">
        <v>4474</v>
      </c>
      <c r="E2964" s="2">
        <v>36721.0</v>
      </c>
      <c r="F2964" s="1" t="s">
        <v>70</v>
      </c>
      <c r="G2964" s="1" t="s">
        <v>76</v>
      </c>
      <c r="H2964" s="1" t="s">
        <v>32</v>
      </c>
      <c r="I2964" s="3">
        <f>+2250788292555</f>
        <v>2250788292555</v>
      </c>
      <c r="J2964" s="3">
        <f>+2250758818812</f>
        <v>2250758818812</v>
      </c>
      <c r="K2964" s="1" t="s">
        <v>19</v>
      </c>
      <c r="L2964" s="4" t="s">
        <v>10101</v>
      </c>
    </row>
    <row r="2965">
      <c r="A2965" s="1" t="s">
        <v>12</v>
      </c>
      <c r="B2965" s="1" t="s">
        <v>10102</v>
      </c>
      <c r="C2965" s="1" t="s">
        <v>9884</v>
      </c>
      <c r="D2965" s="1" t="s">
        <v>10103</v>
      </c>
      <c r="E2965" s="5">
        <v>38319.0</v>
      </c>
      <c r="F2965" s="1" t="s">
        <v>101</v>
      </c>
      <c r="G2965" s="1" t="s">
        <v>31</v>
      </c>
      <c r="H2965" s="1" t="s">
        <v>32</v>
      </c>
      <c r="I2965" s="3">
        <f>+2250153784510</f>
        <v>2250153784510</v>
      </c>
      <c r="J2965" s="3">
        <f>+2250747650603</f>
        <v>2250747650603</v>
      </c>
      <c r="K2965" s="1" t="s">
        <v>19</v>
      </c>
      <c r="L2965" s="4" t="s">
        <v>10104</v>
      </c>
    </row>
    <row r="2966">
      <c r="A2966" s="1" t="s">
        <v>12</v>
      </c>
      <c r="B2966" s="1" t="s">
        <v>10105</v>
      </c>
      <c r="C2966" s="1" t="s">
        <v>10106</v>
      </c>
      <c r="D2966" s="1" t="s">
        <v>10107</v>
      </c>
      <c r="E2966" s="2">
        <v>37055.0</v>
      </c>
      <c r="F2966" s="1" t="s">
        <v>92</v>
      </c>
      <c r="G2966" s="1" t="s">
        <v>82</v>
      </c>
      <c r="H2966" s="1" t="s">
        <v>18</v>
      </c>
      <c r="I2966" s="3">
        <f>+2250789360817</f>
        <v>2250789360817</v>
      </c>
      <c r="J2966" s="3">
        <f>+2250160073919</f>
        <v>2250160073919</v>
      </c>
      <c r="K2966" s="1" t="s">
        <v>19</v>
      </c>
      <c r="L2966" s="4" t="s">
        <v>10108</v>
      </c>
    </row>
    <row r="2967">
      <c r="A2967" s="1" t="s">
        <v>12</v>
      </c>
      <c r="B2967" s="1" t="s">
        <v>10109</v>
      </c>
      <c r="C2967" s="1" t="s">
        <v>10110</v>
      </c>
      <c r="D2967" s="1" t="s">
        <v>10111</v>
      </c>
      <c r="E2967" s="2">
        <v>38980.0</v>
      </c>
      <c r="F2967" s="1" t="s">
        <v>101</v>
      </c>
      <c r="G2967" s="1" t="s">
        <v>31</v>
      </c>
      <c r="H2967" s="1" t="s">
        <v>32</v>
      </c>
      <c r="I2967" s="3">
        <f>+2250152094898</f>
        <v>2250152094898</v>
      </c>
      <c r="J2967" s="3">
        <f>+2250505680780</f>
        <v>2250505680780</v>
      </c>
      <c r="K2967" s="1" t="s">
        <v>19</v>
      </c>
      <c r="L2967" s="4" t="s">
        <v>10112</v>
      </c>
    </row>
    <row r="2968">
      <c r="A2968" s="1" t="s">
        <v>12</v>
      </c>
      <c r="B2968" s="1" t="s">
        <v>10113</v>
      </c>
      <c r="C2968" s="1" t="s">
        <v>10114</v>
      </c>
      <c r="D2968" s="1" t="s">
        <v>10115</v>
      </c>
      <c r="E2968" s="2">
        <v>38382.0</v>
      </c>
      <c r="F2968" s="1" t="s">
        <v>30</v>
      </c>
      <c r="G2968" s="1" t="s">
        <v>31</v>
      </c>
      <c r="H2968" s="1" t="s">
        <v>32</v>
      </c>
      <c r="I2968" s="3">
        <f>+2250747786684</f>
        <v>2250747786684</v>
      </c>
      <c r="J2968" s="3">
        <f>+2250506240101</f>
        <v>2250506240101</v>
      </c>
      <c r="K2968" s="1" t="s">
        <v>19</v>
      </c>
      <c r="L2968" s="4" t="s">
        <v>10116</v>
      </c>
    </row>
    <row r="2969">
      <c r="A2969" s="1" t="s">
        <v>12</v>
      </c>
      <c r="B2969" s="1" t="s">
        <v>10117</v>
      </c>
      <c r="C2969" s="1" t="s">
        <v>10114</v>
      </c>
      <c r="D2969" s="1" t="s">
        <v>2706</v>
      </c>
      <c r="E2969" s="2">
        <v>38152.0</v>
      </c>
      <c r="F2969" s="1" t="s">
        <v>62</v>
      </c>
      <c r="G2969" s="1" t="s">
        <v>17</v>
      </c>
      <c r="H2969" s="1" t="s">
        <v>18</v>
      </c>
      <c r="I2969" s="3">
        <f>+2250171778259</f>
        <v>2250171778259</v>
      </c>
      <c r="J2969" s="3">
        <f>+2250506312614</f>
        <v>2250506312614</v>
      </c>
      <c r="K2969" s="1" t="s">
        <v>19</v>
      </c>
      <c r="L2969" s="4" t="s">
        <v>10118</v>
      </c>
    </row>
    <row r="2970">
      <c r="A2970" s="1" t="s">
        <v>12</v>
      </c>
      <c r="B2970" s="1" t="s">
        <v>10119</v>
      </c>
      <c r="C2970" s="1" t="s">
        <v>10114</v>
      </c>
      <c r="D2970" s="1" t="s">
        <v>2686</v>
      </c>
      <c r="E2970" s="2">
        <v>37379.0</v>
      </c>
      <c r="F2970" s="1" t="s">
        <v>30</v>
      </c>
      <c r="G2970" s="1" t="s">
        <v>31</v>
      </c>
      <c r="H2970" s="1" t="s">
        <v>32</v>
      </c>
      <c r="I2970" s="3">
        <f>+2250564951371</f>
        <v>2250564951371</v>
      </c>
      <c r="J2970" s="3">
        <f>+2250505640101</f>
        <v>2250505640101</v>
      </c>
      <c r="K2970" s="1" t="s">
        <v>19</v>
      </c>
      <c r="L2970" s="4" t="s">
        <v>10120</v>
      </c>
    </row>
    <row r="2971">
      <c r="A2971" s="1" t="s">
        <v>12</v>
      </c>
      <c r="B2971" s="1" t="s">
        <v>10121</v>
      </c>
      <c r="C2971" s="1" t="s">
        <v>10114</v>
      </c>
      <c r="D2971" s="1" t="s">
        <v>5877</v>
      </c>
      <c r="E2971" s="5">
        <v>36890.0</v>
      </c>
      <c r="F2971" s="1" t="s">
        <v>48</v>
      </c>
      <c r="G2971" s="1" t="s">
        <v>76</v>
      </c>
      <c r="H2971" s="1" t="s">
        <v>32</v>
      </c>
      <c r="I2971" s="3">
        <f>+2250501713332</f>
        <v>2250501713332</v>
      </c>
      <c r="J2971" s="3">
        <f>+2250504127552</f>
        <v>2250504127552</v>
      </c>
      <c r="K2971" s="1" t="s">
        <v>19</v>
      </c>
      <c r="L2971" s="4" t="s">
        <v>10122</v>
      </c>
    </row>
    <row r="2972">
      <c r="A2972" s="1" t="s">
        <v>12</v>
      </c>
      <c r="B2972" s="1" t="s">
        <v>10123</v>
      </c>
      <c r="C2972" s="1" t="s">
        <v>10114</v>
      </c>
      <c r="D2972" s="1" t="s">
        <v>1967</v>
      </c>
      <c r="E2972" s="2">
        <v>37630.0</v>
      </c>
      <c r="F2972" s="1" t="s">
        <v>101</v>
      </c>
      <c r="G2972" s="1" t="s">
        <v>31</v>
      </c>
      <c r="H2972" s="1" t="s">
        <v>32</v>
      </c>
      <c r="I2972" s="3">
        <f>+2250596934313</f>
        <v>2250596934313</v>
      </c>
      <c r="J2972" s="3">
        <f>+2250709095568</f>
        <v>2250709095568</v>
      </c>
      <c r="K2972" s="1" t="s">
        <v>19</v>
      </c>
      <c r="L2972" s="4" t="s">
        <v>10124</v>
      </c>
    </row>
    <row r="2973">
      <c r="A2973" s="1" t="s">
        <v>12</v>
      </c>
      <c r="B2973" s="1" t="s">
        <v>10125</v>
      </c>
      <c r="C2973" s="1" t="s">
        <v>10114</v>
      </c>
      <c r="D2973" s="1" t="s">
        <v>2734</v>
      </c>
      <c r="E2973" s="2">
        <v>36210.0</v>
      </c>
      <c r="F2973" s="1" t="s">
        <v>16</v>
      </c>
      <c r="G2973" s="1" t="s">
        <v>25</v>
      </c>
      <c r="H2973" s="1" t="s">
        <v>18</v>
      </c>
      <c r="I2973" s="3">
        <f>+2250759084253</f>
        <v>2250759084253</v>
      </c>
      <c r="J2973" s="3">
        <f>+2250544504452</f>
        <v>2250544504452</v>
      </c>
      <c r="K2973" s="1" t="s">
        <v>19</v>
      </c>
      <c r="L2973" s="4" t="s">
        <v>10126</v>
      </c>
    </row>
    <row r="2974">
      <c r="A2974" s="1" t="s">
        <v>12</v>
      </c>
      <c r="B2974" s="1" t="s">
        <v>10127</v>
      </c>
      <c r="C2974" s="1" t="s">
        <v>10114</v>
      </c>
      <c r="D2974" s="1" t="s">
        <v>3083</v>
      </c>
      <c r="E2974" s="2">
        <v>37362.0</v>
      </c>
      <c r="F2974" s="1" t="s">
        <v>87</v>
      </c>
      <c r="G2974" s="1" t="s">
        <v>31</v>
      </c>
      <c r="H2974" s="1" t="s">
        <v>32</v>
      </c>
      <c r="I2974" s="3">
        <f>+2250711478834</f>
        <v>2250711478834</v>
      </c>
      <c r="J2974" s="3">
        <f>+2250708481943</f>
        <v>2250708481943</v>
      </c>
      <c r="K2974" s="1" t="s">
        <v>19</v>
      </c>
      <c r="L2974" s="4" t="s">
        <v>10128</v>
      </c>
    </row>
    <row r="2975">
      <c r="A2975" s="1" t="s">
        <v>12</v>
      </c>
      <c r="B2975" s="1" t="s">
        <v>10129</v>
      </c>
      <c r="C2975" s="1" t="s">
        <v>10114</v>
      </c>
      <c r="D2975" s="1" t="s">
        <v>10130</v>
      </c>
      <c r="E2975" s="5">
        <v>37617.0</v>
      </c>
      <c r="F2975" s="1" t="s">
        <v>155</v>
      </c>
      <c r="G2975" s="1" t="s">
        <v>31</v>
      </c>
      <c r="H2975" s="1" t="s">
        <v>32</v>
      </c>
      <c r="I2975" s="3">
        <f>+2250546807780</f>
        <v>2250546807780</v>
      </c>
      <c r="J2975" s="3">
        <f>+2250506093797</f>
        <v>2250506093797</v>
      </c>
      <c r="K2975" s="1" t="s">
        <v>19</v>
      </c>
      <c r="L2975" s="4" t="s">
        <v>10131</v>
      </c>
    </row>
    <row r="2976">
      <c r="A2976" s="1" t="s">
        <v>12</v>
      </c>
      <c r="B2976" s="1" t="s">
        <v>10132</v>
      </c>
      <c r="C2976" s="1" t="s">
        <v>10114</v>
      </c>
      <c r="D2976" s="1" t="s">
        <v>10133</v>
      </c>
      <c r="E2976" s="2">
        <v>36598.0</v>
      </c>
      <c r="F2976" s="1" t="s">
        <v>75</v>
      </c>
      <c r="G2976" s="1" t="s">
        <v>31</v>
      </c>
      <c r="H2976" s="1" t="s">
        <v>32</v>
      </c>
      <c r="I2976" s="3">
        <f>+2250705162581</f>
        <v>2250705162581</v>
      </c>
      <c r="J2976" s="3">
        <f>+2250708108377</f>
        <v>2250708108377</v>
      </c>
      <c r="K2976" s="1" t="s">
        <v>19</v>
      </c>
      <c r="L2976" s="4" t="s">
        <v>10134</v>
      </c>
    </row>
    <row r="2977">
      <c r="A2977" s="1" t="s">
        <v>12</v>
      </c>
      <c r="B2977" s="1" t="s">
        <v>10135</v>
      </c>
      <c r="C2977" s="1" t="s">
        <v>10114</v>
      </c>
      <c r="D2977" s="1" t="s">
        <v>10136</v>
      </c>
      <c r="E2977" s="5">
        <v>37967.0</v>
      </c>
      <c r="F2977" s="1" t="s">
        <v>288</v>
      </c>
      <c r="G2977" s="1" t="s">
        <v>76</v>
      </c>
      <c r="H2977" s="1" t="s">
        <v>32</v>
      </c>
      <c r="I2977" s="3">
        <f>+2250574992546</f>
        <v>2250574992546</v>
      </c>
      <c r="J2977" s="3">
        <f>+2250708227393</f>
        <v>2250708227393</v>
      </c>
      <c r="K2977" s="1" t="s">
        <v>19</v>
      </c>
      <c r="L2977" s="4" t="s">
        <v>10137</v>
      </c>
    </row>
    <row r="2978">
      <c r="A2978" s="1" t="s">
        <v>12</v>
      </c>
      <c r="B2978" s="1" t="s">
        <v>10138</v>
      </c>
      <c r="C2978" s="1" t="s">
        <v>10114</v>
      </c>
      <c r="D2978" s="1" t="s">
        <v>10139</v>
      </c>
      <c r="E2978" s="5">
        <v>38334.0</v>
      </c>
      <c r="F2978" s="1" t="s">
        <v>48</v>
      </c>
      <c r="G2978" s="1" t="s">
        <v>76</v>
      </c>
      <c r="H2978" s="1" t="s">
        <v>32</v>
      </c>
      <c r="I2978" s="3">
        <f>+2250787943128</f>
        <v>2250787943128</v>
      </c>
      <c r="J2978" s="3">
        <f>+2250707584149</f>
        <v>2250707584149</v>
      </c>
      <c r="K2978" s="1" t="s">
        <v>19</v>
      </c>
      <c r="L2978" s="4" t="s">
        <v>10140</v>
      </c>
    </row>
    <row r="2979">
      <c r="A2979" s="1" t="s">
        <v>12</v>
      </c>
      <c r="B2979" s="1" t="s">
        <v>10141</v>
      </c>
      <c r="C2979" s="1" t="s">
        <v>10114</v>
      </c>
      <c r="D2979" s="1" t="s">
        <v>10142</v>
      </c>
      <c r="E2979" s="2">
        <v>38094.0</v>
      </c>
      <c r="F2979" s="1" t="s">
        <v>92</v>
      </c>
      <c r="G2979" s="1" t="s">
        <v>76</v>
      </c>
      <c r="H2979" s="1" t="s">
        <v>32</v>
      </c>
      <c r="I2979" s="3">
        <f>+2250152629305</f>
        <v>2250152629305</v>
      </c>
      <c r="J2979" s="3">
        <f>+2250505901428</f>
        <v>2250505901428</v>
      </c>
      <c r="K2979" s="1" t="s">
        <v>19</v>
      </c>
      <c r="L2979" s="4" t="s">
        <v>10143</v>
      </c>
    </row>
    <row r="2980">
      <c r="A2980" s="1" t="s">
        <v>12</v>
      </c>
      <c r="B2980" s="1" t="s">
        <v>10144</v>
      </c>
      <c r="C2980" s="1" t="s">
        <v>10114</v>
      </c>
      <c r="D2980" s="1" t="s">
        <v>10145</v>
      </c>
      <c r="E2980" s="2">
        <v>37347.0</v>
      </c>
      <c r="F2980" s="1" t="s">
        <v>16</v>
      </c>
      <c r="G2980" s="1" t="s">
        <v>17</v>
      </c>
      <c r="H2980" s="1" t="s">
        <v>18</v>
      </c>
      <c r="I2980" s="3">
        <f>+2250788818407</f>
        <v>2250788818407</v>
      </c>
      <c r="J2980" s="3">
        <f>+2250777906476</f>
        <v>2250777906476</v>
      </c>
      <c r="K2980" s="1" t="s">
        <v>19</v>
      </c>
      <c r="L2980" s="4" t="s">
        <v>10146</v>
      </c>
    </row>
    <row r="2981">
      <c r="A2981" s="1" t="s">
        <v>12</v>
      </c>
      <c r="B2981" s="1" t="s">
        <v>10147</v>
      </c>
      <c r="C2981" s="1" t="s">
        <v>10114</v>
      </c>
      <c r="D2981" s="1" t="s">
        <v>1732</v>
      </c>
      <c r="E2981" s="2">
        <v>37828.0</v>
      </c>
      <c r="F2981" s="1" t="s">
        <v>48</v>
      </c>
      <c r="G2981" s="1" t="s">
        <v>76</v>
      </c>
      <c r="H2981" s="1" t="s">
        <v>32</v>
      </c>
      <c r="I2981" s="3">
        <f>+2250152369217</f>
        <v>2250152369217</v>
      </c>
      <c r="J2981" s="3">
        <f>+2250505717769</f>
        <v>2250505717769</v>
      </c>
      <c r="K2981" s="1" t="s">
        <v>19</v>
      </c>
      <c r="L2981" s="4" t="s">
        <v>10148</v>
      </c>
    </row>
    <row r="2982">
      <c r="A2982" s="1" t="s">
        <v>12</v>
      </c>
      <c r="B2982" s="1" t="s">
        <v>10149</v>
      </c>
      <c r="C2982" s="1" t="s">
        <v>10150</v>
      </c>
      <c r="D2982" s="1" t="s">
        <v>10151</v>
      </c>
      <c r="E2982" s="2">
        <v>37508.0</v>
      </c>
      <c r="F2982" s="1" t="s">
        <v>92</v>
      </c>
      <c r="G2982" s="1" t="s">
        <v>76</v>
      </c>
      <c r="H2982" s="1" t="s">
        <v>32</v>
      </c>
      <c r="I2982" s="3">
        <f>+2250704501359</f>
        <v>2250704501359</v>
      </c>
      <c r="J2982" s="3">
        <f>+2250777391733</f>
        <v>2250777391733</v>
      </c>
      <c r="K2982" s="1" t="s">
        <v>19</v>
      </c>
      <c r="L2982" s="4" t="s">
        <v>10152</v>
      </c>
    </row>
    <row r="2983">
      <c r="A2983" s="1" t="s">
        <v>12</v>
      </c>
      <c r="B2983" s="1" t="s">
        <v>10153</v>
      </c>
      <c r="C2983" s="1" t="s">
        <v>10154</v>
      </c>
      <c r="D2983" s="1" t="s">
        <v>10155</v>
      </c>
      <c r="E2983" s="2">
        <v>37350.0</v>
      </c>
      <c r="F2983" s="1" t="s">
        <v>147</v>
      </c>
      <c r="G2983" s="1" t="s">
        <v>17</v>
      </c>
      <c r="H2983" s="1" t="s">
        <v>18</v>
      </c>
      <c r="I2983" s="3">
        <f>+2250152514494</f>
        <v>2250152514494</v>
      </c>
      <c r="J2983" s="3">
        <f>+2250103652612</f>
        <v>2250103652612</v>
      </c>
      <c r="K2983" s="1" t="s">
        <v>19</v>
      </c>
      <c r="L2983" s="4" t="s">
        <v>10156</v>
      </c>
    </row>
    <row r="2984">
      <c r="A2984" s="1" t="s">
        <v>12</v>
      </c>
      <c r="B2984" s="1" t="s">
        <v>10157</v>
      </c>
      <c r="C2984" s="1" t="s">
        <v>10158</v>
      </c>
      <c r="D2984" s="1" t="s">
        <v>10159</v>
      </c>
      <c r="E2984" s="2">
        <v>37369.0</v>
      </c>
      <c r="F2984" s="1" t="s">
        <v>24</v>
      </c>
      <c r="G2984" s="1" t="s">
        <v>25</v>
      </c>
      <c r="H2984" s="1" t="s">
        <v>18</v>
      </c>
      <c r="I2984" s="3">
        <f>+2250594213591</f>
        <v>2250594213591</v>
      </c>
      <c r="J2984" s="3">
        <f>+2250759767023</f>
        <v>2250759767023</v>
      </c>
      <c r="K2984" s="1" t="s">
        <v>19</v>
      </c>
      <c r="L2984" s="4" t="s">
        <v>10160</v>
      </c>
    </row>
    <row r="2985">
      <c r="A2985" s="1" t="s">
        <v>12</v>
      </c>
      <c r="B2985" s="1" t="s">
        <v>10161</v>
      </c>
      <c r="C2985" s="1" t="s">
        <v>10162</v>
      </c>
      <c r="D2985" s="1" t="s">
        <v>10163</v>
      </c>
      <c r="E2985" s="2">
        <v>36948.0</v>
      </c>
      <c r="F2985" s="1" t="s">
        <v>53</v>
      </c>
      <c r="G2985" s="1" t="s">
        <v>25</v>
      </c>
      <c r="H2985" s="1" t="s">
        <v>18</v>
      </c>
      <c r="I2985" s="3">
        <f>+2250787248824</f>
        <v>2250787248824</v>
      </c>
      <c r="J2985" s="3">
        <f>+2250749645398</f>
        <v>2250749645398</v>
      </c>
      <c r="K2985" s="1" t="s">
        <v>19</v>
      </c>
      <c r="L2985" s="4" t="s">
        <v>10164</v>
      </c>
    </row>
    <row r="2986">
      <c r="A2986" s="1" t="s">
        <v>12</v>
      </c>
      <c r="B2986" s="1" t="s">
        <v>10165</v>
      </c>
      <c r="C2986" s="1" t="s">
        <v>10166</v>
      </c>
      <c r="D2986" s="1" t="s">
        <v>10167</v>
      </c>
      <c r="E2986" s="2">
        <v>37873.0</v>
      </c>
      <c r="F2986" s="1" t="s">
        <v>16</v>
      </c>
      <c r="G2986" s="1" t="s">
        <v>17</v>
      </c>
      <c r="H2986" s="1" t="s">
        <v>18</v>
      </c>
      <c r="I2986" s="3">
        <f>+2250503089914</f>
        <v>2250503089914</v>
      </c>
      <c r="J2986" s="3">
        <f>+2250787804780</f>
        <v>2250787804780</v>
      </c>
      <c r="K2986" s="1" t="s">
        <v>19</v>
      </c>
      <c r="L2986" s="4" t="s">
        <v>10168</v>
      </c>
    </row>
    <row r="2987">
      <c r="A2987" s="1" t="s">
        <v>12</v>
      </c>
      <c r="B2987" s="1" t="s">
        <v>10169</v>
      </c>
      <c r="C2987" s="1" t="s">
        <v>10170</v>
      </c>
      <c r="D2987" s="1" t="s">
        <v>10171</v>
      </c>
      <c r="E2987" s="2">
        <v>38045.0</v>
      </c>
      <c r="F2987" s="1" t="s">
        <v>62</v>
      </c>
      <c r="G2987" s="1" t="s">
        <v>17</v>
      </c>
      <c r="H2987" s="1" t="s">
        <v>18</v>
      </c>
      <c r="I2987" s="3">
        <f>+2250797039385</f>
        <v>2250797039385</v>
      </c>
      <c r="J2987" s="3">
        <f>+2250709368545</f>
        <v>2250709368545</v>
      </c>
      <c r="K2987" s="1" t="s">
        <v>19</v>
      </c>
      <c r="L2987" s="4" t="s">
        <v>10172</v>
      </c>
    </row>
    <row r="2988">
      <c r="A2988" s="1" t="s">
        <v>12</v>
      </c>
      <c r="B2988" s="1" t="s">
        <v>10173</v>
      </c>
      <c r="C2988" s="1" t="s">
        <v>10170</v>
      </c>
      <c r="D2988" s="1" t="s">
        <v>10174</v>
      </c>
      <c r="E2988" s="2">
        <v>36392.0</v>
      </c>
      <c r="F2988" s="1" t="s">
        <v>75</v>
      </c>
      <c r="G2988" s="1" t="s">
        <v>31</v>
      </c>
      <c r="H2988" s="1" t="s">
        <v>32</v>
      </c>
      <c r="I2988" s="3">
        <f>+2250170111902</f>
        <v>2250170111902</v>
      </c>
      <c r="J2988" s="3">
        <f>+2250748414195</f>
        <v>2250748414195</v>
      </c>
      <c r="K2988" s="1" t="s">
        <v>19</v>
      </c>
      <c r="L2988" s="4" t="s">
        <v>10175</v>
      </c>
    </row>
    <row r="2989">
      <c r="A2989" s="1" t="s">
        <v>12</v>
      </c>
      <c r="B2989" s="1" t="s">
        <v>10176</v>
      </c>
      <c r="C2989" s="1" t="s">
        <v>10177</v>
      </c>
      <c r="D2989" s="1" t="s">
        <v>10178</v>
      </c>
      <c r="E2989" s="2">
        <v>38324.0</v>
      </c>
      <c r="F2989" s="1" t="s">
        <v>62</v>
      </c>
      <c r="G2989" s="1" t="s">
        <v>25</v>
      </c>
      <c r="H2989" s="1" t="s">
        <v>18</v>
      </c>
      <c r="I2989" s="3">
        <f t="shared" ref="I2989:J2989" si="93">+2250758587488</f>
        <v>2250758587488</v>
      </c>
      <c r="J2989" s="3">
        <f t="shared" si="93"/>
        <v>2250758587488</v>
      </c>
      <c r="K2989" s="1" t="s">
        <v>19</v>
      </c>
      <c r="L2989" s="4" t="s">
        <v>10179</v>
      </c>
    </row>
    <row r="2990">
      <c r="A2990" s="1" t="s">
        <v>12</v>
      </c>
      <c r="B2990" s="1" t="s">
        <v>10180</v>
      </c>
      <c r="C2990" s="1" t="s">
        <v>10177</v>
      </c>
      <c r="D2990" s="1" t="s">
        <v>10181</v>
      </c>
      <c r="E2990" s="5">
        <v>37980.0</v>
      </c>
      <c r="F2990" s="1" t="s">
        <v>586</v>
      </c>
      <c r="G2990" s="1" t="s">
        <v>82</v>
      </c>
      <c r="H2990" s="1" t="s">
        <v>18</v>
      </c>
      <c r="I2990" s="3">
        <f>+2250707428834</f>
        <v>2250707428834</v>
      </c>
      <c r="J2990" s="3">
        <f>+2250171228912</f>
        <v>2250171228912</v>
      </c>
      <c r="K2990" s="1" t="s">
        <v>19</v>
      </c>
      <c r="L2990" s="4" t="s">
        <v>10182</v>
      </c>
    </row>
    <row r="2991">
      <c r="A2991" s="1" t="s">
        <v>12</v>
      </c>
      <c r="B2991" s="1" t="s">
        <v>10183</v>
      </c>
      <c r="C2991" s="1" t="s">
        <v>10177</v>
      </c>
      <c r="D2991" s="1" t="s">
        <v>10184</v>
      </c>
      <c r="E2991" s="5">
        <v>37969.0</v>
      </c>
      <c r="F2991" s="1" t="s">
        <v>62</v>
      </c>
      <c r="G2991" s="1" t="s">
        <v>17</v>
      </c>
      <c r="H2991" s="1" t="s">
        <v>18</v>
      </c>
      <c r="I2991" s="3">
        <f>+2250545943100</f>
        <v>2250545943100</v>
      </c>
      <c r="J2991" s="3">
        <f>+2250504803097</f>
        <v>2250504803097</v>
      </c>
      <c r="K2991" s="1" t="s">
        <v>19</v>
      </c>
      <c r="L2991" s="4" t="s">
        <v>10185</v>
      </c>
    </row>
    <row r="2992">
      <c r="A2992" s="1" t="s">
        <v>12</v>
      </c>
      <c r="B2992" s="1" t="s">
        <v>10186</v>
      </c>
      <c r="C2992" s="1" t="s">
        <v>10177</v>
      </c>
      <c r="D2992" s="1" t="s">
        <v>10187</v>
      </c>
      <c r="E2992" s="2">
        <v>38158.0</v>
      </c>
      <c r="F2992" s="1" t="s">
        <v>62</v>
      </c>
      <c r="G2992" s="1" t="s">
        <v>17</v>
      </c>
      <c r="H2992" s="1" t="s">
        <v>18</v>
      </c>
      <c r="I2992" s="3">
        <f>+2250777724954</f>
        <v>2250777724954</v>
      </c>
      <c r="J2992" s="3">
        <f>+2250759901822</f>
        <v>2250759901822</v>
      </c>
      <c r="K2992" s="1" t="s">
        <v>19</v>
      </c>
      <c r="L2992" s="4" t="s">
        <v>10188</v>
      </c>
    </row>
    <row r="2993">
      <c r="A2993" s="1" t="s">
        <v>12</v>
      </c>
      <c r="B2993" s="1" t="s">
        <v>10189</v>
      </c>
      <c r="C2993" s="1" t="s">
        <v>10177</v>
      </c>
      <c r="D2993" s="1" t="s">
        <v>10190</v>
      </c>
      <c r="E2993" s="2">
        <v>38444.0</v>
      </c>
      <c r="F2993" s="1" t="s">
        <v>24</v>
      </c>
      <c r="G2993" s="1" t="s">
        <v>17</v>
      </c>
      <c r="H2993" s="1" t="s">
        <v>18</v>
      </c>
      <c r="I2993" s="3">
        <f>+2250778409748</f>
        <v>2250778409748</v>
      </c>
      <c r="J2993" s="3">
        <f>+2250748140202</f>
        <v>2250748140202</v>
      </c>
      <c r="K2993" s="1" t="s">
        <v>19</v>
      </c>
      <c r="L2993" s="4" t="s">
        <v>10191</v>
      </c>
    </row>
    <row r="2994">
      <c r="A2994" s="1" t="s">
        <v>12</v>
      </c>
      <c r="B2994" s="1" t="s">
        <v>10192</v>
      </c>
      <c r="C2994" s="1" t="s">
        <v>10177</v>
      </c>
      <c r="D2994" s="1" t="s">
        <v>10193</v>
      </c>
      <c r="E2994" s="2">
        <v>37340.0</v>
      </c>
      <c r="F2994" s="1" t="s">
        <v>92</v>
      </c>
      <c r="G2994" s="1" t="s">
        <v>31</v>
      </c>
      <c r="H2994" s="1" t="s">
        <v>32</v>
      </c>
      <c r="I2994" s="3">
        <f>+2250788505749</f>
        <v>2250788505749</v>
      </c>
      <c r="J2994" s="3">
        <f>+2250707375900</f>
        <v>2250707375900</v>
      </c>
      <c r="K2994" s="1" t="s">
        <v>19</v>
      </c>
      <c r="L2994" s="4" t="s">
        <v>10194</v>
      </c>
    </row>
    <row r="2995">
      <c r="A2995" s="1" t="s">
        <v>12</v>
      </c>
      <c r="B2995" s="1" t="s">
        <v>10195</v>
      </c>
      <c r="C2995" s="1" t="s">
        <v>10177</v>
      </c>
      <c r="D2995" s="1" t="s">
        <v>10196</v>
      </c>
      <c r="E2995" s="2">
        <v>38263.0</v>
      </c>
      <c r="F2995" s="1" t="s">
        <v>62</v>
      </c>
      <c r="G2995" s="1" t="s">
        <v>17</v>
      </c>
      <c r="H2995" s="1" t="s">
        <v>18</v>
      </c>
      <c r="I2995" s="3">
        <f>+2250586722863</f>
        <v>2250586722863</v>
      </c>
      <c r="J2995" s="3">
        <f>+2250101640464</f>
        <v>2250101640464</v>
      </c>
      <c r="K2995" s="1" t="s">
        <v>19</v>
      </c>
      <c r="L2995" s="4" t="s">
        <v>10197</v>
      </c>
    </row>
    <row r="2996">
      <c r="A2996" s="1" t="s">
        <v>12</v>
      </c>
      <c r="B2996" s="1" t="s">
        <v>10198</v>
      </c>
      <c r="C2996" s="1" t="s">
        <v>10177</v>
      </c>
      <c r="D2996" s="1" t="s">
        <v>10199</v>
      </c>
      <c r="E2996" s="5">
        <v>38341.0</v>
      </c>
      <c r="F2996" s="1" t="s">
        <v>110</v>
      </c>
      <c r="G2996" s="1" t="s">
        <v>82</v>
      </c>
      <c r="H2996" s="1" t="s">
        <v>18</v>
      </c>
      <c r="I2996" s="3">
        <f t="shared" ref="I2996:J2996" si="94">+2250704929155</f>
        <v>2250704929155</v>
      </c>
      <c r="J2996" s="3">
        <f t="shared" si="94"/>
        <v>2250704929155</v>
      </c>
      <c r="K2996" s="1" t="s">
        <v>19</v>
      </c>
      <c r="L2996" s="4" t="s">
        <v>10200</v>
      </c>
    </row>
    <row r="2997">
      <c r="A2997" s="1" t="s">
        <v>12</v>
      </c>
      <c r="B2997" s="1" t="s">
        <v>10201</v>
      </c>
      <c r="C2997" s="1" t="s">
        <v>10177</v>
      </c>
      <c r="D2997" s="1" t="s">
        <v>10202</v>
      </c>
      <c r="E2997" s="2">
        <v>37735.0</v>
      </c>
      <c r="F2997" s="1" t="s">
        <v>167</v>
      </c>
      <c r="G2997" s="1" t="s">
        <v>82</v>
      </c>
      <c r="H2997" s="1" t="s">
        <v>18</v>
      </c>
      <c r="I2997" s="3">
        <f>+2250172886564</f>
        <v>2250172886564</v>
      </c>
      <c r="J2997" s="3">
        <f>+2250546631128</f>
        <v>2250546631128</v>
      </c>
      <c r="K2997" s="1" t="s">
        <v>19</v>
      </c>
      <c r="L2997" s="4" t="s">
        <v>10203</v>
      </c>
    </row>
    <row r="2998">
      <c r="A2998" s="1" t="s">
        <v>12</v>
      </c>
      <c r="B2998" s="1" t="s">
        <v>10204</v>
      </c>
      <c r="C2998" s="1" t="s">
        <v>10205</v>
      </c>
      <c r="D2998" s="1" t="s">
        <v>10206</v>
      </c>
      <c r="E2998" s="2">
        <v>38664.0</v>
      </c>
      <c r="F2998" s="1" t="s">
        <v>16</v>
      </c>
      <c r="G2998" s="1" t="s">
        <v>25</v>
      </c>
      <c r="H2998" s="1" t="s">
        <v>18</v>
      </c>
      <c r="I2998" s="3">
        <f>+2250506568435</f>
        <v>2250506568435</v>
      </c>
      <c r="J2998" s="3">
        <f>+2250141822254</f>
        <v>2250141822254</v>
      </c>
      <c r="K2998" s="1" t="s">
        <v>19</v>
      </c>
      <c r="L2998" s="4" t="s">
        <v>10207</v>
      </c>
    </row>
    <row r="2999">
      <c r="A2999" s="1" t="s">
        <v>12</v>
      </c>
      <c r="B2999" s="1" t="s">
        <v>10208</v>
      </c>
      <c r="C2999" s="1" t="s">
        <v>10209</v>
      </c>
      <c r="D2999" s="1" t="s">
        <v>10210</v>
      </c>
      <c r="E2999" s="5">
        <v>38652.0</v>
      </c>
      <c r="F2999" s="1" t="s">
        <v>62</v>
      </c>
      <c r="G2999" s="1" t="s">
        <v>25</v>
      </c>
      <c r="H2999" s="1" t="s">
        <v>18</v>
      </c>
      <c r="I2999" s="3">
        <f>+2250704087581</f>
        <v>2250704087581</v>
      </c>
      <c r="J2999" s="3">
        <f>+2250101470157</f>
        <v>2250101470157</v>
      </c>
      <c r="K2999" s="1" t="s">
        <v>19</v>
      </c>
      <c r="L2999" s="4" t="s">
        <v>10211</v>
      </c>
    </row>
    <row r="3000">
      <c r="A3000" s="1" t="s">
        <v>12</v>
      </c>
      <c r="B3000" s="1" t="s">
        <v>10212</v>
      </c>
      <c r="C3000" s="1" t="s">
        <v>10213</v>
      </c>
      <c r="D3000" s="1" t="s">
        <v>10214</v>
      </c>
      <c r="E3000" s="5">
        <v>37980.0</v>
      </c>
      <c r="F3000" s="1" t="s">
        <v>62</v>
      </c>
      <c r="G3000" s="1" t="s">
        <v>17</v>
      </c>
      <c r="H3000" s="1" t="s">
        <v>18</v>
      </c>
      <c r="I3000" s="3">
        <f>+2250595892208</f>
        <v>2250595892208</v>
      </c>
      <c r="J3000" s="3">
        <f>+2250749179954</f>
        <v>2250749179954</v>
      </c>
      <c r="K3000" s="1" t="s">
        <v>19</v>
      </c>
      <c r="L3000" s="4" t="s">
        <v>10215</v>
      </c>
    </row>
    <row r="3001">
      <c r="A3001" s="1" t="s">
        <v>12</v>
      </c>
      <c r="B3001" s="1" t="s">
        <v>10216</v>
      </c>
      <c r="C3001" s="1" t="s">
        <v>10217</v>
      </c>
      <c r="D3001" s="1" t="s">
        <v>10218</v>
      </c>
      <c r="E3001" s="2">
        <v>37047.0</v>
      </c>
      <c r="F3001" s="1" t="s">
        <v>147</v>
      </c>
      <c r="G3001" s="1" t="s">
        <v>17</v>
      </c>
      <c r="H3001" s="1" t="s">
        <v>18</v>
      </c>
      <c r="I3001" s="3">
        <f>+2250711356317</f>
        <v>2250711356317</v>
      </c>
      <c r="J3001" s="3">
        <f>+2250747631369</f>
        <v>2250747631369</v>
      </c>
      <c r="K3001" s="1" t="s">
        <v>19</v>
      </c>
      <c r="L3001" s="4" t="s">
        <v>10219</v>
      </c>
    </row>
    <row r="3002">
      <c r="A3002" s="1" t="s">
        <v>12</v>
      </c>
      <c r="B3002" s="1" t="s">
        <v>10220</v>
      </c>
      <c r="C3002" s="1" t="s">
        <v>10221</v>
      </c>
      <c r="D3002" s="1" t="s">
        <v>10222</v>
      </c>
      <c r="E3002" s="2">
        <v>38135.0</v>
      </c>
      <c r="F3002" s="1" t="s">
        <v>48</v>
      </c>
      <c r="G3002" s="1" t="s">
        <v>76</v>
      </c>
      <c r="H3002" s="1" t="s">
        <v>32</v>
      </c>
      <c r="I3002" s="3">
        <f>+2250788677726</f>
        <v>2250788677726</v>
      </c>
      <c r="J3002" s="3">
        <f>+2250758882293</f>
        <v>2250758882293</v>
      </c>
      <c r="K3002" s="1" t="s">
        <v>19</v>
      </c>
      <c r="L3002" s="4" t="s">
        <v>10223</v>
      </c>
    </row>
    <row r="3003">
      <c r="A3003" s="1" t="s">
        <v>12</v>
      </c>
      <c r="B3003" s="1" t="s">
        <v>10224</v>
      </c>
      <c r="C3003" s="1" t="s">
        <v>10221</v>
      </c>
      <c r="D3003" s="1" t="s">
        <v>10225</v>
      </c>
      <c r="E3003" s="2">
        <v>36604.0</v>
      </c>
      <c r="F3003" s="1" t="s">
        <v>155</v>
      </c>
      <c r="G3003" s="1" t="s">
        <v>31</v>
      </c>
      <c r="H3003" s="1" t="s">
        <v>32</v>
      </c>
      <c r="I3003" s="3">
        <f t="shared" ref="I3003:J3003" si="95">+2250103595777</f>
        <v>2250103595777</v>
      </c>
      <c r="J3003" s="3">
        <f t="shared" si="95"/>
        <v>2250103595777</v>
      </c>
      <c r="K3003" s="1" t="s">
        <v>19</v>
      </c>
      <c r="L3003" s="4" t="s">
        <v>10226</v>
      </c>
    </row>
    <row r="3004">
      <c r="A3004" s="1" t="s">
        <v>12</v>
      </c>
      <c r="B3004" s="1" t="s">
        <v>10227</v>
      </c>
      <c r="C3004" s="1" t="s">
        <v>10221</v>
      </c>
      <c r="D3004" s="1" t="s">
        <v>10228</v>
      </c>
      <c r="E3004" s="2">
        <v>38001.0</v>
      </c>
      <c r="F3004" s="1" t="s">
        <v>62</v>
      </c>
      <c r="G3004" s="1" t="s">
        <v>17</v>
      </c>
      <c r="H3004" s="1" t="s">
        <v>18</v>
      </c>
      <c r="I3004" s="3">
        <f>+2250501244475</f>
        <v>2250501244475</v>
      </c>
      <c r="J3004" s="3">
        <f>+2250759474132</f>
        <v>2250759474132</v>
      </c>
      <c r="K3004" s="1" t="s">
        <v>19</v>
      </c>
      <c r="L3004" s="4" t="s">
        <v>10229</v>
      </c>
    </row>
    <row r="3005">
      <c r="A3005" s="1" t="s">
        <v>12</v>
      </c>
      <c r="B3005" s="1" t="s">
        <v>10230</v>
      </c>
      <c r="C3005" s="1" t="s">
        <v>10221</v>
      </c>
      <c r="D3005" s="1" t="s">
        <v>10231</v>
      </c>
      <c r="E3005" s="5">
        <v>37619.0</v>
      </c>
      <c r="F3005" s="1" t="s">
        <v>101</v>
      </c>
      <c r="G3005" s="1" t="s">
        <v>31</v>
      </c>
      <c r="H3005" s="1" t="s">
        <v>32</v>
      </c>
      <c r="I3005" s="3">
        <f>+2250151736324</f>
        <v>2250151736324</v>
      </c>
      <c r="J3005" s="3">
        <f>+2250709121981</f>
        <v>2250709121981</v>
      </c>
      <c r="K3005" s="1" t="s">
        <v>19</v>
      </c>
      <c r="L3005" s="4" t="s">
        <v>10232</v>
      </c>
    </row>
    <row r="3006">
      <c r="A3006" s="1" t="s">
        <v>12</v>
      </c>
      <c r="B3006" s="1" t="s">
        <v>10233</v>
      </c>
      <c r="C3006" s="1" t="s">
        <v>10234</v>
      </c>
      <c r="D3006" s="1" t="s">
        <v>10235</v>
      </c>
      <c r="E3006" s="5">
        <v>37580.0</v>
      </c>
      <c r="F3006" s="1" t="s">
        <v>101</v>
      </c>
      <c r="G3006" s="1" t="s">
        <v>76</v>
      </c>
      <c r="H3006" s="1" t="s">
        <v>32</v>
      </c>
      <c r="I3006" s="3">
        <f>+2250151726364</f>
        <v>2250151726364</v>
      </c>
      <c r="J3006" s="3">
        <f>+2250708205296</f>
        <v>2250708205296</v>
      </c>
      <c r="K3006" s="1" t="s">
        <v>19</v>
      </c>
      <c r="L3006" s="4" t="s">
        <v>10236</v>
      </c>
    </row>
    <row r="3007">
      <c r="A3007" s="1" t="s">
        <v>12</v>
      </c>
      <c r="B3007" s="1" t="s">
        <v>10237</v>
      </c>
      <c r="C3007" s="1" t="s">
        <v>10234</v>
      </c>
      <c r="D3007" s="1" t="s">
        <v>10238</v>
      </c>
      <c r="E3007" s="2">
        <v>37797.0</v>
      </c>
      <c r="F3007" s="1" t="s">
        <v>62</v>
      </c>
      <c r="G3007" s="1" t="s">
        <v>17</v>
      </c>
      <c r="H3007" s="1" t="s">
        <v>18</v>
      </c>
      <c r="I3007" s="3">
        <f>+2250151217892</f>
        <v>2250151217892</v>
      </c>
      <c r="J3007" s="3">
        <f>+2250709382472</f>
        <v>2250709382472</v>
      </c>
      <c r="K3007" s="1" t="s">
        <v>19</v>
      </c>
      <c r="L3007" s="4" t="s">
        <v>10239</v>
      </c>
    </row>
    <row r="3008">
      <c r="A3008" s="1" t="s">
        <v>12</v>
      </c>
      <c r="B3008" s="1" t="s">
        <v>10240</v>
      </c>
      <c r="C3008" s="1" t="s">
        <v>10241</v>
      </c>
      <c r="D3008" s="1" t="s">
        <v>10020</v>
      </c>
      <c r="E3008" s="5">
        <v>37554.0</v>
      </c>
      <c r="F3008" s="1" t="s">
        <v>53</v>
      </c>
      <c r="G3008" s="1" t="s">
        <v>25</v>
      </c>
      <c r="H3008" s="1" t="s">
        <v>18</v>
      </c>
      <c r="I3008" s="3">
        <f>+2250779912061</f>
        <v>2250779912061</v>
      </c>
      <c r="J3008" s="3">
        <f>+2250707075518</f>
        <v>2250707075518</v>
      </c>
      <c r="K3008" s="1" t="s">
        <v>19</v>
      </c>
      <c r="L3008" s="4" t="s">
        <v>10242</v>
      </c>
    </row>
    <row r="3009">
      <c r="A3009" s="1" t="s">
        <v>12</v>
      </c>
      <c r="B3009" s="1" t="s">
        <v>10243</v>
      </c>
      <c r="C3009" s="1" t="s">
        <v>10244</v>
      </c>
      <c r="D3009" s="1" t="s">
        <v>10245</v>
      </c>
      <c r="E3009" s="2">
        <v>37257.0</v>
      </c>
      <c r="F3009" s="1" t="s">
        <v>48</v>
      </c>
      <c r="G3009" s="1" t="s">
        <v>31</v>
      </c>
      <c r="H3009" s="1" t="s">
        <v>32</v>
      </c>
      <c r="I3009" s="3">
        <f>+2250769399627</f>
        <v>2250769399627</v>
      </c>
      <c r="J3009" s="3">
        <f>+2250504725106</f>
        <v>2250504725106</v>
      </c>
      <c r="K3009" s="1" t="s">
        <v>19</v>
      </c>
      <c r="L3009" s="4" t="s">
        <v>10246</v>
      </c>
    </row>
    <row r="3010">
      <c r="A3010" s="1" t="s">
        <v>12</v>
      </c>
      <c r="B3010" s="1" t="s">
        <v>10247</v>
      </c>
      <c r="C3010" s="1" t="s">
        <v>3872</v>
      </c>
      <c r="D3010" s="1" t="s">
        <v>10248</v>
      </c>
      <c r="E3010" s="2">
        <v>38450.0</v>
      </c>
      <c r="F3010" s="1" t="s">
        <v>62</v>
      </c>
      <c r="G3010" s="1" t="s">
        <v>17</v>
      </c>
      <c r="H3010" s="1" t="s">
        <v>18</v>
      </c>
      <c r="I3010" s="3">
        <f>+2250153688055</f>
        <v>2250153688055</v>
      </c>
      <c r="J3010" s="3">
        <f>+2250777617992</f>
        <v>2250777617992</v>
      </c>
      <c r="K3010" s="1" t="s">
        <v>19</v>
      </c>
      <c r="L3010" s="4" t="s">
        <v>10249</v>
      </c>
    </row>
    <row r="3011">
      <c r="A3011" s="1" t="s">
        <v>12</v>
      </c>
      <c r="B3011" s="1" t="s">
        <v>10250</v>
      </c>
      <c r="C3011" s="1" t="s">
        <v>10251</v>
      </c>
      <c r="D3011" s="1" t="s">
        <v>10252</v>
      </c>
      <c r="E3011" s="2">
        <v>38011.0</v>
      </c>
      <c r="F3011" s="1" t="s">
        <v>53</v>
      </c>
      <c r="G3011" s="1" t="s">
        <v>25</v>
      </c>
      <c r="H3011" s="1" t="s">
        <v>18</v>
      </c>
      <c r="I3011" s="3">
        <f>+2250574773054</f>
        <v>2250574773054</v>
      </c>
      <c r="J3011" s="3">
        <f>+2250506152532</f>
        <v>2250506152532</v>
      </c>
      <c r="K3011" s="1" t="s">
        <v>19</v>
      </c>
      <c r="L3011" s="4" t="s">
        <v>10253</v>
      </c>
    </row>
    <row r="3012">
      <c r="A3012" s="1" t="s">
        <v>12</v>
      </c>
      <c r="B3012" s="1" t="s">
        <v>10254</v>
      </c>
      <c r="C3012" s="1" t="s">
        <v>10255</v>
      </c>
      <c r="D3012" s="1" t="s">
        <v>10256</v>
      </c>
      <c r="E3012" s="2">
        <v>37678.0</v>
      </c>
      <c r="F3012" s="1" t="s">
        <v>101</v>
      </c>
      <c r="G3012" s="1" t="s">
        <v>31</v>
      </c>
      <c r="H3012" s="1" t="s">
        <v>32</v>
      </c>
      <c r="I3012" s="3">
        <f>+2250595047771</f>
        <v>2250595047771</v>
      </c>
      <c r="J3012" s="3">
        <f>+2250505616625</f>
        <v>2250505616625</v>
      </c>
      <c r="K3012" s="1" t="s">
        <v>19</v>
      </c>
      <c r="L3012" s="4" t="s">
        <v>10257</v>
      </c>
    </row>
    <row r="3013">
      <c r="A3013" s="1" t="s">
        <v>12</v>
      </c>
      <c r="B3013" s="1" t="s">
        <v>10258</v>
      </c>
      <c r="C3013" s="1" t="s">
        <v>10259</v>
      </c>
      <c r="D3013" s="1" t="s">
        <v>10260</v>
      </c>
      <c r="E3013" s="5">
        <v>37546.0</v>
      </c>
      <c r="F3013" s="1" t="s">
        <v>138</v>
      </c>
      <c r="G3013" s="1" t="s">
        <v>76</v>
      </c>
      <c r="H3013" s="1" t="s">
        <v>32</v>
      </c>
      <c r="I3013" s="3">
        <f>+2250170921516</f>
        <v>2250170921516</v>
      </c>
      <c r="J3013" s="3">
        <f>+2250545777892</f>
        <v>2250545777892</v>
      </c>
      <c r="K3013" s="1" t="s">
        <v>19</v>
      </c>
      <c r="L3013" s="4" t="s">
        <v>10261</v>
      </c>
    </row>
    <row r="3014">
      <c r="A3014" s="1" t="s">
        <v>12</v>
      </c>
      <c r="B3014" s="1" t="s">
        <v>10262</v>
      </c>
      <c r="C3014" s="1" t="s">
        <v>10263</v>
      </c>
      <c r="D3014" s="1" t="s">
        <v>10264</v>
      </c>
      <c r="E3014" s="2">
        <v>35065.0</v>
      </c>
      <c r="F3014" s="1" t="s">
        <v>62</v>
      </c>
      <c r="G3014" s="1" t="s">
        <v>17</v>
      </c>
      <c r="H3014" s="1" t="s">
        <v>18</v>
      </c>
      <c r="I3014" s="3">
        <f>+2250141254627</f>
        <v>2250141254627</v>
      </c>
      <c r="J3014" s="3">
        <f>+2250788326754</f>
        <v>2250788326754</v>
      </c>
      <c r="K3014" s="1" t="s">
        <v>19</v>
      </c>
      <c r="L3014" s="4" t="s">
        <v>10265</v>
      </c>
    </row>
    <row r="3015">
      <c r="A3015" s="1" t="s">
        <v>12</v>
      </c>
      <c r="B3015" s="1" t="s">
        <v>10266</v>
      </c>
      <c r="C3015" s="1" t="s">
        <v>10267</v>
      </c>
      <c r="D3015" s="1" t="s">
        <v>10268</v>
      </c>
      <c r="E3015" s="2">
        <v>38215.0</v>
      </c>
      <c r="F3015" s="1" t="s">
        <v>101</v>
      </c>
      <c r="G3015" s="1" t="s">
        <v>76</v>
      </c>
      <c r="H3015" s="1" t="s">
        <v>32</v>
      </c>
      <c r="I3015" s="3">
        <f>+2250705526289</f>
        <v>2250705526289</v>
      </c>
      <c r="J3015" s="3">
        <f>+2250759042404</f>
        <v>2250759042404</v>
      </c>
      <c r="K3015" s="1" t="s">
        <v>19</v>
      </c>
      <c r="L3015" s="4" t="s">
        <v>10269</v>
      </c>
    </row>
    <row r="3016">
      <c r="A3016" s="1" t="s">
        <v>12</v>
      </c>
      <c r="B3016" s="1" t="s">
        <v>10270</v>
      </c>
      <c r="C3016" s="1" t="s">
        <v>10271</v>
      </c>
      <c r="D3016" s="1" t="s">
        <v>10272</v>
      </c>
      <c r="E3016" s="2">
        <v>38404.0</v>
      </c>
      <c r="F3016" s="1" t="s">
        <v>48</v>
      </c>
      <c r="G3016" s="1" t="s">
        <v>76</v>
      </c>
      <c r="H3016" s="1" t="s">
        <v>32</v>
      </c>
      <c r="I3016" s="3">
        <f>+2250151533310</f>
        <v>2250151533310</v>
      </c>
      <c r="J3016" s="3">
        <f>+2250709969903</f>
        <v>2250709969903</v>
      </c>
      <c r="K3016" s="1" t="s">
        <v>19</v>
      </c>
      <c r="L3016" s="4" t="s">
        <v>10273</v>
      </c>
    </row>
    <row r="3017">
      <c r="A3017" s="1" t="s">
        <v>12</v>
      </c>
      <c r="B3017" s="1" t="s">
        <v>10274</v>
      </c>
      <c r="C3017" s="1" t="s">
        <v>10275</v>
      </c>
      <c r="D3017" s="1" t="s">
        <v>10276</v>
      </c>
      <c r="E3017" s="2">
        <v>37632.0</v>
      </c>
      <c r="F3017" s="1" t="s">
        <v>16</v>
      </c>
      <c r="G3017" s="1" t="s">
        <v>17</v>
      </c>
      <c r="H3017" s="1" t="s">
        <v>18</v>
      </c>
      <c r="I3017" s="3">
        <f>+2250170953339</f>
        <v>2250170953339</v>
      </c>
      <c r="J3017" s="3">
        <f>+2250506705999</f>
        <v>2250506705999</v>
      </c>
      <c r="K3017" s="1" t="s">
        <v>19</v>
      </c>
      <c r="L3017" s="4" t="s">
        <v>10277</v>
      </c>
    </row>
    <row r="3018">
      <c r="A3018" s="1" t="s">
        <v>12</v>
      </c>
      <c r="B3018" s="1" t="s">
        <v>10278</v>
      </c>
      <c r="C3018" s="1" t="s">
        <v>10279</v>
      </c>
      <c r="D3018" s="1" t="s">
        <v>10280</v>
      </c>
      <c r="E3018" s="5">
        <v>38701.0</v>
      </c>
      <c r="F3018" s="1" t="s">
        <v>16</v>
      </c>
      <c r="G3018" s="1" t="s">
        <v>17</v>
      </c>
      <c r="H3018" s="1" t="s">
        <v>18</v>
      </c>
      <c r="I3018" s="3">
        <f>+2250778199369</f>
        <v>2250778199369</v>
      </c>
      <c r="J3018" s="3">
        <f>+2250777161576</f>
        <v>2250777161576</v>
      </c>
      <c r="K3018" s="1" t="s">
        <v>19</v>
      </c>
      <c r="L3018" s="4" t="s">
        <v>10281</v>
      </c>
    </row>
    <row r="3019">
      <c r="A3019" s="1" t="s">
        <v>12</v>
      </c>
      <c r="B3019" s="1" t="s">
        <v>10282</v>
      </c>
      <c r="C3019" s="1" t="s">
        <v>10279</v>
      </c>
      <c r="D3019" s="1" t="s">
        <v>10283</v>
      </c>
      <c r="E3019" s="2">
        <v>36526.0</v>
      </c>
      <c r="F3019" s="1" t="s">
        <v>138</v>
      </c>
      <c r="G3019" s="1" t="s">
        <v>31</v>
      </c>
      <c r="H3019" s="1" t="s">
        <v>32</v>
      </c>
      <c r="I3019" s="3">
        <f>+2250757163255</f>
        <v>2250757163255</v>
      </c>
      <c r="J3019" s="3">
        <f>+2250709640075</f>
        <v>2250709640075</v>
      </c>
      <c r="K3019" s="1" t="s">
        <v>19</v>
      </c>
      <c r="L3019" s="4" t="s">
        <v>10284</v>
      </c>
    </row>
    <row r="3020">
      <c r="A3020" s="1" t="s">
        <v>12</v>
      </c>
      <c r="B3020" s="1" t="s">
        <v>10285</v>
      </c>
      <c r="C3020" s="1" t="s">
        <v>10279</v>
      </c>
      <c r="D3020" s="1" t="s">
        <v>10286</v>
      </c>
      <c r="E3020" s="2">
        <v>38555.0</v>
      </c>
      <c r="F3020" s="1" t="s">
        <v>62</v>
      </c>
      <c r="G3020" s="1" t="s">
        <v>17</v>
      </c>
      <c r="H3020" s="1" t="s">
        <v>18</v>
      </c>
      <c r="I3020" s="3">
        <f>+2250576824746</f>
        <v>2250576824746</v>
      </c>
      <c r="J3020" s="3">
        <f>+2250707484514</f>
        <v>2250707484514</v>
      </c>
      <c r="K3020" s="1" t="s">
        <v>19</v>
      </c>
      <c r="L3020" s="4" t="s">
        <v>10287</v>
      </c>
    </row>
    <row r="3021">
      <c r="A3021" s="1" t="s">
        <v>12</v>
      </c>
      <c r="B3021" s="1" t="s">
        <v>10288</v>
      </c>
      <c r="C3021" s="1" t="s">
        <v>10279</v>
      </c>
      <c r="D3021" s="1" t="s">
        <v>10289</v>
      </c>
      <c r="E3021" s="2">
        <v>37754.0</v>
      </c>
      <c r="F3021" s="1" t="s">
        <v>87</v>
      </c>
      <c r="G3021" s="1" t="s">
        <v>76</v>
      </c>
      <c r="H3021" s="1" t="s">
        <v>32</v>
      </c>
      <c r="I3021" s="3">
        <f>+2250707063721</f>
        <v>2250707063721</v>
      </c>
      <c r="J3021" s="3">
        <f>+2250788239149</f>
        <v>2250788239149</v>
      </c>
      <c r="K3021" s="1" t="s">
        <v>19</v>
      </c>
      <c r="L3021" s="4" t="s">
        <v>10290</v>
      </c>
    </row>
    <row r="3022">
      <c r="A3022" s="1" t="s">
        <v>12</v>
      </c>
      <c r="B3022" s="1" t="s">
        <v>10291</v>
      </c>
      <c r="C3022" s="1" t="s">
        <v>10292</v>
      </c>
      <c r="D3022" s="1" t="s">
        <v>10293</v>
      </c>
      <c r="E3022" s="2">
        <v>36898.0</v>
      </c>
      <c r="F3022" s="1" t="s">
        <v>16</v>
      </c>
      <c r="G3022" s="1" t="s">
        <v>25</v>
      </c>
      <c r="H3022" s="1" t="s">
        <v>18</v>
      </c>
      <c r="I3022" s="3">
        <f>+2250703832362</f>
        <v>2250703832362</v>
      </c>
      <c r="J3022" s="3">
        <f>+2250502383652</f>
        <v>2250502383652</v>
      </c>
      <c r="K3022" s="1" t="s">
        <v>19</v>
      </c>
      <c r="L3022" s="4" t="s">
        <v>10294</v>
      </c>
    </row>
    <row r="3023">
      <c r="A3023" s="1" t="s">
        <v>12</v>
      </c>
      <c r="B3023" s="1" t="s">
        <v>10295</v>
      </c>
      <c r="C3023" s="1" t="s">
        <v>10296</v>
      </c>
      <c r="D3023" s="1" t="s">
        <v>10297</v>
      </c>
      <c r="E3023" s="5">
        <v>36445.0</v>
      </c>
      <c r="F3023" s="1" t="s">
        <v>182</v>
      </c>
      <c r="G3023" s="1" t="s">
        <v>3569</v>
      </c>
      <c r="H3023" s="1" t="s">
        <v>39</v>
      </c>
      <c r="I3023" s="3">
        <f>+2250778635672</f>
        <v>2250778635672</v>
      </c>
      <c r="J3023" s="3">
        <f t="shared" ref="J3023:J3024" si="96">+2250707567026</f>
        <v>2250707567026</v>
      </c>
      <c r="K3023" s="1" t="s">
        <v>19</v>
      </c>
      <c r="L3023" s="4" t="s">
        <v>10298</v>
      </c>
    </row>
    <row r="3024">
      <c r="A3024" s="1" t="s">
        <v>12</v>
      </c>
      <c r="B3024" s="1" t="s">
        <v>10299</v>
      </c>
      <c r="C3024" s="1" t="s">
        <v>10296</v>
      </c>
      <c r="D3024" s="1" t="s">
        <v>10300</v>
      </c>
      <c r="E3024" s="5">
        <v>36445.0</v>
      </c>
      <c r="F3024" s="1" t="s">
        <v>37</v>
      </c>
      <c r="G3024" s="1" t="s">
        <v>38</v>
      </c>
      <c r="H3024" s="1" t="s">
        <v>39</v>
      </c>
      <c r="I3024" s="3">
        <f>+2250779033948</f>
        <v>2250779033948</v>
      </c>
      <c r="J3024" s="3">
        <f t="shared" si="96"/>
        <v>2250707567026</v>
      </c>
      <c r="K3024" s="1" t="s">
        <v>19</v>
      </c>
      <c r="L3024" s="4" t="s">
        <v>10301</v>
      </c>
    </row>
    <row r="3025">
      <c r="A3025" s="1" t="s">
        <v>12</v>
      </c>
      <c r="B3025" s="1" t="s">
        <v>10302</v>
      </c>
      <c r="C3025" s="1" t="s">
        <v>10303</v>
      </c>
      <c r="D3025" s="1" t="s">
        <v>10304</v>
      </c>
      <c r="E3025" s="2">
        <v>38608.0</v>
      </c>
      <c r="F3025" s="1" t="s">
        <v>53</v>
      </c>
      <c r="G3025" s="1" t="s">
        <v>25</v>
      </c>
      <c r="H3025" s="1" t="s">
        <v>18</v>
      </c>
      <c r="I3025" s="3">
        <f>+2250799578140</f>
        <v>2250799578140</v>
      </c>
      <c r="J3025" s="3">
        <f>+2250707684040</f>
        <v>2250707684040</v>
      </c>
      <c r="K3025" s="1" t="s">
        <v>19</v>
      </c>
      <c r="L3025" s="4" t="s">
        <v>10305</v>
      </c>
    </row>
    <row r="3026">
      <c r="A3026" s="1" t="s">
        <v>12</v>
      </c>
      <c r="B3026" s="1" t="s">
        <v>10306</v>
      </c>
      <c r="C3026" s="1" t="s">
        <v>10307</v>
      </c>
      <c r="D3026" s="1" t="s">
        <v>10308</v>
      </c>
      <c r="E3026" s="5">
        <v>37921.0</v>
      </c>
      <c r="F3026" s="1" t="s">
        <v>92</v>
      </c>
      <c r="G3026" s="1" t="s">
        <v>31</v>
      </c>
      <c r="H3026" s="1" t="s">
        <v>32</v>
      </c>
      <c r="I3026" s="3">
        <f>+2250709520197</f>
        <v>2250709520197</v>
      </c>
      <c r="J3026" s="3">
        <f>+2250709520107</f>
        <v>2250709520107</v>
      </c>
      <c r="K3026" s="1" t="s">
        <v>19</v>
      </c>
      <c r="L3026" s="4" t="s">
        <v>10309</v>
      </c>
    </row>
    <row r="3027">
      <c r="A3027" s="1" t="s">
        <v>12</v>
      </c>
      <c r="B3027" s="1" t="s">
        <v>10310</v>
      </c>
      <c r="C3027" s="1" t="s">
        <v>10311</v>
      </c>
      <c r="D3027" s="1" t="s">
        <v>10312</v>
      </c>
      <c r="E3027" s="2">
        <v>38857.0</v>
      </c>
      <c r="F3027" s="1" t="s">
        <v>155</v>
      </c>
      <c r="G3027" s="1" t="s">
        <v>76</v>
      </c>
      <c r="H3027" s="1" t="s">
        <v>32</v>
      </c>
      <c r="I3027" s="3">
        <f>+2250703942669</f>
        <v>2250703942669</v>
      </c>
      <c r="J3027" s="3">
        <f>+2250708191689</f>
        <v>2250708191689</v>
      </c>
      <c r="K3027" s="1" t="s">
        <v>19</v>
      </c>
      <c r="L3027" s="4" t="s">
        <v>10313</v>
      </c>
    </row>
    <row r="3028">
      <c r="A3028" s="1" t="s">
        <v>12</v>
      </c>
      <c r="B3028" s="1" t="s">
        <v>10314</v>
      </c>
      <c r="C3028" s="1" t="s">
        <v>10315</v>
      </c>
      <c r="D3028" s="1" t="s">
        <v>3440</v>
      </c>
      <c r="E3028" s="2">
        <v>36982.0</v>
      </c>
      <c r="F3028" s="1" t="s">
        <v>416</v>
      </c>
      <c r="G3028" s="1" t="s">
        <v>76</v>
      </c>
      <c r="H3028" s="1" t="s">
        <v>32</v>
      </c>
      <c r="I3028" s="3">
        <f>+2250565832458</f>
        <v>2250565832458</v>
      </c>
      <c r="J3028" s="3">
        <f>+2250546529378</f>
        <v>2250546529378</v>
      </c>
      <c r="K3028" s="1" t="s">
        <v>19</v>
      </c>
      <c r="L3028" s="4" t="s">
        <v>10316</v>
      </c>
    </row>
    <row r="3029">
      <c r="A3029" s="1" t="s">
        <v>12</v>
      </c>
      <c r="B3029" s="1" t="s">
        <v>10317</v>
      </c>
      <c r="C3029" s="1" t="s">
        <v>10318</v>
      </c>
      <c r="D3029" s="1" t="s">
        <v>10319</v>
      </c>
      <c r="E3029" s="2">
        <v>38167.0</v>
      </c>
      <c r="F3029" s="1" t="s">
        <v>53</v>
      </c>
      <c r="G3029" s="1" t="s">
        <v>25</v>
      </c>
      <c r="H3029" s="1" t="s">
        <v>18</v>
      </c>
      <c r="I3029" s="3">
        <f>+2250101549014</f>
        <v>2250101549014</v>
      </c>
      <c r="J3029" s="3">
        <f>+2250747763496</f>
        <v>2250747763496</v>
      </c>
      <c r="K3029" s="1" t="s">
        <v>19</v>
      </c>
      <c r="L3029" s="4" t="s">
        <v>10320</v>
      </c>
    </row>
    <row r="3030">
      <c r="A3030" s="1" t="s">
        <v>12</v>
      </c>
      <c r="B3030" s="1" t="s">
        <v>10321</v>
      </c>
      <c r="C3030" s="1" t="s">
        <v>10322</v>
      </c>
      <c r="D3030" s="1" t="s">
        <v>10323</v>
      </c>
      <c r="E3030" s="2">
        <v>38947.0</v>
      </c>
      <c r="F3030" s="1" t="s">
        <v>30</v>
      </c>
      <c r="G3030" s="1" t="s">
        <v>76</v>
      </c>
      <c r="H3030" s="1" t="s">
        <v>32</v>
      </c>
      <c r="I3030" s="3">
        <f>+2250779411921</f>
        <v>2250779411921</v>
      </c>
      <c r="J3030" s="3">
        <f>+2250140224951</f>
        <v>2250140224951</v>
      </c>
      <c r="K3030" s="1" t="s">
        <v>19</v>
      </c>
      <c r="L3030" s="4" t="s">
        <v>10324</v>
      </c>
    </row>
    <row r="3031">
      <c r="A3031" s="1" t="s">
        <v>12</v>
      </c>
      <c r="B3031" s="1" t="s">
        <v>10325</v>
      </c>
      <c r="C3031" s="1" t="s">
        <v>10322</v>
      </c>
      <c r="D3031" s="1" t="s">
        <v>10326</v>
      </c>
      <c r="E3031" s="2">
        <v>37819.0</v>
      </c>
      <c r="F3031" s="1" t="s">
        <v>97</v>
      </c>
      <c r="G3031" s="1" t="s">
        <v>82</v>
      </c>
      <c r="H3031" s="1" t="s">
        <v>18</v>
      </c>
      <c r="I3031" s="3">
        <f>+2250101039921</f>
        <v>2250101039921</v>
      </c>
      <c r="J3031" s="3">
        <f>+2250102006170</f>
        <v>2250102006170</v>
      </c>
      <c r="K3031" s="1" t="s">
        <v>19</v>
      </c>
      <c r="L3031" s="4" t="s">
        <v>10327</v>
      </c>
    </row>
    <row r="3032">
      <c r="A3032" s="1" t="s">
        <v>12</v>
      </c>
      <c r="B3032" s="1" t="s">
        <v>10328</v>
      </c>
      <c r="C3032" s="1" t="s">
        <v>10329</v>
      </c>
      <c r="D3032" s="1" t="s">
        <v>10330</v>
      </c>
      <c r="E3032" s="2">
        <v>38037.0</v>
      </c>
      <c r="F3032" s="1" t="s">
        <v>53</v>
      </c>
      <c r="G3032" s="1" t="s">
        <v>17</v>
      </c>
      <c r="H3032" s="1" t="s">
        <v>18</v>
      </c>
      <c r="I3032" s="3">
        <f t="shared" ref="I3032:J3032" si="97">+2250170254015</f>
        <v>2250170254015</v>
      </c>
      <c r="J3032" s="3">
        <f t="shared" si="97"/>
        <v>2250170254015</v>
      </c>
      <c r="K3032" s="1" t="s">
        <v>19</v>
      </c>
      <c r="L3032" s="4" t="s">
        <v>10331</v>
      </c>
    </row>
    <row r="3033">
      <c r="A3033" s="1" t="s">
        <v>12</v>
      </c>
      <c r="B3033" s="1" t="s">
        <v>10332</v>
      </c>
      <c r="C3033" s="1" t="s">
        <v>10333</v>
      </c>
      <c r="D3033" s="1" t="s">
        <v>10334</v>
      </c>
      <c r="E3033" s="5">
        <v>37186.0</v>
      </c>
      <c r="F3033" s="1" t="s">
        <v>62</v>
      </c>
      <c r="G3033" s="1" t="s">
        <v>17</v>
      </c>
      <c r="H3033" s="1" t="s">
        <v>18</v>
      </c>
      <c r="I3033" s="3">
        <f>+2250544970457</f>
        <v>2250544970457</v>
      </c>
      <c r="J3033" s="3">
        <f>+2250505001059</f>
        <v>2250505001059</v>
      </c>
      <c r="K3033" s="1" t="s">
        <v>19</v>
      </c>
      <c r="L3033" s="4" t="s">
        <v>10335</v>
      </c>
    </row>
    <row r="3034">
      <c r="A3034" s="1" t="s">
        <v>12</v>
      </c>
      <c r="B3034" s="1" t="s">
        <v>10336</v>
      </c>
      <c r="C3034" s="1" t="s">
        <v>10337</v>
      </c>
      <c r="D3034" s="1" t="s">
        <v>10338</v>
      </c>
      <c r="E3034" s="2">
        <v>38092.0</v>
      </c>
      <c r="F3034" s="1" t="s">
        <v>342</v>
      </c>
      <c r="G3034" s="1" t="s">
        <v>82</v>
      </c>
      <c r="H3034" s="1" t="s">
        <v>18</v>
      </c>
      <c r="I3034" s="3">
        <f>+2250140414006</f>
        <v>2250140414006</v>
      </c>
      <c r="J3034" s="3">
        <f>+2250102486049</f>
        <v>2250102486049</v>
      </c>
      <c r="K3034" s="1" t="s">
        <v>19</v>
      </c>
      <c r="L3034" s="4" t="s">
        <v>10339</v>
      </c>
    </row>
    <row r="3035">
      <c r="A3035" s="1" t="s">
        <v>12</v>
      </c>
      <c r="B3035" s="1" t="s">
        <v>10340</v>
      </c>
      <c r="C3035" s="1" t="s">
        <v>10341</v>
      </c>
      <c r="D3035" s="1" t="s">
        <v>10342</v>
      </c>
      <c r="E3035" s="2">
        <v>37113.0</v>
      </c>
      <c r="F3035" s="1" t="s">
        <v>62</v>
      </c>
      <c r="G3035" s="1" t="s">
        <v>17</v>
      </c>
      <c r="H3035" s="1" t="s">
        <v>18</v>
      </c>
      <c r="I3035" s="3">
        <f>+2250757942964</f>
        <v>2250757942964</v>
      </c>
      <c r="J3035" s="3">
        <f>+2250749165090</f>
        <v>2250749165090</v>
      </c>
      <c r="K3035" s="1" t="s">
        <v>19</v>
      </c>
      <c r="L3035" s="4" t="s">
        <v>10343</v>
      </c>
    </row>
    <row r="3036">
      <c r="A3036" s="1" t="s">
        <v>12</v>
      </c>
      <c r="B3036" s="1" t="s">
        <v>10344</v>
      </c>
      <c r="C3036" s="1" t="s">
        <v>10345</v>
      </c>
      <c r="D3036" s="1" t="s">
        <v>1053</v>
      </c>
      <c r="E3036" s="2">
        <v>37428.0</v>
      </c>
      <c r="F3036" s="1" t="s">
        <v>62</v>
      </c>
      <c r="G3036" s="1" t="s">
        <v>17</v>
      </c>
      <c r="H3036" s="1" t="s">
        <v>18</v>
      </c>
      <c r="I3036" s="3">
        <f>+2250757362939</f>
        <v>2250757362939</v>
      </c>
      <c r="J3036" s="3">
        <f>+225078213872</f>
        <v>225078213872</v>
      </c>
      <c r="K3036" s="1" t="s">
        <v>19</v>
      </c>
      <c r="L3036" s="4" t="s">
        <v>10346</v>
      </c>
    </row>
    <row r="3037">
      <c r="A3037" s="1" t="s">
        <v>12</v>
      </c>
      <c r="B3037" s="1" t="s">
        <v>10347</v>
      </c>
      <c r="C3037" s="1" t="s">
        <v>10348</v>
      </c>
      <c r="D3037" s="1" t="s">
        <v>10349</v>
      </c>
      <c r="E3037" s="2">
        <v>37657.0</v>
      </c>
      <c r="F3037" s="1" t="s">
        <v>48</v>
      </c>
      <c r="G3037" s="1" t="s">
        <v>31</v>
      </c>
      <c r="H3037" s="1" t="s">
        <v>32</v>
      </c>
      <c r="I3037" s="3">
        <f>+2250101235683</f>
        <v>2250101235683</v>
      </c>
      <c r="J3037" s="3">
        <f>+2250758904502</f>
        <v>2250758904502</v>
      </c>
      <c r="K3037" s="1" t="s">
        <v>19</v>
      </c>
      <c r="L3037" s="4" t="s">
        <v>10350</v>
      </c>
    </row>
    <row r="3038">
      <c r="A3038" s="1" t="s">
        <v>12</v>
      </c>
      <c r="B3038" s="1" t="s">
        <v>10351</v>
      </c>
      <c r="C3038" s="1" t="s">
        <v>10348</v>
      </c>
      <c r="D3038" s="1" t="s">
        <v>10352</v>
      </c>
      <c r="E3038" s="2">
        <v>38443.0</v>
      </c>
      <c r="F3038" s="1" t="s">
        <v>75</v>
      </c>
      <c r="G3038" s="1" t="s">
        <v>76</v>
      </c>
      <c r="H3038" s="1" t="s">
        <v>32</v>
      </c>
      <c r="I3038" s="3">
        <f>+2250702146759</f>
        <v>2250702146759</v>
      </c>
      <c r="J3038" s="3">
        <f>+2250700803731</f>
        <v>2250700803731</v>
      </c>
      <c r="K3038" s="1" t="s">
        <v>19</v>
      </c>
      <c r="L3038" s="4" t="s">
        <v>10353</v>
      </c>
    </row>
    <row r="3039">
      <c r="A3039" s="1" t="s">
        <v>12</v>
      </c>
      <c r="B3039" s="1" t="s">
        <v>10354</v>
      </c>
      <c r="C3039" s="1" t="s">
        <v>10355</v>
      </c>
      <c r="D3039" s="1" t="s">
        <v>10356</v>
      </c>
      <c r="E3039" s="5">
        <v>37555.0</v>
      </c>
      <c r="F3039" s="1" t="s">
        <v>62</v>
      </c>
      <c r="G3039" s="1" t="s">
        <v>25</v>
      </c>
      <c r="H3039" s="1" t="s">
        <v>18</v>
      </c>
      <c r="I3039" s="3">
        <f>+2250140063693</f>
        <v>2250140063693</v>
      </c>
      <c r="J3039" s="3">
        <f>+2250747787896</f>
        <v>2250747787896</v>
      </c>
      <c r="K3039" s="1" t="s">
        <v>19</v>
      </c>
      <c r="L3039" s="4" t="s">
        <v>10357</v>
      </c>
    </row>
    <row r="3040">
      <c r="A3040" s="1" t="s">
        <v>12</v>
      </c>
      <c r="B3040" s="1" t="s">
        <v>10358</v>
      </c>
      <c r="C3040" s="1" t="s">
        <v>10359</v>
      </c>
      <c r="D3040" s="1" t="s">
        <v>10360</v>
      </c>
      <c r="E3040" s="5">
        <v>38311.0</v>
      </c>
      <c r="F3040" s="1" t="s">
        <v>16</v>
      </c>
      <c r="G3040" s="1" t="s">
        <v>25</v>
      </c>
      <c r="H3040" s="1" t="s">
        <v>18</v>
      </c>
      <c r="I3040" s="3">
        <f>+2250143060915</f>
        <v>2250143060915</v>
      </c>
      <c r="J3040" s="3">
        <f>+2250708059074</f>
        <v>2250708059074</v>
      </c>
      <c r="K3040" s="1" t="s">
        <v>19</v>
      </c>
      <c r="L3040" s="4" t="s">
        <v>10361</v>
      </c>
    </row>
    <row r="3041">
      <c r="A3041" s="1" t="s">
        <v>12</v>
      </c>
      <c r="B3041" s="1" t="s">
        <v>10362</v>
      </c>
      <c r="C3041" s="1" t="s">
        <v>10363</v>
      </c>
      <c r="D3041" s="1" t="s">
        <v>10364</v>
      </c>
      <c r="E3041" s="2">
        <v>37537.0</v>
      </c>
      <c r="F3041" s="1" t="s">
        <v>101</v>
      </c>
      <c r="G3041" s="1" t="s">
        <v>76</v>
      </c>
      <c r="H3041" s="1" t="s">
        <v>32</v>
      </c>
      <c r="I3041" s="3">
        <f>+2250545300892</f>
        <v>2250545300892</v>
      </c>
      <c r="J3041" s="3">
        <f>+2250747585375</f>
        <v>2250747585375</v>
      </c>
      <c r="K3041" s="1" t="s">
        <v>19</v>
      </c>
      <c r="L3041" s="4" t="s">
        <v>10365</v>
      </c>
    </row>
    <row r="3042">
      <c r="A3042" s="1" t="s">
        <v>12</v>
      </c>
      <c r="B3042" s="1" t="s">
        <v>10366</v>
      </c>
      <c r="C3042" s="1" t="s">
        <v>10367</v>
      </c>
      <c r="D3042" s="1" t="s">
        <v>10368</v>
      </c>
      <c r="E3042" s="5">
        <v>38710.0</v>
      </c>
      <c r="F3042" s="1" t="s">
        <v>62</v>
      </c>
      <c r="G3042" s="1" t="s">
        <v>25</v>
      </c>
      <c r="H3042" s="1" t="s">
        <v>18</v>
      </c>
      <c r="I3042" s="3">
        <f>+2250150295021</f>
        <v>2250150295021</v>
      </c>
      <c r="J3042" s="3">
        <f>+2250708925012</f>
        <v>2250708925012</v>
      </c>
      <c r="K3042" s="1" t="s">
        <v>19</v>
      </c>
      <c r="L3042" s="4" t="s">
        <v>10369</v>
      </c>
    </row>
    <row r="3043">
      <c r="A3043" s="1" t="s">
        <v>12</v>
      </c>
      <c r="B3043" s="1" t="s">
        <v>10370</v>
      </c>
      <c r="C3043" s="1" t="s">
        <v>10371</v>
      </c>
      <c r="D3043" s="1" t="s">
        <v>10372</v>
      </c>
      <c r="E3043" s="2">
        <v>38360.0</v>
      </c>
      <c r="F3043" s="1" t="s">
        <v>92</v>
      </c>
      <c r="G3043" s="1" t="s">
        <v>76</v>
      </c>
      <c r="H3043" s="1" t="s">
        <v>32</v>
      </c>
      <c r="I3043" s="3">
        <f>+2250153926299</f>
        <v>2250153926299</v>
      </c>
      <c r="J3043" s="3">
        <f>+2250708273047</f>
        <v>2250708273047</v>
      </c>
      <c r="K3043" s="1" t="s">
        <v>19</v>
      </c>
      <c r="L3043" s="4" t="s">
        <v>10373</v>
      </c>
    </row>
    <row r="3044">
      <c r="A3044" s="1" t="s">
        <v>12</v>
      </c>
      <c r="B3044" s="1" t="s">
        <v>10374</v>
      </c>
      <c r="C3044" s="1" t="s">
        <v>10375</v>
      </c>
      <c r="D3044" s="1" t="s">
        <v>10376</v>
      </c>
      <c r="E3044" s="2">
        <v>36212.0</v>
      </c>
      <c r="F3044" s="1" t="s">
        <v>155</v>
      </c>
      <c r="G3044" s="1" t="s">
        <v>82</v>
      </c>
      <c r="H3044" s="1" t="s">
        <v>18</v>
      </c>
      <c r="I3044" s="3">
        <f>+2250707234554</f>
        <v>2250707234554</v>
      </c>
      <c r="J3044" s="3">
        <f>+2250707694109</f>
        <v>2250707694109</v>
      </c>
      <c r="K3044" s="1" t="s">
        <v>19</v>
      </c>
      <c r="L3044" s="4" t="s">
        <v>10377</v>
      </c>
    </row>
    <row r="3045">
      <c r="A3045" s="1" t="s">
        <v>12</v>
      </c>
      <c r="B3045" s="1" t="s">
        <v>10378</v>
      </c>
      <c r="C3045" s="1" t="s">
        <v>10375</v>
      </c>
      <c r="D3045" s="1" t="s">
        <v>1714</v>
      </c>
      <c r="E3045" s="2">
        <v>35847.0</v>
      </c>
      <c r="F3045" s="1" t="s">
        <v>182</v>
      </c>
      <c r="G3045" s="1" t="s">
        <v>82</v>
      </c>
      <c r="H3045" s="1" t="s">
        <v>18</v>
      </c>
      <c r="I3045" s="3">
        <f>+2250789734382</f>
        <v>2250789734382</v>
      </c>
      <c r="J3045" s="3">
        <f>+2250749624314</f>
        <v>2250749624314</v>
      </c>
      <c r="K3045" s="1" t="s">
        <v>19</v>
      </c>
      <c r="L3045" s="4" t="s">
        <v>10379</v>
      </c>
    </row>
    <row r="3046">
      <c r="A3046" s="1" t="s">
        <v>12</v>
      </c>
      <c r="B3046" s="1" t="s">
        <v>10380</v>
      </c>
      <c r="C3046" s="1" t="s">
        <v>10381</v>
      </c>
      <c r="D3046" s="1" t="s">
        <v>10382</v>
      </c>
      <c r="E3046" s="2">
        <v>37659.0</v>
      </c>
      <c r="F3046" s="1" t="s">
        <v>75</v>
      </c>
      <c r="G3046" s="1" t="s">
        <v>76</v>
      </c>
      <c r="H3046" s="1" t="s">
        <v>32</v>
      </c>
      <c r="I3046" s="3">
        <f>+2250778496158</f>
        <v>2250778496158</v>
      </c>
      <c r="J3046" s="3">
        <f>+2250747157279</f>
        <v>2250747157279</v>
      </c>
      <c r="K3046" s="1" t="s">
        <v>19</v>
      </c>
      <c r="L3046" s="4" t="s">
        <v>10383</v>
      </c>
    </row>
    <row r="3047">
      <c r="A3047" s="1" t="s">
        <v>12</v>
      </c>
      <c r="B3047" s="1" t="s">
        <v>10384</v>
      </c>
      <c r="C3047" s="1" t="s">
        <v>10385</v>
      </c>
      <c r="D3047" s="1" t="s">
        <v>10386</v>
      </c>
      <c r="E3047" s="2">
        <v>36756.0</v>
      </c>
      <c r="F3047" s="1" t="s">
        <v>87</v>
      </c>
      <c r="G3047" s="1" t="s">
        <v>31</v>
      </c>
      <c r="H3047" s="1" t="s">
        <v>32</v>
      </c>
      <c r="I3047" s="3">
        <f>+2250749809518</f>
        <v>2250749809518</v>
      </c>
      <c r="J3047" s="3">
        <f>+2250707208814</f>
        <v>2250707208814</v>
      </c>
      <c r="K3047" s="1" t="s">
        <v>19</v>
      </c>
      <c r="L3047" s="4" t="s">
        <v>10387</v>
      </c>
    </row>
    <row r="3048">
      <c r="A3048" s="1" t="s">
        <v>12</v>
      </c>
      <c r="B3048" s="1" t="s">
        <v>10388</v>
      </c>
      <c r="C3048" s="1" t="s">
        <v>10389</v>
      </c>
      <c r="D3048" s="1" t="s">
        <v>10390</v>
      </c>
      <c r="E3048" s="5">
        <v>37937.0</v>
      </c>
      <c r="F3048" s="1" t="s">
        <v>16</v>
      </c>
      <c r="G3048" s="1" t="s">
        <v>17</v>
      </c>
      <c r="H3048" s="1" t="s">
        <v>18</v>
      </c>
      <c r="I3048" s="3">
        <f>+2250768966067</f>
        <v>2250768966067</v>
      </c>
      <c r="J3048" s="3">
        <f>+2250788722166</f>
        <v>2250788722166</v>
      </c>
      <c r="K3048" s="1" t="s">
        <v>19</v>
      </c>
      <c r="L3048" s="4" t="s">
        <v>10391</v>
      </c>
    </row>
    <row r="3049">
      <c r="A3049" s="1" t="s">
        <v>12</v>
      </c>
      <c r="B3049" s="1" t="s">
        <v>10392</v>
      </c>
      <c r="C3049" s="1" t="s">
        <v>10393</v>
      </c>
      <c r="D3049" s="1" t="s">
        <v>10394</v>
      </c>
      <c r="E3049" s="2">
        <v>37721.0</v>
      </c>
      <c r="F3049" s="1" t="s">
        <v>155</v>
      </c>
      <c r="G3049" s="1" t="s">
        <v>82</v>
      </c>
      <c r="H3049" s="1" t="s">
        <v>18</v>
      </c>
      <c r="I3049" s="3">
        <f>+2250749085100</f>
        <v>2250749085100</v>
      </c>
      <c r="J3049" s="3">
        <f>+2250707418990</f>
        <v>2250707418990</v>
      </c>
      <c r="K3049" s="1" t="s">
        <v>19</v>
      </c>
      <c r="L3049" s="4" t="s">
        <v>10395</v>
      </c>
    </row>
    <row r="3050">
      <c r="A3050" s="1" t="s">
        <v>12</v>
      </c>
      <c r="B3050" s="1" t="s">
        <v>10396</v>
      </c>
      <c r="C3050" s="1" t="s">
        <v>10393</v>
      </c>
      <c r="D3050" s="1" t="s">
        <v>1656</v>
      </c>
      <c r="E3050" s="2">
        <v>37333.0</v>
      </c>
      <c r="F3050" s="1" t="s">
        <v>92</v>
      </c>
      <c r="G3050" s="1" t="s">
        <v>76</v>
      </c>
      <c r="H3050" s="1" t="s">
        <v>32</v>
      </c>
      <c r="I3050" s="3">
        <f>+2250103407774</f>
        <v>2250103407774</v>
      </c>
      <c r="J3050" s="3">
        <f>+2250758455441</f>
        <v>2250758455441</v>
      </c>
      <c r="K3050" s="1" t="s">
        <v>19</v>
      </c>
      <c r="L3050" s="4" t="s">
        <v>10397</v>
      </c>
    </row>
    <row r="3051">
      <c r="A3051" s="1" t="s">
        <v>12</v>
      </c>
      <c r="B3051" s="1" t="s">
        <v>10398</v>
      </c>
      <c r="C3051" s="1" t="s">
        <v>10393</v>
      </c>
      <c r="D3051" s="1" t="s">
        <v>10399</v>
      </c>
      <c r="E3051" s="2">
        <v>38403.0</v>
      </c>
      <c r="F3051" s="1" t="s">
        <v>16</v>
      </c>
      <c r="G3051" s="1" t="s">
        <v>25</v>
      </c>
      <c r="H3051" s="1" t="s">
        <v>18</v>
      </c>
      <c r="I3051" s="3">
        <f>+2250575152410</f>
        <v>2250575152410</v>
      </c>
      <c r="J3051" s="3">
        <f>+2250574747601</f>
        <v>2250574747601</v>
      </c>
      <c r="K3051" s="1" t="s">
        <v>19</v>
      </c>
      <c r="L3051" s="4" t="s">
        <v>10400</v>
      </c>
    </row>
    <row r="3052">
      <c r="A3052" s="1" t="s">
        <v>12</v>
      </c>
      <c r="B3052" s="1" t="s">
        <v>10401</v>
      </c>
      <c r="C3052" s="1" t="s">
        <v>10402</v>
      </c>
      <c r="D3052" s="1" t="s">
        <v>10403</v>
      </c>
      <c r="E3052" s="2">
        <v>36743.0</v>
      </c>
      <c r="F3052" s="1" t="s">
        <v>30</v>
      </c>
      <c r="G3052" s="1" t="s">
        <v>76</v>
      </c>
      <c r="H3052" s="1" t="s">
        <v>32</v>
      </c>
      <c r="I3052" s="3">
        <f>+2250585124068</f>
        <v>2250585124068</v>
      </c>
      <c r="J3052" s="3">
        <f>+2250759342857</f>
        <v>2250759342857</v>
      </c>
      <c r="K3052" s="1" t="s">
        <v>19</v>
      </c>
      <c r="L3052" s="4" t="s">
        <v>10404</v>
      </c>
    </row>
    <row r="3053">
      <c r="A3053" s="1" t="s">
        <v>12</v>
      </c>
      <c r="B3053" s="1" t="s">
        <v>10405</v>
      </c>
      <c r="C3053" s="1" t="s">
        <v>10402</v>
      </c>
      <c r="D3053" s="1" t="s">
        <v>10406</v>
      </c>
      <c r="E3053" s="2">
        <v>37149.0</v>
      </c>
      <c r="F3053" s="1" t="s">
        <v>288</v>
      </c>
      <c r="G3053" s="1" t="s">
        <v>31</v>
      </c>
      <c r="H3053" s="1" t="s">
        <v>32</v>
      </c>
      <c r="I3053" s="3">
        <f>+2250757976894</f>
        <v>2250757976894</v>
      </c>
      <c r="J3053" s="3">
        <f>+2250757283708</f>
        <v>2250757283708</v>
      </c>
      <c r="K3053" s="1" t="s">
        <v>19</v>
      </c>
      <c r="L3053" s="4" t="s">
        <v>10407</v>
      </c>
    </row>
    <row r="3054">
      <c r="A3054" s="1" t="s">
        <v>12</v>
      </c>
      <c r="B3054" s="1" t="s">
        <v>10408</v>
      </c>
      <c r="C3054" s="1" t="s">
        <v>10409</v>
      </c>
      <c r="D3054" s="1" t="s">
        <v>10410</v>
      </c>
      <c r="E3054" s="2">
        <v>36795.0</v>
      </c>
      <c r="F3054" s="1" t="s">
        <v>110</v>
      </c>
      <c r="G3054" s="1" t="s">
        <v>82</v>
      </c>
      <c r="H3054" s="1" t="s">
        <v>18</v>
      </c>
      <c r="I3054" s="3">
        <f>+2250777018518</f>
        <v>2250777018518</v>
      </c>
      <c r="J3054" s="3">
        <f>+2250555627355</f>
        <v>2250555627355</v>
      </c>
      <c r="K3054" s="1" t="s">
        <v>19</v>
      </c>
      <c r="L3054" s="4" t="s">
        <v>10411</v>
      </c>
    </row>
    <row r="3055">
      <c r="A3055" s="1" t="s">
        <v>12</v>
      </c>
      <c r="B3055" s="1" t="s">
        <v>10412</v>
      </c>
      <c r="C3055" s="1" t="s">
        <v>10413</v>
      </c>
      <c r="D3055" s="1" t="s">
        <v>10414</v>
      </c>
      <c r="E3055" s="5">
        <v>37982.0</v>
      </c>
      <c r="F3055" s="1" t="s">
        <v>87</v>
      </c>
      <c r="G3055" s="1" t="s">
        <v>31</v>
      </c>
      <c r="H3055" s="1" t="s">
        <v>32</v>
      </c>
      <c r="I3055" s="3">
        <f>+2250789004344</f>
        <v>2250789004344</v>
      </c>
      <c r="J3055" s="3">
        <f>+2250101948759</f>
        <v>2250101948759</v>
      </c>
      <c r="K3055" s="1" t="s">
        <v>19</v>
      </c>
      <c r="L3055" s="4" t="s">
        <v>10415</v>
      </c>
    </row>
    <row r="3056">
      <c r="A3056" s="1" t="s">
        <v>12</v>
      </c>
      <c r="B3056" s="1" t="s">
        <v>10416</v>
      </c>
      <c r="C3056" s="1" t="s">
        <v>10417</v>
      </c>
      <c r="D3056" s="1" t="s">
        <v>10418</v>
      </c>
      <c r="E3056" s="5">
        <v>37610.0</v>
      </c>
      <c r="F3056" s="1" t="s">
        <v>53</v>
      </c>
      <c r="G3056" s="1" t="s">
        <v>25</v>
      </c>
      <c r="H3056" s="1" t="s">
        <v>18</v>
      </c>
      <c r="I3056" s="3">
        <f>+2250779335922</f>
        <v>2250779335922</v>
      </c>
      <c r="J3056" s="3">
        <f>+2250504606789</f>
        <v>2250504606789</v>
      </c>
      <c r="K3056" s="1" t="s">
        <v>19</v>
      </c>
      <c r="L3056" s="4" t="s">
        <v>10419</v>
      </c>
    </row>
    <row r="3057">
      <c r="A3057" s="1" t="s">
        <v>12</v>
      </c>
      <c r="B3057" s="1" t="s">
        <v>10420</v>
      </c>
      <c r="C3057" s="1" t="s">
        <v>10421</v>
      </c>
      <c r="D3057" s="1" t="s">
        <v>10422</v>
      </c>
      <c r="E3057" s="2">
        <v>38827.0</v>
      </c>
      <c r="F3057" s="1" t="s">
        <v>155</v>
      </c>
      <c r="G3057" s="1" t="s">
        <v>76</v>
      </c>
      <c r="H3057" s="1" t="s">
        <v>32</v>
      </c>
      <c r="I3057" s="3">
        <f>+2250502529040</f>
        <v>2250502529040</v>
      </c>
      <c r="J3057" s="3">
        <f>+2250708601552</f>
        <v>2250708601552</v>
      </c>
      <c r="K3057" s="1" t="s">
        <v>19</v>
      </c>
      <c r="L3057" s="4" t="s">
        <v>10423</v>
      </c>
    </row>
    <row r="3058">
      <c r="A3058" s="1" t="s">
        <v>12</v>
      </c>
      <c r="B3058" s="1" t="s">
        <v>10424</v>
      </c>
      <c r="C3058" s="1" t="s">
        <v>10421</v>
      </c>
      <c r="D3058" s="1" t="s">
        <v>10425</v>
      </c>
      <c r="E3058" s="5">
        <v>37939.0</v>
      </c>
      <c r="F3058" s="1" t="s">
        <v>167</v>
      </c>
      <c r="G3058" s="1" t="s">
        <v>17</v>
      </c>
      <c r="H3058" s="1" t="s">
        <v>18</v>
      </c>
      <c r="I3058" s="3">
        <f>+2250748770817</f>
        <v>2250748770817</v>
      </c>
      <c r="J3058" s="3">
        <f>+2250749974929</f>
        <v>2250749974929</v>
      </c>
      <c r="K3058" s="1" t="s">
        <v>19</v>
      </c>
      <c r="L3058" s="4" t="s">
        <v>10426</v>
      </c>
    </row>
    <row r="3059">
      <c r="A3059" s="1" t="s">
        <v>12</v>
      </c>
      <c r="B3059" s="1" t="s">
        <v>10427</v>
      </c>
      <c r="C3059" s="1" t="s">
        <v>10428</v>
      </c>
      <c r="D3059" s="1" t="s">
        <v>10429</v>
      </c>
      <c r="E3059" s="2">
        <v>37448.0</v>
      </c>
      <c r="F3059" s="1" t="s">
        <v>62</v>
      </c>
      <c r="G3059" s="1" t="s">
        <v>17</v>
      </c>
      <c r="H3059" s="1" t="s">
        <v>18</v>
      </c>
      <c r="I3059" s="3">
        <f>+2250153655672</f>
        <v>2250153655672</v>
      </c>
      <c r="J3059" s="3">
        <f>+2250707145045</f>
        <v>2250707145045</v>
      </c>
      <c r="K3059" s="1" t="s">
        <v>19</v>
      </c>
      <c r="L3059" s="4" t="s">
        <v>10430</v>
      </c>
    </row>
    <row r="3060">
      <c r="A3060" s="1" t="s">
        <v>12</v>
      </c>
      <c r="B3060" s="1" t="s">
        <v>10431</v>
      </c>
      <c r="C3060" s="1" t="s">
        <v>10428</v>
      </c>
      <c r="D3060" s="1" t="s">
        <v>10432</v>
      </c>
      <c r="E3060" s="2">
        <v>37865.0</v>
      </c>
      <c r="F3060" s="1" t="s">
        <v>75</v>
      </c>
      <c r="G3060" s="1" t="s">
        <v>82</v>
      </c>
      <c r="H3060" s="1" t="s">
        <v>18</v>
      </c>
      <c r="I3060" s="3">
        <f>+2250798029121</f>
        <v>2250798029121</v>
      </c>
      <c r="J3060" s="3">
        <f>+2250555201261</f>
        <v>2250555201261</v>
      </c>
      <c r="K3060" s="1" t="s">
        <v>19</v>
      </c>
      <c r="L3060" s="4" t="s">
        <v>10433</v>
      </c>
    </row>
    <row r="3061">
      <c r="A3061" s="1" t="s">
        <v>12</v>
      </c>
      <c r="B3061" s="1" t="s">
        <v>10434</v>
      </c>
      <c r="C3061" s="1" t="s">
        <v>10435</v>
      </c>
      <c r="D3061" s="1" t="s">
        <v>10436</v>
      </c>
      <c r="E3061" s="2">
        <v>37518.0</v>
      </c>
      <c r="F3061" s="1" t="s">
        <v>30</v>
      </c>
      <c r="G3061" s="1" t="s">
        <v>76</v>
      </c>
      <c r="H3061" s="1" t="s">
        <v>32</v>
      </c>
      <c r="I3061" s="3">
        <f t="shared" ref="I3061:J3061" si="98">+2250787685762</f>
        <v>2250787685762</v>
      </c>
      <c r="J3061" s="3">
        <f t="shared" si="98"/>
        <v>2250787685762</v>
      </c>
      <c r="K3061" s="1" t="s">
        <v>19</v>
      </c>
      <c r="L3061" s="4" t="s">
        <v>10437</v>
      </c>
    </row>
    <row r="3062">
      <c r="A3062" s="1" t="s">
        <v>12</v>
      </c>
      <c r="B3062" s="1" t="s">
        <v>10438</v>
      </c>
      <c r="C3062" s="1" t="s">
        <v>10439</v>
      </c>
      <c r="D3062" s="1" t="s">
        <v>10440</v>
      </c>
      <c r="E3062" s="5">
        <v>35790.0</v>
      </c>
      <c r="F3062" s="1" t="s">
        <v>62</v>
      </c>
      <c r="G3062" s="1" t="s">
        <v>17</v>
      </c>
      <c r="H3062" s="1" t="s">
        <v>18</v>
      </c>
      <c r="I3062" s="3">
        <f t="shared" ref="I3062:J3062" si="99">+2250143853633</f>
        <v>2250143853633</v>
      </c>
      <c r="J3062" s="3">
        <f t="shared" si="99"/>
        <v>2250143853633</v>
      </c>
      <c r="K3062" s="1" t="s">
        <v>19</v>
      </c>
      <c r="L3062" s="4" t="s">
        <v>10441</v>
      </c>
    </row>
    <row r="3063">
      <c r="A3063" s="1" t="s">
        <v>12</v>
      </c>
      <c r="B3063" s="1" t="s">
        <v>10442</v>
      </c>
      <c r="C3063" s="1" t="s">
        <v>10443</v>
      </c>
      <c r="D3063" s="1" t="s">
        <v>178</v>
      </c>
      <c r="E3063" s="2">
        <v>36982.0</v>
      </c>
      <c r="F3063" s="1" t="s">
        <v>48</v>
      </c>
      <c r="G3063" s="1" t="s">
        <v>76</v>
      </c>
      <c r="H3063" s="1" t="s">
        <v>32</v>
      </c>
      <c r="I3063" s="3">
        <f>+2250757115793</f>
        <v>2250757115793</v>
      </c>
      <c r="J3063" s="3">
        <f>+2250758663289</f>
        <v>2250758663289</v>
      </c>
      <c r="K3063" s="1" t="s">
        <v>19</v>
      </c>
      <c r="L3063" s="4" t="s">
        <v>10444</v>
      </c>
    </row>
    <row r="3064">
      <c r="A3064" s="1" t="s">
        <v>12</v>
      </c>
      <c r="B3064" s="1" t="s">
        <v>10445</v>
      </c>
      <c r="C3064" s="1" t="s">
        <v>10443</v>
      </c>
      <c r="D3064" s="1" t="s">
        <v>10446</v>
      </c>
      <c r="E3064" s="2">
        <v>38045.0</v>
      </c>
      <c r="F3064" s="1" t="s">
        <v>92</v>
      </c>
      <c r="G3064" s="1" t="s">
        <v>31</v>
      </c>
      <c r="H3064" s="1" t="s">
        <v>32</v>
      </c>
      <c r="I3064" s="3">
        <f>+2250778471892</f>
        <v>2250778471892</v>
      </c>
      <c r="J3064" s="3">
        <f>+2250747471716</f>
        <v>2250747471716</v>
      </c>
      <c r="K3064" s="1" t="s">
        <v>19</v>
      </c>
      <c r="L3064" s="4" t="s">
        <v>10447</v>
      </c>
    </row>
    <row r="3065">
      <c r="A3065" s="1" t="s">
        <v>12</v>
      </c>
      <c r="B3065" s="1" t="s">
        <v>10448</v>
      </c>
      <c r="C3065" s="1" t="s">
        <v>10443</v>
      </c>
      <c r="D3065" s="1" t="s">
        <v>3210</v>
      </c>
      <c r="E3065" s="2">
        <v>37999.0</v>
      </c>
      <c r="F3065" s="1" t="s">
        <v>48</v>
      </c>
      <c r="G3065" s="1" t="s">
        <v>76</v>
      </c>
      <c r="H3065" s="1" t="s">
        <v>32</v>
      </c>
      <c r="I3065" s="3">
        <f>+2250555099551</f>
        <v>2250555099551</v>
      </c>
      <c r="J3065" s="3">
        <f>+2250707062730</f>
        <v>2250707062730</v>
      </c>
      <c r="K3065" s="1" t="s">
        <v>19</v>
      </c>
      <c r="L3065" s="4" t="s">
        <v>10449</v>
      </c>
    </row>
    <row r="3066">
      <c r="A3066" s="1" t="s">
        <v>12</v>
      </c>
      <c r="B3066" s="1" t="s">
        <v>10450</v>
      </c>
      <c r="C3066" s="1" t="s">
        <v>10451</v>
      </c>
      <c r="D3066" s="1" t="s">
        <v>10452</v>
      </c>
      <c r="E3066" s="2">
        <v>38448.0</v>
      </c>
      <c r="F3066" s="1" t="s">
        <v>48</v>
      </c>
      <c r="G3066" s="1" t="s">
        <v>76</v>
      </c>
      <c r="H3066" s="1" t="s">
        <v>32</v>
      </c>
      <c r="I3066" s="3">
        <f>+2250150590686</f>
        <v>2250150590686</v>
      </c>
      <c r="J3066" s="3">
        <f>+2250141645136</f>
        <v>2250141645136</v>
      </c>
      <c r="K3066" s="1" t="s">
        <v>19</v>
      </c>
      <c r="L3066" s="4" t="s">
        <v>10453</v>
      </c>
    </row>
    <row r="3067">
      <c r="A3067" s="1" t="s">
        <v>12</v>
      </c>
      <c r="B3067" s="1" t="s">
        <v>10454</v>
      </c>
      <c r="C3067" s="1" t="s">
        <v>10455</v>
      </c>
      <c r="D3067" s="1" t="s">
        <v>10456</v>
      </c>
      <c r="E3067" s="2">
        <v>38005.0</v>
      </c>
      <c r="F3067" s="1" t="s">
        <v>101</v>
      </c>
      <c r="G3067" s="1" t="s">
        <v>76</v>
      </c>
      <c r="H3067" s="1" t="s">
        <v>32</v>
      </c>
      <c r="I3067" s="3">
        <f>+2250141494571</f>
        <v>2250141494571</v>
      </c>
      <c r="J3067" s="3">
        <f>+2250152017909</f>
        <v>2250152017909</v>
      </c>
      <c r="K3067" s="1" t="s">
        <v>19</v>
      </c>
      <c r="L3067" s="4" t="s">
        <v>10457</v>
      </c>
    </row>
    <row r="3068">
      <c r="A3068" s="1" t="s">
        <v>12</v>
      </c>
      <c r="B3068" s="1" t="s">
        <v>10458</v>
      </c>
      <c r="C3068" s="1" t="s">
        <v>10459</v>
      </c>
      <c r="D3068" s="1" t="s">
        <v>10460</v>
      </c>
      <c r="E3068" s="2">
        <v>38426.0</v>
      </c>
      <c r="F3068" s="1" t="s">
        <v>53</v>
      </c>
      <c r="G3068" s="1" t="s">
        <v>25</v>
      </c>
      <c r="H3068" s="1" t="s">
        <v>18</v>
      </c>
      <c r="I3068" s="3">
        <f>+2250103332496</f>
        <v>2250103332496</v>
      </c>
      <c r="J3068" s="3">
        <f>+2250101275079</f>
        <v>2250101275079</v>
      </c>
      <c r="K3068" s="1" t="s">
        <v>19</v>
      </c>
      <c r="L3068" s="4" t="s">
        <v>10461</v>
      </c>
    </row>
    <row r="3069">
      <c r="A3069" s="1" t="s">
        <v>12</v>
      </c>
      <c r="B3069" s="1" t="s">
        <v>10462</v>
      </c>
      <c r="C3069" s="1" t="s">
        <v>10459</v>
      </c>
      <c r="D3069" s="1" t="s">
        <v>10463</v>
      </c>
      <c r="E3069" s="2">
        <v>38878.0</v>
      </c>
      <c r="F3069" s="1" t="s">
        <v>138</v>
      </c>
      <c r="G3069" s="1" t="s">
        <v>76</v>
      </c>
      <c r="H3069" s="1" t="s">
        <v>32</v>
      </c>
      <c r="I3069" s="3">
        <f>+2250797213410</f>
        <v>2250797213410</v>
      </c>
      <c r="J3069" s="3">
        <f>+2250102022011</f>
        <v>2250102022011</v>
      </c>
      <c r="K3069" s="1" t="s">
        <v>19</v>
      </c>
      <c r="L3069" s="4" t="s">
        <v>10464</v>
      </c>
    </row>
    <row r="3070">
      <c r="A3070" s="1" t="s">
        <v>12</v>
      </c>
      <c r="B3070" s="1" t="s">
        <v>10465</v>
      </c>
      <c r="C3070" s="1" t="s">
        <v>10466</v>
      </c>
      <c r="D3070" s="1" t="s">
        <v>10467</v>
      </c>
      <c r="E3070" s="5">
        <v>36511.0</v>
      </c>
      <c r="F3070" s="1" t="s">
        <v>288</v>
      </c>
      <c r="G3070" s="1" t="s">
        <v>76</v>
      </c>
      <c r="H3070" s="1" t="s">
        <v>32</v>
      </c>
      <c r="I3070" s="3">
        <f>+2250787585391</f>
        <v>2250787585391</v>
      </c>
      <c r="J3070" s="3">
        <f>+2250747493100</f>
        <v>2250747493100</v>
      </c>
      <c r="K3070" s="1" t="s">
        <v>19</v>
      </c>
      <c r="L3070" s="4" t="s">
        <v>10468</v>
      </c>
    </row>
    <row r="3071">
      <c r="A3071" s="1" t="s">
        <v>12</v>
      </c>
      <c r="B3071" s="1" t="s">
        <v>10469</v>
      </c>
      <c r="C3071" s="1" t="s">
        <v>10470</v>
      </c>
      <c r="D3071" s="1" t="s">
        <v>10471</v>
      </c>
      <c r="E3071" s="2">
        <v>37760.0</v>
      </c>
      <c r="F3071" s="1" t="s">
        <v>16</v>
      </c>
      <c r="G3071" s="1" t="s">
        <v>82</v>
      </c>
      <c r="H3071" s="1" t="s">
        <v>18</v>
      </c>
      <c r="I3071" s="3">
        <f>+2250767896558</f>
        <v>2250767896558</v>
      </c>
      <c r="J3071" s="3">
        <f>+2250708734479</f>
        <v>2250708734479</v>
      </c>
      <c r="K3071" s="1" t="s">
        <v>19</v>
      </c>
      <c r="L3071" s="4" t="s">
        <v>10472</v>
      </c>
    </row>
    <row r="3072">
      <c r="A3072" s="1" t="s">
        <v>12</v>
      </c>
      <c r="B3072" s="1" t="s">
        <v>10473</v>
      </c>
      <c r="C3072" s="1" t="s">
        <v>10470</v>
      </c>
      <c r="D3072" s="1" t="s">
        <v>2686</v>
      </c>
      <c r="E3072" s="2">
        <v>38017.0</v>
      </c>
      <c r="F3072" s="1" t="s">
        <v>30</v>
      </c>
      <c r="G3072" s="1" t="s">
        <v>76</v>
      </c>
      <c r="H3072" s="1" t="s">
        <v>32</v>
      </c>
      <c r="I3072" s="3">
        <f>+2250704365435</f>
        <v>2250704365435</v>
      </c>
      <c r="J3072" s="3">
        <f>+2250505794869</f>
        <v>2250505794869</v>
      </c>
      <c r="K3072" s="1" t="s">
        <v>19</v>
      </c>
      <c r="L3072" s="4" t="s">
        <v>10474</v>
      </c>
    </row>
    <row r="3073">
      <c r="A3073" s="1" t="s">
        <v>12</v>
      </c>
      <c r="B3073" s="1" t="s">
        <v>10475</v>
      </c>
      <c r="C3073" s="1" t="s">
        <v>10470</v>
      </c>
      <c r="D3073" s="1" t="s">
        <v>10476</v>
      </c>
      <c r="E3073" s="2">
        <v>38597.0</v>
      </c>
      <c r="F3073" s="1" t="s">
        <v>62</v>
      </c>
      <c r="G3073" s="1" t="s">
        <v>17</v>
      </c>
      <c r="H3073" s="1" t="s">
        <v>18</v>
      </c>
      <c r="I3073" s="3">
        <f>+2250574964661</f>
        <v>2250574964661</v>
      </c>
      <c r="J3073" s="3">
        <f>+2250505345212</f>
        <v>2250505345212</v>
      </c>
      <c r="K3073" s="1" t="s">
        <v>19</v>
      </c>
      <c r="L3073" s="4" t="s">
        <v>10477</v>
      </c>
    </row>
    <row r="3074">
      <c r="A3074" s="1" t="s">
        <v>12</v>
      </c>
      <c r="B3074" s="1" t="s">
        <v>10478</v>
      </c>
      <c r="C3074" s="1" t="s">
        <v>10470</v>
      </c>
      <c r="D3074" s="1" t="s">
        <v>10479</v>
      </c>
      <c r="E3074" s="2">
        <v>37930.0</v>
      </c>
      <c r="F3074" s="1" t="s">
        <v>288</v>
      </c>
      <c r="G3074" s="1" t="s">
        <v>76</v>
      </c>
      <c r="H3074" s="1" t="s">
        <v>32</v>
      </c>
      <c r="I3074" s="3">
        <f>+2250747084159</f>
        <v>2250747084159</v>
      </c>
      <c r="J3074" s="3">
        <f>+2250777498963</f>
        <v>2250777498963</v>
      </c>
      <c r="K3074" s="1" t="s">
        <v>19</v>
      </c>
      <c r="L3074" s="4" t="s">
        <v>10480</v>
      </c>
    </row>
    <row r="3075">
      <c r="A3075" s="1" t="s">
        <v>12</v>
      </c>
      <c r="B3075" s="1" t="s">
        <v>10481</v>
      </c>
      <c r="C3075" s="1" t="s">
        <v>10482</v>
      </c>
      <c r="D3075" s="1" t="s">
        <v>1053</v>
      </c>
      <c r="E3075" s="2">
        <v>38458.0</v>
      </c>
      <c r="F3075" s="1" t="s">
        <v>62</v>
      </c>
      <c r="G3075" s="1" t="s">
        <v>17</v>
      </c>
      <c r="H3075" s="1" t="s">
        <v>18</v>
      </c>
      <c r="I3075" s="3">
        <f>+2250150899671</f>
        <v>2250150899671</v>
      </c>
      <c r="J3075" s="3">
        <f>+2250707082976</f>
        <v>2250707082976</v>
      </c>
      <c r="K3075" s="1" t="s">
        <v>19</v>
      </c>
      <c r="L3075" s="4" t="s">
        <v>10483</v>
      </c>
    </row>
    <row r="3076">
      <c r="A3076" s="1" t="s">
        <v>12</v>
      </c>
      <c r="B3076" s="1" t="s">
        <v>10484</v>
      </c>
      <c r="C3076" s="1" t="s">
        <v>2435</v>
      </c>
      <c r="D3076" s="1" t="s">
        <v>10485</v>
      </c>
      <c r="E3076" s="2">
        <v>38580.0</v>
      </c>
      <c r="F3076" s="1" t="s">
        <v>53</v>
      </c>
      <c r="G3076" s="1" t="s">
        <v>25</v>
      </c>
      <c r="H3076" s="1" t="s">
        <v>18</v>
      </c>
      <c r="I3076" s="3">
        <f>+2250170451488</f>
        <v>2250170451488</v>
      </c>
      <c r="J3076" s="3">
        <f>+2250505109845</f>
        <v>2250505109845</v>
      </c>
      <c r="K3076" s="1" t="s">
        <v>19</v>
      </c>
      <c r="L3076" s="4" t="s">
        <v>10486</v>
      </c>
    </row>
    <row r="3077">
      <c r="A3077" s="1" t="s">
        <v>12</v>
      </c>
      <c r="B3077" s="1" t="s">
        <v>10487</v>
      </c>
      <c r="C3077" s="1" t="s">
        <v>10488</v>
      </c>
      <c r="D3077" s="1" t="s">
        <v>10489</v>
      </c>
      <c r="E3077" s="5">
        <v>36445.0</v>
      </c>
      <c r="F3077" s="1" t="s">
        <v>155</v>
      </c>
      <c r="G3077" s="1" t="s">
        <v>31</v>
      </c>
      <c r="H3077" s="1" t="s">
        <v>32</v>
      </c>
      <c r="I3077" s="3">
        <f>+2250586771332</f>
        <v>2250586771332</v>
      </c>
      <c r="J3077" s="3">
        <f>+2250748205194</f>
        <v>2250748205194</v>
      </c>
      <c r="K3077" s="1" t="s">
        <v>19</v>
      </c>
      <c r="L3077" s="4" t="s">
        <v>10490</v>
      </c>
    </row>
    <row r="3078">
      <c r="A3078" s="1" t="s">
        <v>12</v>
      </c>
      <c r="B3078" s="1" t="s">
        <v>10491</v>
      </c>
      <c r="C3078" s="1" t="s">
        <v>10492</v>
      </c>
      <c r="D3078" s="1" t="s">
        <v>10493</v>
      </c>
      <c r="E3078" s="2">
        <v>37691.0</v>
      </c>
      <c r="F3078" s="1" t="s">
        <v>101</v>
      </c>
      <c r="G3078" s="1" t="s">
        <v>76</v>
      </c>
      <c r="H3078" s="1" t="s">
        <v>32</v>
      </c>
      <c r="I3078" s="3">
        <f t="shared" ref="I3078:J3078" si="100">+2250789984814</f>
        <v>2250789984814</v>
      </c>
      <c r="J3078" s="3">
        <f t="shared" si="100"/>
        <v>2250789984814</v>
      </c>
      <c r="K3078" s="1" t="s">
        <v>19</v>
      </c>
      <c r="L3078" s="4" t="s">
        <v>10494</v>
      </c>
    </row>
    <row r="3079">
      <c r="A3079" s="1" t="s">
        <v>12</v>
      </c>
      <c r="B3079" s="1" t="s">
        <v>10495</v>
      </c>
      <c r="C3079" s="1" t="s">
        <v>10492</v>
      </c>
      <c r="D3079" s="1" t="s">
        <v>10496</v>
      </c>
      <c r="E3079" s="2">
        <v>38594.0</v>
      </c>
      <c r="F3079" s="1" t="s">
        <v>101</v>
      </c>
      <c r="G3079" s="1" t="s">
        <v>76</v>
      </c>
      <c r="H3079" s="1" t="s">
        <v>32</v>
      </c>
      <c r="I3079" s="3">
        <f>+2250505330583</f>
        <v>2250505330583</v>
      </c>
      <c r="J3079" s="3">
        <f>+2250789475211</f>
        <v>2250789475211</v>
      </c>
      <c r="K3079" s="1" t="s">
        <v>19</v>
      </c>
      <c r="L3079" s="4" t="s">
        <v>10497</v>
      </c>
    </row>
    <row r="3080">
      <c r="A3080" s="1" t="s">
        <v>12</v>
      </c>
      <c r="B3080" s="1" t="s">
        <v>10498</v>
      </c>
      <c r="C3080" s="1" t="s">
        <v>10499</v>
      </c>
      <c r="D3080" s="1" t="s">
        <v>10500</v>
      </c>
      <c r="E3080" s="2">
        <v>36974.0</v>
      </c>
      <c r="F3080" s="1" t="s">
        <v>92</v>
      </c>
      <c r="G3080" s="1" t="s">
        <v>31</v>
      </c>
      <c r="H3080" s="1" t="s">
        <v>32</v>
      </c>
      <c r="I3080" s="3">
        <f>+2250789221658</f>
        <v>2250789221658</v>
      </c>
      <c r="J3080" s="3">
        <f>+2250505566670</f>
        <v>2250505566670</v>
      </c>
      <c r="K3080" s="1" t="s">
        <v>19</v>
      </c>
      <c r="L3080" s="4" t="s">
        <v>10501</v>
      </c>
    </row>
    <row r="3081">
      <c r="A3081" s="1" t="s">
        <v>12</v>
      </c>
      <c r="B3081" s="1" t="s">
        <v>10502</v>
      </c>
      <c r="C3081" s="1" t="s">
        <v>10499</v>
      </c>
      <c r="D3081" s="1" t="s">
        <v>10503</v>
      </c>
      <c r="E3081" s="5">
        <v>37973.0</v>
      </c>
      <c r="F3081" s="1" t="s">
        <v>101</v>
      </c>
      <c r="G3081" s="1" t="s">
        <v>76</v>
      </c>
      <c r="H3081" s="1" t="s">
        <v>32</v>
      </c>
      <c r="I3081" s="3">
        <f>+2250757677630</f>
        <v>2250757677630</v>
      </c>
      <c r="J3081" s="3">
        <f>+2250142682448</f>
        <v>2250142682448</v>
      </c>
      <c r="K3081" s="1" t="s">
        <v>19</v>
      </c>
      <c r="L3081" s="4" t="s">
        <v>10504</v>
      </c>
    </row>
    <row r="3082">
      <c r="A3082" s="1" t="s">
        <v>12</v>
      </c>
      <c r="B3082" s="1" t="s">
        <v>10505</v>
      </c>
      <c r="C3082" s="1" t="s">
        <v>10499</v>
      </c>
      <c r="D3082" s="1" t="s">
        <v>2709</v>
      </c>
      <c r="E3082" s="5">
        <v>37175.0</v>
      </c>
      <c r="F3082" s="1" t="s">
        <v>48</v>
      </c>
      <c r="G3082" s="1" t="s">
        <v>31</v>
      </c>
      <c r="H3082" s="1" t="s">
        <v>32</v>
      </c>
      <c r="I3082" s="3">
        <f>+2250707044943</f>
        <v>2250707044943</v>
      </c>
      <c r="J3082" s="3">
        <f>+2250707412104</f>
        <v>2250707412104</v>
      </c>
      <c r="K3082" s="1" t="s">
        <v>19</v>
      </c>
      <c r="L3082" s="4" t="s">
        <v>10506</v>
      </c>
    </row>
    <row r="3083">
      <c r="A3083" s="1" t="s">
        <v>12</v>
      </c>
      <c r="B3083" s="1" t="s">
        <v>10507</v>
      </c>
      <c r="C3083" s="1" t="s">
        <v>10499</v>
      </c>
      <c r="D3083" s="1" t="s">
        <v>10508</v>
      </c>
      <c r="E3083" s="2">
        <v>37043.0</v>
      </c>
      <c r="F3083" s="1" t="s">
        <v>110</v>
      </c>
      <c r="G3083" s="1" t="s">
        <v>82</v>
      </c>
      <c r="H3083" s="1" t="s">
        <v>18</v>
      </c>
      <c r="I3083" s="3">
        <f>+2250584172565</f>
        <v>2250584172565</v>
      </c>
      <c r="J3083" s="3">
        <f>+2250142258248</f>
        <v>2250142258248</v>
      </c>
      <c r="K3083" s="1" t="s">
        <v>19</v>
      </c>
      <c r="L3083" s="4" t="s">
        <v>10509</v>
      </c>
    </row>
    <row r="3084">
      <c r="A3084" s="1" t="s">
        <v>12</v>
      </c>
      <c r="B3084" s="1" t="s">
        <v>10510</v>
      </c>
      <c r="C3084" s="1" t="s">
        <v>10499</v>
      </c>
      <c r="D3084" s="1" t="s">
        <v>5358</v>
      </c>
      <c r="E3084" s="2">
        <v>38994.0</v>
      </c>
      <c r="F3084" s="1" t="s">
        <v>87</v>
      </c>
      <c r="G3084" s="1" t="s">
        <v>76</v>
      </c>
      <c r="H3084" s="1" t="s">
        <v>32</v>
      </c>
      <c r="I3084" s="3">
        <f>+2250702779352</f>
        <v>2250702779352</v>
      </c>
      <c r="J3084" s="3">
        <f>+2250500556913</f>
        <v>2250500556913</v>
      </c>
      <c r="K3084" s="1" t="s">
        <v>19</v>
      </c>
      <c r="L3084" s="4" t="s">
        <v>10511</v>
      </c>
    </row>
    <row r="3085">
      <c r="A3085" s="1" t="s">
        <v>12</v>
      </c>
      <c r="B3085" s="1" t="s">
        <v>10512</v>
      </c>
      <c r="C3085" s="1" t="s">
        <v>10499</v>
      </c>
      <c r="D3085" s="1" t="s">
        <v>10513</v>
      </c>
      <c r="E3085" s="2">
        <v>36908.0</v>
      </c>
      <c r="F3085" s="1" t="s">
        <v>62</v>
      </c>
      <c r="G3085" s="1" t="s">
        <v>17</v>
      </c>
      <c r="H3085" s="1" t="s">
        <v>18</v>
      </c>
      <c r="I3085" s="3">
        <f>+2250700083726</f>
        <v>2250700083726</v>
      </c>
      <c r="J3085" s="3">
        <f>+2250788072421</f>
        <v>2250788072421</v>
      </c>
      <c r="K3085" s="1" t="s">
        <v>19</v>
      </c>
      <c r="L3085" s="4" t="s">
        <v>10514</v>
      </c>
    </row>
    <row r="3086">
      <c r="A3086" s="1" t="s">
        <v>12</v>
      </c>
      <c r="B3086" s="1" t="s">
        <v>10515</v>
      </c>
      <c r="C3086" s="1" t="s">
        <v>10499</v>
      </c>
      <c r="D3086" s="1" t="s">
        <v>1053</v>
      </c>
      <c r="E3086" s="2">
        <v>38057.0</v>
      </c>
      <c r="F3086" s="1" t="s">
        <v>48</v>
      </c>
      <c r="G3086" s="1" t="s">
        <v>31</v>
      </c>
      <c r="H3086" s="1" t="s">
        <v>32</v>
      </c>
      <c r="I3086" s="3">
        <f>+2250142945678</f>
        <v>2250142945678</v>
      </c>
      <c r="J3086" s="3">
        <f>+2250747316673</f>
        <v>2250747316673</v>
      </c>
      <c r="K3086" s="1" t="s">
        <v>19</v>
      </c>
      <c r="L3086" s="4" t="s">
        <v>10516</v>
      </c>
    </row>
    <row r="3087">
      <c r="A3087" s="1" t="s">
        <v>12</v>
      </c>
      <c r="B3087" s="1" t="s">
        <v>10517</v>
      </c>
      <c r="C3087" s="1" t="s">
        <v>10499</v>
      </c>
      <c r="D3087" s="1" t="s">
        <v>10518</v>
      </c>
      <c r="E3087" s="2">
        <v>38060.0</v>
      </c>
      <c r="F3087" s="1" t="s">
        <v>138</v>
      </c>
      <c r="G3087" s="1" t="s">
        <v>76</v>
      </c>
      <c r="H3087" s="1" t="s">
        <v>32</v>
      </c>
      <c r="I3087" s="3">
        <f>+2250787302801</f>
        <v>2250787302801</v>
      </c>
      <c r="J3087" s="3">
        <f>+2250707598076</f>
        <v>2250707598076</v>
      </c>
      <c r="K3087" s="1" t="s">
        <v>19</v>
      </c>
      <c r="L3087" s="4" t="s">
        <v>10519</v>
      </c>
    </row>
    <row r="3088">
      <c r="A3088" s="1" t="s">
        <v>12</v>
      </c>
      <c r="B3088" s="1" t="s">
        <v>10520</v>
      </c>
      <c r="C3088" s="1" t="s">
        <v>10499</v>
      </c>
      <c r="D3088" s="1" t="s">
        <v>6049</v>
      </c>
      <c r="E3088" s="5">
        <v>37907.0</v>
      </c>
      <c r="F3088" s="1" t="s">
        <v>30</v>
      </c>
      <c r="G3088" s="1" t="s">
        <v>76</v>
      </c>
      <c r="H3088" s="1" t="s">
        <v>32</v>
      </c>
      <c r="I3088" s="3">
        <f>+2250507664358</f>
        <v>2250507664358</v>
      </c>
      <c r="J3088" s="3">
        <f>+2250707313087</f>
        <v>2250707313087</v>
      </c>
      <c r="K3088" s="1" t="s">
        <v>19</v>
      </c>
      <c r="L3088" s="4" t="s">
        <v>10521</v>
      </c>
    </row>
    <row r="3089">
      <c r="A3089" s="1" t="s">
        <v>12</v>
      </c>
      <c r="B3089" s="1" t="s">
        <v>10522</v>
      </c>
      <c r="C3089" s="1" t="s">
        <v>10499</v>
      </c>
      <c r="D3089" s="1" t="s">
        <v>1756</v>
      </c>
      <c r="E3089" s="2">
        <v>38366.0</v>
      </c>
      <c r="F3089" s="1" t="s">
        <v>53</v>
      </c>
      <c r="G3089" s="1" t="s">
        <v>17</v>
      </c>
      <c r="H3089" s="1" t="s">
        <v>18</v>
      </c>
      <c r="I3089" s="3">
        <f>+2250103285770</f>
        <v>2250103285770</v>
      </c>
      <c r="J3089" s="3">
        <f>+2250779146957</f>
        <v>2250779146957</v>
      </c>
      <c r="K3089" s="1" t="s">
        <v>19</v>
      </c>
      <c r="L3089" s="4" t="s">
        <v>10523</v>
      </c>
    </row>
    <row r="3090">
      <c r="A3090" s="1" t="s">
        <v>12</v>
      </c>
      <c r="B3090" s="1" t="s">
        <v>10524</v>
      </c>
      <c r="C3090" s="1" t="s">
        <v>10499</v>
      </c>
      <c r="D3090" s="1" t="s">
        <v>1853</v>
      </c>
      <c r="E3090" s="2">
        <v>37495.0</v>
      </c>
      <c r="F3090" s="1" t="s">
        <v>62</v>
      </c>
      <c r="G3090" s="1" t="s">
        <v>17</v>
      </c>
      <c r="H3090" s="1" t="s">
        <v>18</v>
      </c>
      <c r="I3090" s="3">
        <f>+2250555828811</f>
        <v>2250555828811</v>
      </c>
      <c r="J3090" s="3">
        <f>+2250707326272</f>
        <v>2250707326272</v>
      </c>
      <c r="K3090" s="1" t="s">
        <v>19</v>
      </c>
      <c r="L3090" s="4" t="s">
        <v>10525</v>
      </c>
    </row>
    <row r="3091">
      <c r="A3091" s="1" t="s">
        <v>12</v>
      </c>
      <c r="B3091" s="1" t="s">
        <v>10526</v>
      </c>
      <c r="C3091" s="1" t="s">
        <v>10499</v>
      </c>
      <c r="D3091" s="1" t="s">
        <v>1774</v>
      </c>
      <c r="E3091" s="2">
        <v>37686.0</v>
      </c>
      <c r="F3091" s="1" t="s">
        <v>155</v>
      </c>
      <c r="G3091" s="1" t="s">
        <v>31</v>
      </c>
      <c r="H3091" s="1" t="s">
        <v>32</v>
      </c>
      <c r="I3091" s="3">
        <f>+2250544298975</f>
        <v>2250544298975</v>
      </c>
      <c r="J3091" s="3">
        <f>+2250505711373</f>
        <v>2250505711373</v>
      </c>
      <c r="K3091" s="1" t="s">
        <v>19</v>
      </c>
      <c r="L3091" s="4" t="s">
        <v>10527</v>
      </c>
    </row>
    <row r="3092">
      <c r="A3092" s="1" t="s">
        <v>12</v>
      </c>
      <c r="B3092" s="1" t="s">
        <v>10528</v>
      </c>
      <c r="C3092" s="1" t="s">
        <v>10499</v>
      </c>
      <c r="D3092" s="1" t="s">
        <v>1976</v>
      </c>
      <c r="E3092" s="2">
        <v>37961.0</v>
      </c>
      <c r="F3092" s="1" t="s">
        <v>48</v>
      </c>
      <c r="G3092" s="1" t="s">
        <v>31</v>
      </c>
      <c r="H3092" s="1" t="s">
        <v>32</v>
      </c>
      <c r="I3092" s="3">
        <f>+2250102572214</f>
        <v>2250102572214</v>
      </c>
      <c r="J3092" s="3">
        <f>+2250709525437</f>
        <v>2250709525437</v>
      </c>
      <c r="K3092" s="1" t="s">
        <v>19</v>
      </c>
      <c r="L3092" s="4" t="s">
        <v>10529</v>
      </c>
    </row>
    <row r="3093">
      <c r="A3093" s="1" t="s">
        <v>12</v>
      </c>
      <c r="B3093" s="1" t="s">
        <v>10530</v>
      </c>
      <c r="C3093" s="1" t="s">
        <v>10499</v>
      </c>
      <c r="D3093" s="1" t="s">
        <v>3210</v>
      </c>
      <c r="E3093" s="2">
        <v>38269.0</v>
      </c>
      <c r="F3093" s="1" t="s">
        <v>53</v>
      </c>
      <c r="G3093" s="1" t="s">
        <v>17</v>
      </c>
      <c r="H3093" s="1" t="s">
        <v>18</v>
      </c>
      <c r="I3093" s="3">
        <f>+2250595185510</f>
        <v>2250595185510</v>
      </c>
      <c r="J3093" s="3">
        <f>+2250140679522</f>
        <v>2250140679522</v>
      </c>
      <c r="K3093" s="1" t="s">
        <v>19</v>
      </c>
      <c r="L3093" s="4" t="s">
        <v>10531</v>
      </c>
    </row>
    <row r="3094">
      <c r="A3094" s="1" t="s">
        <v>12</v>
      </c>
      <c r="B3094" s="1" t="s">
        <v>10532</v>
      </c>
      <c r="C3094" s="1" t="s">
        <v>10499</v>
      </c>
      <c r="D3094" s="1" t="s">
        <v>10533</v>
      </c>
      <c r="E3094" s="2">
        <v>37801.0</v>
      </c>
      <c r="F3094" s="1" t="s">
        <v>62</v>
      </c>
      <c r="G3094" s="1" t="s">
        <v>17</v>
      </c>
      <c r="H3094" s="1" t="s">
        <v>18</v>
      </c>
      <c r="I3094" s="3">
        <f>+2250704492634</f>
        <v>2250704492634</v>
      </c>
      <c r="J3094" s="3">
        <f>+2250707130809</f>
        <v>2250707130809</v>
      </c>
      <c r="K3094" s="1" t="s">
        <v>19</v>
      </c>
      <c r="L3094" s="4" t="s">
        <v>10534</v>
      </c>
    </row>
    <row r="3095">
      <c r="A3095" s="1" t="s">
        <v>12</v>
      </c>
      <c r="B3095" s="1" t="s">
        <v>10535</v>
      </c>
      <c r="C3095" s="1" t="s">
        <v>10536</v>
      </c>
      <c r="D3095" s="1" t="s">
        <v>10537</v>
      </c>
      <c r="E3095" s="2">
        <v>36558.0</v>
      </c>
      <c r="F3095" s="1" t="s">
        <v>16</v>
      </c>
      <c r="G3095" s="1" t="s">
        <v>17</v>
      </c>
      <c r="H3095" s="1" t="s">
        <v>18</v>
      </c>
      <c r="I3095" s="3">
        <f>+2250143594183</f>
        <v>2250143594183</v>
      </c>
      <c r="J3095" s="3">
        <f>+2250707882102</f>
        <v>2250707882102</v>
      </c>
      <c r="K3095" s="1" t="s">
        <v>19</v>
      </c>
      <c r="L3095" s="4" t="s">
        <v>10538</v>
      </c>
    </row>
    <row r="3096">
      <c r="A3096" s="1" t="s">
        <v>12</v>
      </c>
      <c r="B3096" s="1" t="s">
        <v>10539</v>
      </c>
      <c r="C3096" s="1" t="s">
        <v>10540</v>
      </c>
      <c r="D3096" s="1" t="s">
        <v>2642</v>
      </c>
      <c r="E3096" s="2">
        <v>35075.0</v>
      </c>
      <c r="F3096" s="1" t="s">
        <v>92</v>
      </c>
      <c r="G3096" s="1" t="s">
        <v>31</v>
      </c>
      <c r="H3096" s="1" t="s">
        <v>32</v>
      </c>
      <c r="I3096" s="3">
        <f>+2250768844997</f>
        <v>2250768844997</v>
      </c>
      <c r="J3096" s="3">
        <f>+2250545347391</f>
        <v>2250545347391</v>
      </c>
      <c r="K3096" s="1" t="s">
        <v>19</v>
      </c>
      <c r="L3096" s="4" t="s">
        <v>10541</v>
      </c>
    </row>
    <row r="3097">
      <c r="A3097" s="1" t="s">
        <v>12</v>
      </c>
      <c r="B3097" s="1" t="s">
        <v>10542</v>
      </c>
      <c r="C3097" s="1" t="s">
        <v>10540</v>
      </c>
      <c r="D3097" s="1" t="s">
        <v>10543</v>
      </c>
      <c r="E3097" s="2">
        <v>37993.0</v>
      </c>
      <c r="F3097" s="1" t="s">
        <v>62</v>
      </c>
      <c r="G3097" s="1" t="s">
        <v>17</v>
      </c>
      <c r="H3097" s="1" t="s">
        <v>18</v>
      </c>
      <c r="I3097" s="3">
        <f>+2250789430796</f>
        <v>2250789430796</v>
      </c>
      <c r="J3097" s="3">
        <f>+2250506014267</f>
        <v>2250506014267</v>
      </c>
      <c r="K3097" s="1" t="s">
        <v>19</v>
      </c>
      <c r="L3097" s="4" t="s">
        <v>10544</v>
      </c>
    </row>
    <row r="3098">
      <c r="A3098" s="1" t="s">
        <v>12</v>
      </c>
      <c r="B3098" s="1" t="s">
        <v>10545</v>
      </c>
      <c r="C3098" s="1" t="s">
        <v>10540</v>
      </c>
      <c r="D3098" s="1" t="s">
        <v>10546</v>
      </c>
      <c r="E3098" s="2">
        <v>37880.0</v>
      </c>
      <c r="F3098" s="1" t="s">
        <v>62</v>
      </c>
      <c r="G3098" s="1" t="s">
        <v>17</v>
      </c>
      <c r="H3098" s="1" t="s">
        <v>18</v>
      </c>
      <c r="I3098" s="3">
        <f>+2250797970155</f>
        <v>2250797970155</v>
      </c>
      <c r="J3098" s="3">
        <f>+2250707818439</f>
        <v>2250707818439</v>
      </c>
      <c r="K3098" s="1" t="s">
        <v>19</v>
      </c>
      <c r="L3098" s="4" t="s">
        <v>10547</v>
      </c>
    </row>
    <row r="3099">
      <c r="A3099" s="1" t="s">
        <v>12</v>
      </c>
      <c r="B3099" s="1" t="s">
        <v>10548</v>
      </c>
      <c r="C3099" s="1" t="s">
        <v>10549</v>
      </c>
      <c r="D3099" s="1" t="s">
        <v>10550</v>
      </c>
      <c r="E3099" s="2">
        <v>38398.0</v>
      </c>
      <c r="F3099" s="1" t="s">
        <v>70</v>
      </c>
      <c r="G3099" s="1" t="s">
        <v>76</v>
      </c>
      <c r="H3099" s="1" t="s">
        <v>32</v>
      </c>
      <c r="I3099" s="3">
        <f>+2250710347850</f>
        <v>2250710347850</v>
      </c>
      <c r="J3099" s="3">
        <f>+2250707817569</f>
        <v>2250707817569</v>
      </c>
      <c r="K3099" s="1" t="s">
        <v>19</v>
      </c>
      <c r="L3099" s="4" t="s">
        <v>10551</v>
      </c>
    </row>
    <row r="3100">
      <c r="A3100" s="1" t="s">
        <v>12</v>
      </c>
      <c r="B3100" s="1" t="s">
        <v>10552</v>
      </c>
      <c r="C3100" s="1" t="s">
        <v>10549</v>
      </c>
      <c r="D3100" s="1" t="s">
        <v>10553</v>
      </c>
      <c r="E3100" s="2">
        <v>38519.0</v>
      </c>
      <c r="F3100" s="1" t="s">
        <v>147</v>
      </c>
      <c r="G3100" s="1" t="s">
        <v>25</v>
      </c>
      <c r="H3100" s="1" t="s">
        <v>18</v>
      </c>
      <c r="I3100" s="3">
        <f>+2250564685921</f>
        <v>2250564685921</v>
      </c>
      <c r="J3100" s="3">
        <f>+2250707078029</f>
        <v>2250707078029</v>
      </c>
      <c r="K3100" s="1" t="s">
        <v>19</v>
      </c>
      <c r="L3100" s="4" t="s">
        <v>10554</v>
      </c>
    </row>
    <row r="3101">
      <c r="A3101" s="1" t="s">
        <v>12</v>
      </c>
      <c r="B3101" s="1" t="s">
        <v>10555</v>
      </c>
      <c r="C3101" s="1" t="s">
        <v>10549</v>
      </c>
      <c r="D3101" s="1" t="s">
        <v>10556</v>
      </c>
      <c r="E3101" s="2">
        <v>37755.0</v>
      </c>
      <c r="F3101" s="1" t="s">
        <v>342</v>
      </c>
      <c r="G3101" s="1" t="s">
        <v>82</v>
      </c>
      <c r="H3101" s="1" t="s">
        <v>18</v>
      </c>
      <c r="I3101" s="3">
        <f>+2250789715868</f>
        <v>2250789715868</v>
      </c>
      <c r="J3101" s="3">
        <f>+2250504913300</f>
        <v>2250504913300</v>
      </c>
      <c r="K3101" s="1" t="s">
        <v>19</v>
      </c>
      <c r="L3101" s="4" t="s">
        <v>10557</v>
      </c>
    </row>
    <row r="3102">
      <c r="A3102" s="1" t="s">
        <v>12</v>
      </c>
      <c r="B3102" s="1" t="s">
        <v>10558</v>
      </c>
      <c r="C3102" s="1" t="s">
        <v>10549</v>
      </c>
      <c r="D3102" s="1" t="s">
        <v>1756</v>
      </c>
      <c r="E3102" s="2">
        <v>38158.0</v>
      </c>
      <c r="F3102" s="1" t="s">
        <v>70</v>
      </c>
      <c r="G3102" s="1" t="s">
        <v>76</v>
      </c>
      <c r="H3102" s="1" t="s">
        <v>32</v>
      </c>
      <c r="I3102" s="3">
        <f>+2250584569523</f>
        <v>2250584569523</v>
      </c>
      <c r="J3102" s="3">
        <f>+2250707667779</f>
        <v>2250707667779</v>
      </c>
      <c r="K3102" s="1" t="s">
        <v>19</v>
      </c>
      <c r="L3102" s="4" t="s">
        <v>10559</v>
      </c>
    </row>
    <row r="3103">
      <c r="A3103" s="1" t="s">
        <v>12</v>
      </c>
      <c r="B3103" s="1" t="s">
        <v>10560</v>
      </c>
      <c r="C3103" s="1" t="s">
        <v>10549</v>
      </c>
      <c r="D3103" s="1" t="s">
        <v>10561</v>
      </c>
      <c r="E3103" s="5">
        <v>37577.0</v>
      </c>
      <c r="F3103" s="1" t="s">
        <v>101</v>
      </c>
      <c r="G3103" s="1" t="s">
        <v>76</v>
      </c>
      <c r="H3103" s="1" t="s">
        <v>32</v>
      </c>
      <c r="I3103" s="3">
        <f>+2250574671679</f>
        <v>2250574671679</v>
      </c>
      <c r="J3103" s="3">
        <f>+2250705076498</f>
        <v>2250705076498</v>
      </c>
      <c r="K3103" s="1" t="s">
        <v>19</v>
      </c>
      <c r="L3103" s="4" t="s">
        <v>10562</v>
      </c>
    </row>
    <row r="3104">
      <c r="A3104" s="1" t="s">
        <v>12</v>
      </c>
      <c r="B3104" s="1" t="s">
        <v>10563</v>
      </c>
      <c r="C3104" s="1" t="s">
        <v>10549</v>
      </c>
      <c r="D3104" s="1" t="s">
        <v>1774</v>
      </c>
      <c r="E3104" s="2">
        <v>37773.0</v>
      </c>
      <c r="F3104" s="1" t="s">
        <v>138</v>
      </c>
      <c r="G3104" s="1" t="s">
        <v>76</v>
      </c>
      <c r="H3104" s="1" t="s">
        <v>32</v>
      </c>
      <c r="I3104" s="3">
        <f>+2250503955134</f>
        <v>2250503955134</v>
      </c>
      <c r="J3104" s="3">
        <f>+2250545865512</f>
        <v>2250545865512</v>
      </c>
      <c r="K3104" s="1" t="s">
        <v>19</v>
      </c>
      <c r="L3104" s="4" t="s">
        <v>10564</v>
      </c>
    </row>
    <row r="3105">
      <c r="A3105" s="1" t="s">
        <v>12</v>
      </c>
      <c r="B3105" s="1" t="s">
        <v>10565</v>
      </c>
      <c r="C3105" s="1" t="s">
        <v>10549</v>
      </c>
      <c r="D3105" s="1" t="s">
        <v>10566</v>
      </c>
      <c r="E3105" s="5">
        <v>37583.0</v>
      </c>
      <c r="F3105" s="1" t="s">
        <v>167</v>
      </c>
      <c r="G3105" s="1" t="s">
        <v>17</v>
      </c>
      <c r="H3105" s="1" t="s">
        <v>18</v>
      </c>
      <c r="I3105" s="3">
        <f>+2250505542892</f>
        <v>2250505542892</v>
      </c>
      <c r="J3105" s="3">
        <f>+2250757309261</f>
        <v>2250757309261</v>
      </c>
      <c r="K3105" s="1" t="s">
        <v>19</v>
      </c>
      <c r="L3105" s="4" t="s">
        <v>10567</v>
      </c>
    </row>
    <row r="3106">
      <c r="A3106" s="1" t="s">
        <v>12</v>
      </c>
      <c r="B3106" s="1" t="s">
        <v>10568</v>
      </c>
      <c r="C3106" s="1" t="s">
        <v>10549</v>
      </c>
      <c r="D3106" s="1" t="s">
        <v>10569</v>
      </c>
      <c r="E3106" s="2">
        <v>36864.0</v>
      </c>
      <c r="F3106" s="1" t="s">
        <v>16</v>
      </c>
      <c r="G3106" s="1" t="s">
        <v>17</v>
      </c>
      <c r="H3106" s="1" t="s">
        <v>18</v>
      </c>
      <c r="I3106" s="3">
        <f>+2250777124431</f>
        <v>2250777124431</v>
      </c>
      <c r="J3106" s="3">
        <f>+2250504489999</f>
        <v>2250504489999</v>
      </c>
      <c r="K3106" s="1" t="s">
        <v>19</v>
      </c>
      <c r="L3106" s="4" t="s">
        <v>10570</v>
      </c>
    </row>
    <row r="3107">
      <c r="A3107" s="1" t="s">
        <v>12</v>
      </c>
      <c r="B3107" s="1" t="s">
        <v>10571</v>
      </c>
      <c r="C3107" s="1" t="s">
        <v>10549</v>
      </c>
      <c r="D3107" s="1" t="s">
        <v>10572</v>
      </c>
      <c r="E3107" s="2">
        <v>38141.0</v>
      </c>
      <c r="F3107" s="1" t="s">
        <v>62</v>
      </c>
      <c r="G3107" s="1" t="s">
        <v>17</v>
      </c>
      <c r="H3107" s="1" t="s">
        <v>18</v>
      </c>
      <c r="I3107" s="3">
        <f>+2250584307500</f>
        <v>2250584307500</v>
      </c>
      <c r="J3107" s="3">
        <f>+2250505248514</f>
        <v>2250505248514</v>
      </c>
      <c r="K3107" s="1" t="s">
        <v>19</v>
      </c>
      <c r="L3107" s="4" t="s">
        <v>10573</v>
      </c>
    </row>
    <row r="3108">
      <c r="A3108" s="1" t="s">
        <v>12</v>
      </c>
      <c r="B3108" s="1" t="s">
        <v>10574</v>
      </c>
      <c r="C3108" s="1" t="s">
        <v>10549</v>
      </c>
      <c r="D3108" s="1" t="s">
        <v>1729</v>
      </c>
      <c r="E3108" s="2">
        <v>37444.0</v>
      </c>
      <c r="F3108" s="1" t="s">
        <v>167</v>
      </c>
      <c r="G3108" s="1" t="s">
        <v>82</v>
      </c>
      <c r="H3108" s="1" t="s">
        <v>18</v>
      </c>
      <c r="I3108" s="3">
        <f>+2250768498467</f>
        <v>2250768498467</v>
      </c>
      <c r="J3108" s="3">
        <f>+2250787146037</f>
        <v>2250787146037</v>
      </c>
      <c r="K3108" s="1" t="s">
        <v>19</v>
      </c>
      <c r="L3108" s="4" t="s">
        <v>10575</v>
      </c>
    </row>
    <row r="3109">
      <c r="A3109" s="1" t="s">
        <v>12</v>
      </c>
      <c r="B3109" s="1" t="s">
        <v>10576</v>
      </c>
      <c r="C3109" s="1" t="s">
        <v>10549</v>
      </c>
      <c r="D3109" s="1" t="s">
        <v>10577</v>
      </c>
      <c r="E3109" s="5">
        <v>36884.0</v>
      </c>
      <c r="F3109" s="1" t="s">
        <v>16</v>
      </c>
      <c r="G3109" s="1" t="s">
        <v>82</v>
      </c>
      <c r="H3109" s="1" t="s">
        <v>18</v>
      </c>
      <c r="I3109" s="3">
        <f>+2250479242934</f>
        <v>2250479242934</v>
      </c>
      <c r="J3109" s="3">
        <f>+2250748375538</f>
        <v>2250748375538</v>
      </c>
      <c r="K3109" s="1" t="s">
        <v>19</v>
      </c>
      <c r="L3109" s="4" t="s">
        <v>10578</v>
      </c>
    </row>
    <row r="3110">
      <c r="A3110" s="1" t="s">
        <v>12</v>
      </c>
      <c r="B3110" s="1" t="s">
        <v>10579</v>
      </c>
      <c r="C3110" s="1" t="s">
        <v>10549</v>
      </c>
      <c r="D3110" s="1" t="s">
        <v>10580</v>
      </c>
      <c r="E3110" s="5">
        <v>37578.0</v>
      </c>
      <c r="F3110" s="1" t="s">
        <v>92</v>
      </c>
      <c r="G3110" s="1" t="s">
        <v>82</v>
      </c>
      <c r="H3110" s="1" t="s">
        <v>18</v>
      </c>
      <c r="I3110" s="3">
        <f>+2250789892410</f>
        <v>2250789892410</v>
      </c>
      <c r="J3110" s="3">
        <f>+2250767736173</f>
        <v>2250767736173</v>
      </c>
      <c r="K3110" s="1" t="s">
        <v>19</v>
      </c>
      <c r="L3110" s="4" t="s">
        <v>10581</v>
      </c>
    </row>
    <row r="3111">
      <c r="A3111" s="1" t="s">
        <v>12</v>
      </c>
      <c r="B3111" s="1" t="s">
        <v>10582</v>
      </c>
      <c r="C3111" s="1" t="s">
        <v>10549</v>
      </c>
      <c r="D3111" s="1" t="s">
        <v>10583</v>
      </c>
      <c r="E3111" s="2">
        <v>38125.0</v>
      </c>
      <c r="F3111" s="1" t="s">
        <v>92</v>
      </c>
      <c r="G3111" s="1" t="s">
        <v>76</v>
      </c>
      <c r="H3111" s="1" t="s">
        <v>32</v>
      </c>
      <c r="I3111" s="3">
        <f>+2250574355110</f>
        <v>2250574355110</v>
      </c>
      <c r="J3111" s="3">
        <f>+2250544051867</f>
        <v>2250544051867</v>
      </c>
      <c r="K3111" s="1" t="s">
        <v>19</v>
      </c>
      <c r="L3111" s="4" t="s">
        <v>10584</v>
      </c>
    </row>
    <row r="3112">
      <c r="A3112" s="1" t="s">
        <v>12</v>
      </c>
      <c r="B3112" s="1" t="s">
        <v>10585</v>
      </c>
      <c r="C3112" s="1" t="s">
        <v>10549</v>
      </c>
      <c r="D3112" s="1" t="s">
        <v>1740</v>
      </c>
      <c r="E3112" s="2">
        <v>37632.0</v>
      </c>
      <c r="F3112" s="1" t="s">
        <v>53</v>
      </c>
      <c r="G3112" s="1" t="s">
        <v>25</v>
      </c>
      <c r="H3112" s="1" t="s">
        <v>18</v>
      </c>
      <c r="I3112" s="3">
        <f>+2250701648352</f>
        <v>2250701648352</v>
      </c>
      <c r="J3112" s="3">
        <f>+2250545602063</f>
        <v>2250545602063</v>
      </c>
      <c r="K3112" s="1" t="s">
        <v>19</v>
      </c>
      <c r="L3112" s="4" t="s">
        <v>10586</v>
      </c>
    </row>
    <row r="3113">
      <c r="A3113" s="1" t="s">
        <v>12</v>
      </c>
      <c r="B3113" s="1" t="s">
        <v>10587</v>
      </c>
      <c r="C3113" s="1" t="s">
        <v>10549</v>
      </c>
      <c r="D3113" s="1" t="s">
        <v>4474</v>
      </c>
      <c r="E3113" s="5">
        <v>37583.0</v>
      </c>
      <c r="F3113" s="1" t="s">
        <v>53</v>
      </c>
      <c r="G3113" s="1" t="s">
        <v>17</v>
      </c>
      <c r="H3113" s="1" t="s">
        <v>18</v>
      </c>
      <c r="I3113" s="3">
        <f>+2250506549086</f>
        <v>2250506549086</v>
      </c>
      <c r="J3113" s="3">
        <f>+2250757309261</f>
        <v>2250757309261</v>
      </c>
      <c r="K3113" s="1" t="s">
        <v>19</v>
      </c>
      <c r="L3113" s="4" t="s">
        <v>10588</v>
      </c>
    </row>
    <row r="3114">
      <c r="A3114" s="1" t="s">
        <v>12</v>
      </c>
      <c r="B3114" s="1" t="s">
        <v>10589</v>
      </c>
      <c r="C3114" s="1" t="s">
        <v>10590</v>
      </c>
      <c r="D3114" s="1" t="s">
        <v>10591</v>
      </c>
      <c r="E3114" s="2">
        <v>37516.0</v>
      </c>
      <c r="F3114" s="1" t="s">
        <v>351</v>
      </c>
      <c r="G3114" s="1" t="s">
        <v>82</v>
      </c>
      <c r="H3114" s="1" t="s">
        <v>18</v>
      </c>
      <c r="I3114" s="3">
        <f>+2250700895662</f>
        <v>2250700895662</v>
      </c>
      <c r="J3114" s="3">
        <f>+2250505095106</f>
        <v>2250505095106</v>
      </c>
      <c r="K3114" s="1" t="s">
        <v>19</v>
      </c>
      <c r="L3114" s="4" t="s">
        <v>10592</v>
      </c>
    </row>
    <row r="3115">
      <c r="A3115" s="1" t="s">
        <v>12</v>
      </c>
      <c r="B3115" s="1" t="s">
        <v>10593</v>
      </c>
      <c r="C3115" s="1" t="s">
        <v>10590</v>
      </c>
      <c r="D3115" s="1" t="s">
        <v>10594</v>
      </c>
      <c r="E3115" s="2">
        <v>38114.0</v>
      </c>
      <c r="F3115" s="1" t="s">
        <v>62</v>
      </c>
      <c r="G3115" s="1" t="s">
        <v>25</v>
      </c>
      <c r="H3115" s="1" t="s">
        <v>18</v>
      </c>
      <c r="I3115" s="3">
        <f>+2250701363641</f>
        <v>2250701363641</v>
      </c>
      <c r="J3115" s="3">
        <f>+2250768000384</f>
        <v>2250768000384</v>
      </c>
      <c r="K3115" s="1" t="s">
        <v>19</v>
      </c>
      <c r="L3115" s="4" t="s">
        <v>10595</v>
      </c>
    </row>
    <row r="3116">
      <c r="A3116" s="1" t="s">
        <v>12</v>
      </c>
      <c r="B3116" s="1" t="s">
        <v>10596</v>
      </c>
      <c r="C3116" s="1" t="s">
        <v>10597</v>
      </c>
      <c r="D3116" s="1" t="s">
        <v>10598</v>
      </c>
      <c r="E3116" s="2">
        <v>38513.0</v>
      </c>
      <c r="F3116" s="1" t="s">
        <v>92</v>
      </c>
      <c r="G3116" s="1" t="s">
        <v>76</v>
      </c>
      <c r="H3116" s="1" t="s">
        <v>32</v>
      </c>
      <c r="I3116" s="3">
        <f>+2250171717112</f>
        <v>2250171717112</v>
      </c>
      <c r="J3116" s="3">
        <f>+2250505647716</f>
        <v>2250505647716</v>
      </c>
      <c r="K3116" s="1" t="s">
        <v>19</v>
      </c>
      <c r="L3116" s="4" t="s">
        <v>10599</v>
      </c>
    </row>
    <row r="3117">
      <c r="A3117" s="1" t="s">
        <v>12</v>
      </c>
      <c r="B3117" s="1" t="s">
        <v>10600</v>
      </c>
      <c r="C3117" s="1" t="s">
        <v>10601</v>
      </c>
      <c r="D3117" s="1" t="s">
        <v>10602</v>
      </c>
      <c r="E3117" s="2">
        <v>36991.0</v>
      </c>
      <c r="F3117" s="1" t="s">
        <v>16</v>
      </c>
      <c r="G3117" s="1" t="s">
        <v>17</v>
      </c>
      <c r="H3117" s="1" t="s">
        <v>18</v>
      </c>
      <c r="I3117" s="3">
        <f>+2250759033623</f>
        <v>2250759033623</v>
      </c>
      <c r="J3117" s="3">
        <f>+2250505060419</f>
        <v>2250505060419</v>
      </c>
      <c r="K3117" s="1" t="s">
        <v>19</v>
      </c>
      <c r="L3117" s="4" t="s">
        <v>10603</v>
      </c>
    </row>
    <row r="3118">
      <c r="A3118" s="1" t="s">
        <v>12</v>
      </c>
      <c r="B3118" s="1" t="s">
        <v>10604</v>
      </c>
      <c r="C3118" s="1" t="s">
        <v>10605</v>
      </c>
      <c r="D3118" s="1" t="s">
        <v>178</v>
      </c>
      <c r="E3118" s="2">
        <v>36372.0</v>
      </c>
      <c r="F3118" s="1" t="s">
        <v>586</v>
      </c>
      <c r="G3118" s="1" t="s">
        <v>82</v>
      </c>
      <c r="H3118" s="1" t="s">
        <v>18</v>
      </c>
      <c r="I3118" s="3">
        <f>+2250787727257</f>
        <v>2250787727257</v>
      </c>
      <c r="J3118" s="3">
        <f>+2250707621250</f>
        <v>2250707621250</v>
      </c>
      <c r="K3118" s="1" t="s">
        <v>19</v>
      </c>
      <c r="L3118" s="4" t="s">
        <v>10606</v>
      </c>
    </row>
    <row r="3119">
      <c r="A3119" s="1" t="s">
        <v>12</v>
      </c>
      <c r="B3119" s="1" t="s">
        <v>10607</v>
      </c>
      <c r="C3119" s="1" t="s">
        <v>10608</v>
      </c>
      <c r="D3119" s="1" t="s">
        <v>10609</v>
      </c>
      <c r="E3119" s="2">
        <v>38542.0</v>
      </c>
      <c r="F3119" s="1" t="s">
        <v>30</v>
      </c>
      <c r="G3119" s="1" t="s">
        <v>76</v>
      </c>
      <c r="H3119" s="1" t="s">
        <v>32</v>
      </c>
      <c r="I3119" s="3">
        <f>+2250554397168</f>
        <v>2250554397168</v>
      </c>
      <c r="J3119" s="3">
        <f>+2250707415330</f>
        <v>2250707415330</v>
      </c>
      <c r="K3119" s="1" t="s">
        <v>19</v>
      </c>
      <c r="L3119" s="4" t="s">
        <v>10610</v>
      </c>
    </row>
    <row r="3120">
      <c r="A3120" s="1" t="s">
        <v>12</v>
      </c>
      <c r="B3120" s="1" t="s">
        <v>10611</v>
      </c>
      <c r="C3120" s="1" t="s">
        <v>10612</v>
      </c>
      <c r="D3120" s="1" t="s">
        <v>10613</v>
      </c>
      <c r="E3120" s="2">
        <v>37713.0</v>
      </c>
      <c r="F3120" s="1" t="s">
        <v>62</v>
      </c>
      <c r="G3120" s="1" t="s">
        <v>17</v>
      </c>
      <c r="H3120" s="1" t="s">
        <v>18</v>
      </c>
      <c r="I3120" s="3">
        <f>+2250506581079</f>
        <v>2250506581079</v>
      </c>
      <c r="J3120" s="3">
        <f>+2250102138720</f>
        <v>2250102138720</v>
      </c>
      <c r="K3120" s="1" t="s">
        <v>19</v>
      </c>
      <c r="L3120" s="4" t="s">
        <v>10614</v>
      </c>
    </row>
    <row r="3121">
      <c r="A3121" s="1" t="s">
        <v>12</v>
      </c>
      <c r="B3121" s="1" t="s">
        <v>10615</v>
      </c>
      <c r="C3121" s="1" t="s">
        <v>10616</v>
      </c>
      <c r="D3121" s="1" t="s">
        <v>10617</v>
      </c>
      <c r="E3121" s="2">
        <v>37646.0</v>
      </c>
      <c r="F3121" s="1" t="s">
        <v>110</v>
      </c>
      <c r="G3121" s="1" t="s">
        <v>82</v>
      </c>
      <c r="H3121" s="1" t="s">
        <v>18</v>
      </c>
      <c r="I3121" s="3">
        <f>+2250704728375</f>
        <v>2250704728375</v>
      </c>
      <c r="J3121" s="3">
        <f>+2250707699487</f>
        <v>2250707699487</v>
      </c>
      <c r="K3121" s="1" t="s">
        <v>19</v>
      </c>
      <c r="L3121" s="4" t="s">
        <v>10618</v>
      </c>
    </row>
    <row r="3122">
      <c r="A3122" s="1" t="s">
        <v>12</v>
      </c>
      <c r="B3122" s="1" t="s">
        <v>10619</v>
      </c>
      <c r="C3122" s="1" t="s">
        <v>10620</v>
      </c>
      <c r="D3122" s="1" t="s">
        <v>10621</v>
      </c>
      <c r="E3122" s="2">
        <v>38688.0</v>
      </c>
      <c r="F3122" s="1" t="s">
        <v>92</v>
      </c>
      <c r="G3122" s="1" t="s">
        <v>76</v>
      </c>
      <c r="H3122" s="1" t="s">
        <v>32</v>
      </c>
      <c r="I3122" s="3">
        <f>+2250749100491</f>
        <v>2250749100491</v>
      </c>
      <c r="J3122" s="3">
        <f>+2250768041585</f>
        <v>2250768041585</v>
      </c>
      <c r="K3122" s="1" t="s">
        <v>19</v>
      </c>
      <c r="L3122" s="4" t="s">
        <v>10622</v>
      </c>
    </row>
    <row r="3123">
      <c r="A3123" s="1" t="s">
        <v>12</v>
      </c>
      <c r="B3123" s="1" t="s">
        <v>10623</v>
      </c>
      <c r="C3123" s="1" t="s">
        <v>10624</v>
      </c>
      <c r="D3123" s="1" t="s">
        <v>10625</v>
      </c>
      <c r="E3123" s="2">
        <v>38092.0</v>
      </c>
      <c r="F3123" s="1" t="s">
        <v>101</v>
      </c>
      <c r="G3123" s="1" t="s">
        <v>31</v>
      </c>
      <c r="H3123" s="1" t="s">
        <v>32</v>
      </c>
      <c r="I3123" s="3">
        <f>+2250789891539</f>
        <v>2250789891539</v>
      </c>
      <c r="J3123" s="3">
        <f>+2250709604286</f>
        <v>2250709604286</v>
      </c>
      <c r="K3123" s="1" t="s">
        <v>19</v>
      </c>
      <c r="L3123" s="4" t="s">
        <v>10626</v>
      </c>
    </row>
    <row r="3124">
      <c r="A3124" s="1" t="s">
        <v>12</v>
      </c>
      <c r="B3124" s="1" t="s">
        <v>10627</v>
      </c>
      <c r="C3124" s="1" t="s">
        <v>10628</v>
      </c>
      <c r="D3124" s="1" t="s">
        <v>10629</v>
      </c>
      <c r="E3124" s="2">
        <v>37397.0</v>
      </c>
      <c r="F3124" s="1" t="s">
        <v>53</v>
      </c>
      <c r="G3124" s="1" t="s">
        <v>17</v>
      </c>
      <c r="H3124" s="1" t="s">
        <v>18</v>
      </c>
      <c r="I3124" s="3">
        <f>+2250769052001</f>
        <v>2250769052001</v>
      </c>
      <c r="J3124" s="3">
        <f>+2250708155708</f>
        <v>2250708155708</v>
      </c>
      <c r="K3124" s="1" t="s">
        <v>19</v>
      </c>
      <c r="L3124" s="4" t="s">
        <v>10630</v>
      </c>
    </row>
    <row r="3125">
      <c r="A3125" s="1" t="s">
        <v>12</v>
      </c>
      <c r="B3125" s="1" t="s">
        <v>10631</v>
      </c>
      <c r="C3125" s="1" t="s">
        <v>10628</v>
      </c>
      <c r="D3125" s="1" t="s">
        <v>10632</v>
      </c>
      <c r="E3125" s="2">
        <v>37140.0</v>
      </c>
      <c r="F3125" s="1" t="s">
        <v>30</v>
      </c>
      <c r="G3125" s="1" t="s">
        <v>31</v>
      </c>
      <c r="H3125" s="1" t="s">
        <v>32</v>
      </c>
      <c r="I3125" s="3">
        <f>+2250768993582</f>
        <v>2250768993582</v>
      </c>
      <c r="J3125" s="3">
        <f>+2250505641221</f>
        <v>2250505641221</v>
      </c>
      <c r="K3125" s="1" t="s">
        <v>19</v>
      </c>
      <c r="L3125" s="4" t="s">
        <v>10633</v>
      </c>
    </row>
    <row r="3126">
      <c r="A3126" s="1" t="s">
        <v>12</v>
      </c>
      <c r="B3126" s="1" t="s">
        <v>10634</v>
      </c>
      <c r="C3126" s="1" t="s">
        <v>10628</v>
      </c>
      <c r="D3126" s="1" t="s">
        <v>8846</v>
      </c>
      <c r="E3126" s="2">
        <v>37427.0</v>
      </c>
      <c r="F3126" s="1" t="s">
        <v>92</v>
      </c>
      <c r="G3126" s="1" t="s">
        <v>76</v>
      </c>
      <c r="H3126" s="1" t="s">
        <v>32</v>
      </c>
      <c r="I3126" s="3">
        <f>+2250708912124</f>
        <v>2250708912124</v>
      </c>
      <c r="J3126" s="3">
        <f>+2250705130675</f>
        <v>2250705130675</v>
      </c>
      <c r="K3126" s="1" t="s">
        <v>19</v>
      </c>
      <c r="L3126" s="4" t="s">
        <v>10635</v>
      </c>
    </row>
    <row r="3127">
      <c r="A3127" s="1" t="s">
        <v>12</v>
      </c>
      <c r="B3127" s="1" t="s">
        <v>10636</v>
      </c>
      <c r="C3127" s="1" t="s">
        <v>10628</v>
      </c>
      <c r="D3127" s="1" t="s">
        <v>10637</v>
      </c>
      <c r="E3127" s="2">
        <v>37650.0</v>
      </c>
      <c r="F3127" s="1" t="s">
        <v>155</v>
      </c>
      <c r="G3127" s="1" t="s">
        <v>31</v>
      </c>
      <c r="H3127" s="1" t="s">
        <v>32</v>
      </c>
      <c r="I3127" s="3">
        <f>+2250564885133</f>
        <v>2250564885133</v>
      </c>
      <c r="J3127" s="3">
        <f>+2250150911617</f>
        <v>2250150911617</v>
      </c>
      <c r="K3127" s="1" t="s">
        <v>19</v>
      </c>
      <c r="L3127" s="4" t="s">
        <v>10638</v>
      </c>
    </row>
    <row r="3128">
      <c r="A3128" s="1" t="s">
        <v>12</v>
      </c>
      <c r="B3128" s="1" t="s">
        <v>10639</v>
      </c>
      <c r="C3128" s="1" t="s">
        <v>10628</v>
      </c>
      <c r="D3128" s="1" t="s">
        <v>10640</v>
      </c>
      <c r="E3128" s="2">
        <v>38168.0</v>
      </c>
      <c r="F3128" s="1" t="s">
        <v>16</v>
      </c>
      <c r="G3128" s="1" t="s">
        <v>25</v>
      </c>
      <c r="H3128" s="1" t="s">
        <v>18</v>
      </c>
      <c r="I3128" s="3">
        <f>+2250708871422</f>
        <v>2250708871422</v>
      </c>
      <c r="J3128" s="3">
        <f>+2250505879360</f>
        <v>2250505879360</v>
      </c>
      <c r="K3128" s="1" t="s">
        <v>19</v>
      </c>
      <c r="L3128" s="4" t="s">
        <v>10641</v>
      </c>
    </row>
    <row r="3129">
      <c r="A3129" s="1" t="s">
        <v>12</v>
      </c>
      <c r="B3129" s="1" t="s">
        <v>10642</v>
      </c>
      <c r="C3129" s="1" t="s">
        <v>10628</v>
      </c>
      <c r="D3129" s="1" t="s">
        <v>10643</v>
      </c>
      <c r="E3129" s="2">
        <v>37270.0</v>
      </c>
      <c r="F3129" s="1" t="s">
        <v>155</v>
      </c>
      <c r="G3129" s="1" t="s">
        <v>82</v>
      </c>
      <c r="H3129" s="1" t="s">
        <v>18</v>
      </c>
      <c r="I3129" s="3">
        <f t="shared" ref="I3129:J3129" si="101">+2250757784325</f>
        <v>2250757784325</v>
      </c>
      <c r="J3129" s="3">
        <f t="shared" si="101"/>
        <v>2250757784325</v>
      </c>
      <c r="K3129" s="1" t="s">
        <v>19</v>
      </c>
      <c r="L3129" s="4" t="s">
        <v>10644</v>
      </c>
    </row>
    <row r="3130">
      <c r="A3130" s="1" t="s">
        <v>12</v>
      </c>
      <c r="B3130" s="1" t="s">
        <v>10645</v>
      </c>
      <c r="C3130" s="1" t="s">
        <v>10646</v>
      </c>
      <c r="D3130" s="1" t="s">
        <v>10647</v>
      </c>
      <c r="E3130" s="2">
        <v>38361.0</v>
      </c>
      <c r="F3130" s="1" t="s">
        <v>16</v>
      </c>
      <c r="G3130" s="1" t="s">
        <v>17</v>
      </c>
      <c r="H3130" s="1" t="s">
        <v>18</v>
      </c>
      <c r="I3130" s="3">
        <f>+2250704614534</f>
        <v>2250704614534</v>
      </c>
      <c r="J3130" s="3">
        <f>+2250504598445</f>
        <v>2250504598445</v>
      </c>
      <c r="K3130" s="1" t="s">
        <v>19</v>
      </c>
      <c r="L3130" s="4" t="s">
        <v>10648</v>
      </c>
    </row>
    <row r="3131">
      <c r="A3131" s="1" t="s">
        <v>12</v>
      </c>
      <c r="B3131" s="1" t="s">
        <v>10649</v>
      </c>
      <c r="C3131" s="1" t="s">
        <v>10650</v>
      </c>
      <c r="D3131" s="1" t="s">
        <v>10651</v>
      </c>
      <c r="E3131" s="2">
        <v>37749.0</v>
      </c>
      <c r="F3131" s="1" t="s">
        <v>16</v>
      </c>
      <c r="G3131" s="1" t="s">
        <v>25</v>
      </c>
      <c r="H3131" s="1" t="s">
        <v>18</v>
      </c>
      <c r="I3131" s="3">
        <f>+2250777993103</f>
        <v>2250777993103</v>
      </c>
      <c r="J3131" s="3">
        <f>+2250704879012</f>
        <v>2250704879012</v>
      </c>
      <c r="K3131" s="1" t="s">
        <v>19</v>
      </c>
      <c r="L3131" s="4" t="s">
        <v>10652</v>
      </c>
    </row>
    <row r="3132">
      <c r="A3132" s="1" t="s">
        <v>12</v>
      </c>
      <c r="B3132" s="1" t="s">
        <v>10653</v>
      </c>
      <c r="C3132" s="1" t="s">
        <v>10650</v>
      </c>
      <c r="D3132" s="1" t="s">
        <v>10654</v>
      </c>
      <c r="E3132" s="2">
        <v>37717.0</v>
      </c>
      <c r="F3132" s="1" t="s">
        <v>24</v>
      </c>
      <c r="G3132" s="1" t="s">
        <v>17</v>
      </c>
      <c r="H3132" s="1" t="s">
        <v>18</v>
      </c>
      <c r="I3132" s="3">
        <f>+2250748740019</f>
        <v>2250748740019</v>
      </c>
      <c r="J3132" s="3">
        <f>+2250749694844</f>
        <v>2250749694844</v>
      </c>
      <c r="K3132" s="1" t="s">
        <v>19</v>
      </c>
      <c r="L3132" s="4" t="s">
        <v>10655</v>
      </c>
    </row>
    <row r="3133">
      <c r="A3133" s="1" t="s">
        <v>12</v>
      </c>
      <c r="B3133" s="1" t="s">
        <v>10656</v>
      </c>
      <c r="C3133" s="1" t="s">
        <v>10657</v>
      </c>
      <c r="D3133" s="1" t="s">
        <v>10658</v>
      </c>
      <c r="E3133" s="2">
        <v>37828.0</v>
      </c>
      <c r="F3133" s="1" t="s">
        <v>62</v>
      </c>
      <c r="G3133" s="1" t="s">
        <v>17</v>
      </c>
      <c r="H3133" s="1" t="s">
        <v>18</v>
      </c>
      <c r="I3133" s="3">
        <f>+2250779338013</f>
        <v>2250779338013</v>
      </c>
      <c r="J3133" s="3">
        <f>+2250748062187</f>
        <v>2250748062187</v>
      </c>
      <c r="K3133" s="1" t="s">
        <v>19</v>
      </c>
      <c r="L3133" s="4" t="s">
        <v>10659</v>
      </c>
    </row>
    <row r="3134">
      <c r="A3134" s="1" t="s">
        <v>12</v>
      </c>
      <c r="B3134" s="1" t="s">
        <v>10660</v>
      </c>
      <c r="C3134" s="1" t="s">
        <v>10661</v>
      </c>
      <c r="D3134" s="1" t="s">
        <v>10662</v>
      </c>
      <c r="E3134" s="2">
        <v>37388.0</v>
      </c>
      <c r="F3134" s="1" t="s">
        <v>62</v>
      </c>
      <c r="G3134" s="1" t="s">
        <v>17</v>
      </c>
      <c r="H3134" s="1" t="s">
        <v>18</v>
      </c>
      <c r="I3134" s="3">
        <f>+2250564733479</f>
        <v>2250564733479</v>
      </c>
      <c r="J3134" s="3">
        <f>+2250749373127</f>
        <v>2250749373127</v>
      </c>
      <c r="K3134" s="1" t="s">
        <v>19</v>
      </c>
      <c r="L3134" s="4" t="s">
        <v>10663</v>
      </c>
    </row>
    <row r="3135">
      <c r="A3135" s="1" t="s">
        <v>12</v>
      </c>
      <c r="B3135" s="1" t="s">
        <v>10664</v>
      </c>
      <c r="C3135" s="1" t="s">
        <v>10665</v>
      </c>
      <c r="D3135" s="1" t="s">
        <v>10666</v>
      </c>
      <c r="E3135" s="2">
        <v>37566.0</v>
      </c>
      <c r="F3135" s="1" t="s">
        <v>53</v>
      </c>
      <c r="G3135" s="1" t="s">
        <v>17</v>
      </c>
      <c r="H3135" s="1" t="s">
        <v>18</v>
      </c>
      <c r="I3135" s="3">
        <f>+2250556195223</f>
        <v>2250556195223</v>
      </c>
      <c r="J3135" s="3">
        <f>+2250777431133</f>
        <v>2250777431133</v>
      </c>
      <c r="K3135" s="1" t="s">
        <v>19</v>
      </c>
      <c r="L3135" s="4" t="s">
        <v>10667</v>
      </c>
    </row>
    <row r="3136">
      <c r="A3136" s="1" t="s">
        <v>12</v>
      </c>
      <c r="B3136" s="1" t="s">
        <v>10668</v>
      </c>
      <c r="C3136" s="1" t="s">
        <v>10669</v>
      </c>
      <c r="D3136" s="1" t="s">
        <v>10670</v>
      </c>
      <c r="E3136" s="2">
        <v>37834.0</v>
      </c>
      <c r="F3136" s="1" t="s">
        <v>87</v>
      </c>
      <c r="G3136" s="1" t="s">
        <v>31</v>
      </c>
      <c r="H3136" s="1" t="s">
        <v>32</v>
      </c>
      <c r="I3136" s="3">
        <f>+2250700454564</f>
        <v>2250700454564</v>
      </c>
      <c r="J3136" s="3">
        <f>+2250749352160</f>
        <v>2250749352160</v>
      </c>
      <c r="K3136" s="1" t="s">
        <v>19</v>
      </c>
      <c r="L3136" s="4" t="s">
        <v>10671</v>
      </c>
    </row>
    <row r="3137">
      <c r="A3137" s="1" t="s">
        <v>12</v>
      </c>
      <c r="B3137" s="1" t="s">
        <v>10672</v>
      </c>
      <c r="C3137" s="1" t="s">
        <v>10673</v>
      </c>
      <c r="D3137" s="1" t="s">
        <v>10674</v>
      </c>
      <c r="E3137" s="5">
        <v>38349.0</v>
      </c>
      <c r="F3137" s="1" t="s">
        <v>53</v>
      </c>
      <c r="G3137" s="1" t="s">
        <v>25</v>
      </c>
      <c r="H3137" s="1" t="s">
        <v>18</v>
      </c>
      <c r="I3137" s="3">
        <f>+2250759358918</f>
        <v>2250759358918</v>
      </c>
      <c r="J3137" s="3">
        <f>+2250707359485</f>
        <v>2250707359485</v>
      </c>
      <c r="K3137" s="1" t="s">
        <v>19</v>
      </c>
      <c r="L3137" s="4" t="s">
        <v>10675</v>
      </c>
    </row>
    <row r="3138">
      <c r="A3138" s="1" t="s">
        <v>12</v>
      </c>
      <c r="B3138" s="1" t="s">
        <v>10676</v>
      </c>
      <c r="C3138" s="1" t="s">
        <v>10677</v>
      </c>
      <c r="D3138" s="1" t="s">
        <v>10678</v>
      </c>
      <c r="E3138" s="2">
        <v>38365.0</v>
      </c>
      <c r="F3138" s="1" t="s">
        <v>62</v>
      </c>
      <c r="G3138" s="1" t="s">
        <v>25</v>
      </c>
      <c r="H3138" s="1" t="s">
        <v>18</v>
      </c>
      <c r="I3138" s="3">
        <f>+2250788627426</f>
        <v>2250788627426</v>
      </c>
      <c r="J3138" s="3">
        <f>+2250707196824</f>
        <v>2250707196824</v>
      </c>
      <c r="K3138" s="1" t="s">
        <v>19</v>
      </c>
      <c r="L3138" s="4" t="s">
        <v>10679</v>
      </c>
    </row>
    <row r="3139">
      <c r="A3139" s="1" t="s">
        <v>12</v>
      </c>
      <c r="B3139" s="1" t="s">
        <v>10680</v>
      </c>
      <c r="C3139" s="1" t="s">
        <v>10677</v>
      </c>
      <c r="D3139" s="1" t="s">
        <v>10681</v>
      </c>
      <c r="E3139" s="2">
        <v>37678.0</v>
      </c>
      <c r="F3139" s="1" t="s">
        <v>138</v>
      </c>
      <c r="G3139" s="1" t="s">
        <v>31</v>
      </c>
      <c r="H3139" s="1" t="s">
        <v>32</v>
      </c>
      <c r="I3139" s="3">
        <f t="shared" ref="I3139:J3139" si="102">+2250140479242</f>
        <v>2250140479242</v>
      </c>
      <c r="J3139" s="3">
        <f t="shared" si="102"/>
        <v>2250140479242</v>
      </c>
      <c r="K3139" s="1" t="s">
        <v>19</v>
      </c>
      <c r="L3139" s="4" t="s">
        <v>10682</v>
      </c>
    </row>
    <row r="3140">
      <c r="A3140" s="1" t="s">
        <v>12</v>
      </c>
      <c r="B3140" s="1" t="s">
        <v>10683</v>
      </c>
      <c r="C3140" s="1" t="s">
        <v>10677</v>
      </c>
      <c r="D3140" s="1" t="s">
        <v>10684</v>
      </c>
      <c r="E3140" s="2">
        <v>37453.0</v>
      </c>
      <c r="F3140" s="1" t="s">
        <v>62</v>
      </c>
      <c r="G3140" s="1" t="s">
        <v>25</v>
      </c>
      <c r="H3140" s="1" t="s">
        <v>18</v>
      </c>
      <c r="I3140" s="3">
        <f>+2250576210897</f>
        <v>2250576210897</v>
      </c>
      <c r="J3140" s="3">
        <f>+2250575892733</f>
        <v>2250575892733</v>
      </c>
      <c r="K3140" s="1" t="s">
        <v>19</v>
      </c>
      <c r="L3140" s="4" t="s">
        <v>10685</v>
      </c>
    </row>
    <row r="3141">
      <c r="A3141" s="1" t="s">
        <v>12</v>
      </c>
      <c r="B3141" s="1" t="s">
        <v>10686</v>
      </c>
      <c r="C3141" s="1" t="s">
        <v>10677</v>
      </c>
      <c r="D3141" s="1" t="s">
        <v>10687</v>
      </c>
      <c r="E3141" s="2">
        <v>37020.0</v>
      </c>
      <c r="F3141" s="1" t="s">
        <v>75</v>
      </c>
      <c r="G3141" s="1" t="s">
        <v>31</v>
      </c>
      <c r="H3141" s="1" t="s">
        <v>32</v>
      </c>
      <c r="I3141" s="3">
        <f>+2250777316626</f>
        <v>2250777316626</v>
      </c>
      <c r="J3141" s="3">
        <f>+2250545474358</f>
        <v>2250545474358</v>
      </c>
      <c r="K3141" s="1" t="s">
        <v>19</v>
      </c>
      <c r="L3141" s="4" t="s">
        <v>10688</v>
      </c>
    </row>
    <row r="3142">
      <c r="A3142" s="1" t="s">
        <v>12</v>
      </c>
      <c r="B3142" s="1" t="s">
        <v>10689</v>
      </c>
      <c r="C3142" s="1" t="s">
        <v>10677</v>
      </c>
      <c r="D3142" s="1" t="s">
        <v>10690</v>
      </c>
      <c r="E3142" s="2">
        <v>37591.0</v>
      </c>
      <c r="F3142" s="1" t="s">
        <v>16</v>
      </c>
      <c r="G3142" s="1" t="s">
        <v>17</v>
      </c>
      <c r="H3142" s="1" t="s">
        <v>18</v>
      </c>
      <c r="I3142" s="3">
        <f>+2250779326914</f>
        <v>2250779326914</v>
      </c>
      <c r="J3142" s="3">
        <f>+2250707735902</f>
        <v>2250707735902</v>
      </c>
      <c r="K3142" s="1" t="s">
        <v>19</v>
      </c>
      <c r="L3142" s="4" t="s">
        <v>10691</v>
      </c>
    </row>
    <row r="3143">
      <c r="A3143" s="1" t="s">
        <v>12</v>
      </c>
      <c r="B3143" s="1" t="s">
        <v>10692</v>
      </c>
      <c r="C3143" s="1" t="s">
        <v>10677</v>
      </c>
      <c r="D3143" s="1" t="s">
        <v>10693</v>
      </c>
      <c r="E3143" s="2">
        <v>38847.0</v>
      </c>
      <c r="F3143" s="1" t="s">
        <v>48</v>
      </c>
      <c r="G3143" s="1" t="s">
        <v>76</v>
      </c>
      <c r="H3143" s="1" t="s">
        <v>32</v>
      </c>
      <c r="I3143" s="3">
        <f>+2250150384851</f>
        <v>2250150384851</v>
      </c>
      <c r="J3143" s="3">
        <f>+2250102391836</f>
        <v>2250102391836</v>
      </c>
      <c r="K3143" s="1" t="s">
        <v>19</v>
      </c>
      <c r="L3143" s="4" t="s">
        <v>10694</v>
      </c>
    </row>
    <row r="3144">
      <c r="A3144" s="1" t="s">
        <v>12</v>
      </c>
      <c r="B3144" s="1" t="s">
        <v>10695</v>
      </c>
      <c r="C3144" s="1" t="s">
        <v>10677</v>
      </c>
      <c r="D3144" s="1" t="s">
        <v>10696</v>
      </c>
      <c r="E3144" s="2">
        <v>38564.0</v>
      </c>
      <c r="F3144" s="1" t="s">
        <v>30</v>
      </c>
      <c r="G3144" s="1" t="s">
        <v>76</v>
      </c>
      <c r="H3144" s="1" t="s">
        <v>32</v>
      </c>
      <c r="I3144" s="3">
        <f>+2250101823948</f>
        <v>2250101823948</v>
      </c>
      <c r="J3144" s="3">
        <f>+2250777610412</f>
        <v>2250777610412</v>
      </c>
      <c r="K3144" s="1" t="s">
        <v>19</v>
      </c>
      <c r="L3144" s="4" t="s">
        <v>10697</v>
      </c>
    </row>
    <row r="3145">
      <c r="A3145" s="1" t="s">
        <v>12</v>
      </c>
      <c r="B3145" s="1" t="s">
        <v>10698</v>
      </c>
      <c r="C3145" s="1" t="s">
        <v>10699</v>
      </c>
      <c r="D3145" s="1" t="s">
        <v>10700</v>
      </c>
      <c r="E3145" s="5">
        <v>37590.0</v>
      </c>
      <c r="F3145" s="1" t="s">
        <v>16</v>
      </c>
      <c r="G3145" s="1" t="s">
        <v>17</v>
      </c>
      <c r="H3145" s="1" t="s">
        <v>18</v>
      </c>
      <c r="I3145" s="3">
        <f>+2250503844827</f>
        <v>2250503844827</v>
      </c>
      <c r="J3145" s="3">
        <f>+2250565356448</f>
        <v>2250565356448</v>
      </c>
      <c r="K3145" s="1" t="s">
        <v>19</v>
      </c>
      <c r="L3145" s="4" t="s">
        <v>10701</v>
      </c>
    </row>
    <row r="3146">
      <c r="A3146" s="1" t="s">
        <v>12</v>
      </c>
      <c r="B3146" s="1" t="s">
        <v>10702</v>
      </c>
      <c r="C3146" s="1" t="s">
        <v>10703</v>
      </c>
      <c r="D3146" s="1" t="s">
        <v>10704</v>
      </c>
      <c r="E3146" s="2">
        <v>37712.0</v>
      </c>
      <c r="F3146" s="1" t="s">
        <v>155</v>
      </c>
      <c r="G3146" s="1" t="s">
        <v>31</v>
      </c>
      <c r="H3146" s="1" t="s">
        <v>32</v>
      </c>
      <c r="I3146" s="3">
        <f>+2250768751109</f>
        <v>2250768751109</v>
      </c>
      <c r="J3146" s="3">
        <f>+2250758595924</f>
        <v>2250758595924</v>
      </c>
      <c r="K3146" s="1" t="s">
        <v>19</v>
      </c>
      <c r="L3146" s="4" t="s">
        <v>10705</v>
      </c>
    </row>
    <row r="3147">
      <c r="A3147" s="1" t="s">
        <v>12</v>
      </c>
      <c r="B3147" s="1" t="s">
        <v>10706</v>
      </c>
      <c r="C3147" s="1" t="s">
        <v>10707</v>
      </c>
      <c r="D3147" s="1" t="s">
        <v>10708</v>
      </c>
      <c r="E3147" s="2">
        <v>37743.0</v>
      </c>
      <c r="F3147" s="1" t="s">
        <v>288</v>
      </c>
      <c r="G3147" s="1" t="s">
        <v>76</v>
      </c>
      <c r="H3147" s="1" t="s">
        <v>32</v>
      </c>
      <c r="I3147" s="3">
        <f>+2250504766778</f>
        <v>2250504766778</v>
      </c>
      <c r="J3147" s="3">
        <f>+2250585950097</f>
        <v>2250585950097</v>
      </c>
      <c r="K3147" s="1" t="s">
        <v>19</v>
      </c>
      <c r="L3147" s="4" t="s">
        <v>10709</v>
      </c>
    </row>
    <row r="3148">
      <c r="A3148" s="1" t="s">
        <v>12</v>
      </c>
      <c r="B3148" s="1" t="s">
        <v>10710</v>
      </c>
      <c r="C3148" s="1" t="s">
        <v>10707</v>
      </c>
      <c r="D3148" s="1" t="s">
        <v>3398</v>
      </c>
      <c r="E3148" s="2">
        <v>36772.0</v>
      </c>
      <c r="F3148" s="1" t="s">
        <v>30</v>
      </c>
      <c r="G3148" s="1" t="s">
        <v>76</v>
      </c>
      <c r="H3148" s="1" t="s">
        <v>32</v>
      </c>
      <c r="I3148" s="3">
        <f>+2250709563981</f>
        <v>2250709563981</v>
      </c>
      <c r="J3148" s="3">
        <f>+2250769149058</f>
        <v>2250769149058</v>
      </c>
      <c r="K3148" s="1" t="s">
        <v>19</v>
      </c>
      <c r="L3148" s="4" t="s">
        <v>10711</v>
      </c>
    </row>
    <row r="3149">
      <c r="A3149" s="1" t="s">
        <v>12</v>
      </c>
      <c r="B3149" s="1" t="s">
        <v>10712</v>
      </c>
      <c r="C3149" s="1" t="s">
        <v>10713</v>
      </c>
      <c r="D3149" s="1" t="s">
        <v>10714</v>
      </c>
      <c r="E3149" s="2">
        <v>37845.0</v>
      </c>
      <c r="F3149" s="1" t="s">
        <v>16</v>
      </c>
      <c r="G3149" s="1" t="s">
        <v>17</v>
      </c>
      <c r="H3149" s="1" t="s">
        <v>18</v>
      </c>
      <c r="I3149" s="3">
        <f>+2250779798012</f>
        <v>2250779798012</v>
      </c>
      <c r="J3149" s="3">
        <f>+2250707591534</f>
        <v>2250707591534</v>
      </c>
      <c r="K3149" s="1" t="s">
        <v>19</v>
      </c>
      <c r="L3149" s="4" t="s">
        <v>10715</v>
      </c>
    </row>
    <row r="3150">
      <c r="A3150" s="1" t="s">
        <v>12</v>
      </c>
      <c r="B3150" s="1" t="s">
        <v>10716</v>
      </c>
      <c r="C3150" s="1" t="s">
        <v>10717</v>
      </c>
      <c r="D3150" s="1" t="s">
        <v>10718</v>
      </c>
      <c r="E3150" s="2">
        <v>38132.0</v>
      </c>
      <c r="F3150" s="1" t="s">
        <v>16</v>
      </c>
      <c r="G3150" s="1" t="s">
        <v>17</v>
      </c>
      <c r="H3150" s="1" t="s">
        <v>18</v>
      </c>
      <c r="I3150" s="3">
        <f>+2250143943831</f>
        <v>2250143943831</v>
      </c>
      <c r="J3150" s="3">
        <f>+2250747242321</f>
        <v>2250747242321</v>
      </c>
      <c r="K3150" s="1" t="s">
        <v>19</v>
      </c>
      <c r="L3150" s="4" t="s">
        <v>10719</v>
      </c>
    </row>
    <row r="3151">
      <c r="A3151" s="1" t="s">
        <v>12</v>
      </c>
      <c r="B3151" s="1" t="s">
        <v>10720</v>
      </c>
      <c r="C3151" s="1" t="s">
        <v>10721</v>
      </c>
      <c r="D3151" s="1" t="s">
        <v>10722</v>
      </c>
      <c r="E3151" s="2">
        <v>38322.0</v>
      </c>
      <c r="F3151" s="1" t="s">
        <v>62</v>
      </c>
      <c r="G3151" s="1" t="s">
        <v>25</v>
      </c>
      <c r="H3151" s="1" t="s">
        <v>18</v>
      </c>
      <c r="I3151" s="3">
        <f>+2250777243993</f>
        <v>2250777243993</v>
      </c>
      <c r="J3151" s="3">
        <f>+2250707151210</f>
        <v>2250707151210</v>
      </c>
      <c r="K3151" s="1" t="s">
        <v>19</v>
      </c>
      <c r="L3151" s="4" t="s">
        <v>10723</v>
      </c>
    </row>
    <row r="3152">
      <c r="A3152" s="1" t="s">
        <v>12</v>
      </c>
      <c r="B3152" s="1" t="s">
        <v>10724</v>
      </c>
      <c r="C3152" s="1" t="s">
        <v>10725</v>
      </c>
      <c r="D3152" s="1" t="s">
        <v>10726</v>
      </c>
      <c r="E3152" s="2">
        <v>38292.0</v>
      </c>
      <c r="F3152" s="1" t="s">
        <v>70</v>
      </c>
      <c r="G3152" s="1" t="s">
        <v>76</v>
      </c>
      <c r="H3152" s="1" t="s">
        <v>32</v>
      </c>
      <c r="I3152" s="3">
        <f t="shared" ref="I3152:J3152" si="103">+2250171388061</f>
        <v>2250171388061</v>
      </c>
      <c r="J3152" s="3">
        <f t="shared" si="103"/>
        <v>2250171388061</v>
      </c>
      <c r="K3152" s="1" t="s">
        <v>19</v>
      </c>
      <c r="L3152" s="4" t="s">
        <v>10727</v>
      </c>
    </row>
    <row r="3153">
      <c r="A3153" s="1" t="s">
        <v>12</v>
      </c>
      <c r="B3153" s="1" t="s">
        <v>10728</v>
      </c>
      <c r="C3153" s="1" t="s">
        <v>10729</v>
      </c>
      <c r="D3153" s="1" t="s">
        <v>10730</v>
      </c>
      <c r="E3153" s="2">
        <v>38200.0</v>
      </c>
      <c r="F3153" s="1" t="s">
        <v>16</v>
      </c>
      <c r="G3153" s="1" t="s">
        <v>25</v>
      </c>
      <c r="H3153" s="1" t="s">
        <v>18</v>
      </c>
      <c r="I3153" s="3">
        <f>+2250706814273</f>
        <v>2250706814273</v>
      </c>
      <c r="J3153" s="3">
        <f>+2250707346493</f>
        <v>2250707346493</v>
      </c>
      <c r="K3153" s="1" t="s">
        <v>19</v>
      </c>
      <c r="L3153" s="4" t="s">
        <v>10731</v>
      </c>
    </row>
    <row r="3154">
      <c r="A3154" s="1" t="s">
        <v>12</v>
      </c>
      <c r="B3154" s="1" t="s">
        <v>10732</v>
      </c>
      <c r="C3154" s="1" t="s">
        <v>10729</v>
      </c>
      <c r="D3154" s="1" t="s">
        <v>10733</v>
      </c>
      <c r="E3154" s="5">
        <v>38645.0</v>
      </c>
      <c r="F3154" s="1" t="s">
        <v>53</v>
      </c>
      <c r="G3154" s="1" t="s">
        <v>25</v>
      </c>
      <c r="H3154" s="1" t="s">
        <v>18</v>
      </c>
      <c r="I3154" s="3">
        <f>+2250501203046</f>
        <v>2250501203046</v>
      </c>
      <c r="J3154" s="3">
        <f>+2250142897760</f>
        <v>2250142897760</v>
      </c>
      <c r="K3154" s="1" t="s">
        <v>19</v>
      </c>
      <c r="L3154" s="4" t="s">
        <v>10734</v>
      </c>
    </row>
    <row r="3155">
      <c r="A3155" s="1" t="s">
        <v>12</v>
      </c>
      <c r="B3155" s="1" t="s">
        <v>10735</v>
      </c>
      <c r="C3155" s="1" t="s">
        <v>10736</v>
      </c>
      <c r="D3155" s="1" t="s">
        <v>10737</v>
      </c>
      <c r="E3155" s="5">
        <v>37970.0</v>
      </c>
      <c r="F3155" s="1" t="s">
        <v>62</v>
      </c>
      <c r="G3155" s="1" t="s">
        <v>17</v>
      </c>
      <c r="H3155" s="1" t="s">
        <v>18</v>
      </c>
      <c r="I3155" s="3">
        <f>+2250506634903</f>
        <v>2250506634903</v>
      </c>
      <c r="J3155" s="3">
        <f>+2250506609243</f>
        <v>2250506609243</v>
      </c>
      <c r="K3155" s="1" t="s">
        <v>19</v>
      </c>
      <c r="L3155" s="4" t="s">
        <v>10738</v>
      </c>
    </row>
    <row r="3156">
      <c r="A3156" s="1" t="s">
        <v>12</v>
      </c>
      <c r="B3156" s="1" t="s">
        <v>10739</v>
      </c>
      <c r="C3156" s="1" t="s">
        <v>10740</v>
      </c>
      <c r="D3156" s="1" t="s">
        <v>10741</v>
      </c>
      <c r="E3156" s="2">
        <v>37093.0</v>
      </c>
      <c r="F3156" s="1" t="s">
        <v>37</v>
      </c>
      <c r="G3156" s="1" t="s">
        <v>82</v>
      </c>
      <c r="H3156" s="1" t="s">
        <v>18</v>
      </c>
      <c r="I3156" s="3">
        <f>+2250779007228</f>
        <v>2250779007228</v>
      </c>
      <c r="J3156" s="3">
        <f>+2250757787268</f>
        <v>2250757787268</v>
      </c>
      <c r="K3156" s="1" t="s">
        <v>19</v>
      </c>
      <c r="L3156" s="4" t="s">
        <v>10742</v>
      </c>
    </row>
    <row r="3157">
      <c r="A3157" s="1" t="s">
        <v>12</v>
      </c>
      <c r="B3157" s="1" t="s">
        <v>10743</v>
      </c>
      <c r="C3157" s="1" t="s">
        <v>10744</v>
      </c>
      <c r="D3157" s="1" t="s">
        <v>10745</v>
      </c>
      <c r="E3157" s="2">
        <v>35519.0</v>
      </c>
      <c r="F3157" s="1" t="s">
        <v>110</v>
      </c>
      <c r="G3157" s="1" t="s">
        <v>82</v>
      </c>
      <c r="H3157" s="1" t="s">
        <v>18</v>
      </c>
      <c r="I3157" s="3">
        <f>+2250703190293</f>
        <v>2250703190293</v>
      </c>
      <c r="J3157" s="3">
        <f>+2250747048242</f>
        <v>2250747048242</v>
      </c>
      <c r="K3157" s="1" t="s">
        <v>19</v>
      </c>
      <c r="L3157" s="4" t="s">
        <v>10746</v>
      </c>
    </row>
    <row r="3158">
      <c r="A3158" s="1" t="s">
        <v>12</v>
      </c>
      <c r="B3158" s="1" t="s">
        <v>10747</v>
      </c>
      <c r="C3158" s="1" t="s">
        <v>10744</v>
      </c>
      <c r="D3158" s="1" t="s">
        <v>10748</v>
      </c>
      <c r="E3158" s="2">
        <v>38156.0</v>
      </c>
      <c r="F3158" s="1" t="s">
        <v>30</v>
      </c>
      <c r="G3158" s="1" t="s">
        <v>76</v>
      </c>
      <c r="H3158" s="1" t="s">
        <v>32</v>
      </c>
      <c r="I3158" s="3">
        <f>+2250767397948</f>
        <v>2250767397948</v>
      </c>
      <c r="J3158" s="3">
        <f>+2250708146225</f>
        <v>2250708146225</v>
      </c>
      <c r="K3158" s="1" t="s">
        <v>19</v>
      </c>
      <c r="L3158" s="4" t="s">
        <v>10749</v>
      </c>
    </row>
    <row r="3159">
      <c r="A3159" s="1" t="s">
        <v>12</v>
      </c>
      <c r="B3159" s="1" t="s">
        <v>10750</v>
      </c>
      <c r="C3159" s="1" t="s">
        <v>10744</v>
      </c>
      <c r="D3159" s="1" t="s">
        <v>10751</v>
      </c>
      <c r="E3159" s="2">
        <v>38121.0</v>
      </c>
      <c r="F3159" s="1" t="s">
        <v>101</v>
      </c>
      <c r="G3159" s="1" t="s">
        <v>31</v>
      </c>
      <c r="H3159" s="1" t="s">
        <v>32</v>
      </c>
      <c r="I3159" s="3">
        <f>+2250701942925</f>
        <v>2250701942925</v>
      </c>
      <c r="J3159" s="3">
        <f>+2250749626286</f>
        <v>2250749626286</v>
      </c>
      <c r="K3159" s="1" t="s">
        <v>19</v>
      </c>
      <c r="L3159" s="4" t="s">
        <v>10752</v>
      </c>
    </row>
    <row r="3160">
      <c r="A3160" s="1" t="s">
        <v>12</v>
      </c>
      <c r="B3160" s="1" t="s">
        <v>10753</v>
      </c>
      <c r="C3160" s="1" t="s">
        <v>10744</v>
      </c>
      <c r="D3160" s="1" t="s">
        <v>10754</v>
      </c>
      <c r="E3160" s="2">
        <v>38121.0</v>
      </c>
      <c r="F3160" s="1" t="s">
        <v>416</v>
      </c>
      <c r="G3160" s="1" t="s">
        <v>76</v>
      </c>
      <c r="H3160" s="1" t="s">
        <v>32</v>
      </c>
      <c r="I3160" s="3">
        <f>+2250103865042</f>
        <v>2250103865042</v>
      </c>
      <c r="J3160" s="3">
        <f>+2250101505333</f>
        <v>2250101505333</v>
      </c>
      <c r="K3160" s="1" t="s">
        <v>19</v>
      </c>
      <c r="L3160" s="4" t="s">
        <v>10755</v>
      </c>
    </row>
    <row r="3161">
      <c r="A3161" s="1" t="s">
        <v>12</v>
      </c>
      <c r="B3161" s="1" t="s">
        <v>10756</v>
      </c>
      <c r="C3161" s="1" t="s">
        <v>10757</v>
      </c>
      <c r="D3161" s="1" t="s">
        <v>10758</v>
      </c>
      <c r="E3161" s="2">
        <v>36892.0</v>
      </c>
      <c r="F3161" s="1" t="s">
        <v>62</v>
      </c>
      <c r="G3161" s="1" t="s">
        <v>25</v>
      </c>
      <c r="H3161" s="1" t="s">
        <v>18</v>
      </c>
      <c r="I3161" s="3">
        <f>+2250546625968</f>
        <v>2250546625968</v>
      </c>
      <c r="J3161" s="3">
        <f>+2250748262861</f>
        <v>2250748262861</v>
      </c>
      <c r="K3161" s="1" t="s">
        <v>19</v>
      </c>
      <c r="L3161" s="4" t="s">
        <v>10759</v>
      </c>
    </row>
    <row r="3162">
      <c r="A3162" s="1" t="s">
        <v>12</v>
      </c>
      <c r="B3162" s="1" t="s">
        <v>10760</v>
      </c>
      <c r="C3162" s="1" t="s">
        <v>10761</v>
      </c>
      <c r="D3162" s="1" t="s">
        <v>10762</v>
      </c>
      <c r="E3162" s="2">
        <v>36605.0</v>
      </c>
      <c r="F3162" s="1" t="s">
        <v>62</v>
      </c>
      <c r="G3162" s="1" t="s">
        <v>17</v>
      </c>
      <c r="H3162" s="1" t="s">
        <v>18</v>
      </c>
      <c r="I3162" s="3">
        <f t="shared" ref="I3162:J3162" si="104">+2250749587785</f>
        <v>2250749587785</v>
      </c>
      <c r="J3162" s="3">
        <f t="shared" si="104"/>
        <v>2250749587785</v>
      </c>
      <c r="K3162" s="1" t="s">
        <v>19</v>
      </c>
      <c r="L3162" s="4" t="s">
        <v>10763</v>
      </c>
    </row>
    <row r="3163">
      <c r="A3163" s="1" t="s">
        <v>12</v>
      </c>
      <c r="B3163" s="1" t="s">
        <v>10764</v>
      </c>
      <c r="C3163" s="1" t="s">
        <v>10765</v>
      </c>
      <c r="D3163" s="1" t="s">
        <v>10766</v>
      </c>
      <c r="E3163" s="2">
        <v>37658.0</v>
      </c>
      <c r="F3163" s="1" t="s">
        <v>16</v>
      </c>
      <c r="G3163" s="1" t="s">
        <v>25</v>
      </c>
      <c r="H3163" s="1" t="s">
        <v>18</v>
      </c>
      <c r="I3163" s="3">
        <f>+2250799625924</f>
        <v>2250799625924</v>
      </c>
      <c r="J3163" s="3">
        <f>+2250769308751</f>
        <v>2250769308751</v>
      </c>
      <c r="K3163" s="1" t="s">
        <v>19</v>
      </c>
      <c r="L3163" s="4" t="s">
        <v>10767</v>
      </c>
    </row>
    <row r="3164">
      <c r="A3164" s="1" t="s">
        <v>12</v>
      </c>
      <c r="B3164" s="1" t="s">
        <v>10768</v>
      </c>
      <c r="C3164" s="1" t="s">
        <v>10765</v>
      </c>
      <c r="D3164" s="1" t="s">
        <v>10769</v>
      </c>
      <c r="E3164" s="5">
        <v>37917.0</v>
      </c>
      <c r="F3164" s="1" t="s">
        <v>53</v>
      </c>
      <c r="G3164" s="1" t="s">
        <v>17</v>
      </c>
      <c r="H3164" s="1" t="s">
        <v>18</v>
      </c>
      <c r="I3164" s="3">
        <f>+2250797025298</f>
        <v>2250797025298</v>
      </c>
      <c r="J3164" s="3">
        <f>+2250777524376</f>
        <v>2250777524376</v>
      </c>
      <c r="K3164" s="1" t="s">
        <v>19</v>
      </c>
      <c r="L3164" s="4" t="s">
        <v>10770</v>
      </c>
    </row>
    <row r="3165">
      <c r="A3165" s="1" t="s">
        <v>12</v>
      </c>
      <c r="B3165" s="1" t="s">
        <v>10771</v>
      </c>
      <c r="C3165" s="1" t="s">
        <v>10765</v>
      </c>
      <c r="D3165" s="1" t="s">
        <v>10772</v>
      </c>
      <c r="E3165" s="2">
        <v>38238.0</v>
      </c>
      <c r="F3165" s="1" t="s">
        <v>138</v>
      </c>
      <c r="G3165" s="1" t="s">
        <v>31</v>
      </c>
      <c r="H3165" s="1" t="s">
        <v>32</v>
      </c>
      <c r="I3165" s="3">
        <f>+2250748544595</f>
        <v>2250748544595</v>
      </c>
      <c r="J3165" s="3">
        <f>+2250759485103</f>
        <v>2250759485103</v>
      </c>
      <c r="K3165" s="1" t="s">
        <v>19</v>
      </c>
      <c r="L3165" s="4" t="s">
        <v>10773</v>
      </c>
    </row>
    <row r="3166">
      <c r="A3166" s="1" t="s">
        <v>12</v>
      </c>
      <c r="B3166" s="1" t="s">
        <v>10774</v>
      </c>
      <c r="C3166" s="1" t="s">
        <v>10765</v>
      </c>
      <c r="D3166" s="1" t="s">
        <v>10775</v>
      </c>
      <c r="E3166" s="2">
        <v>38834.0</v>
      </c>
      <c r="F3166" s="1" t="s">
        <v>53</v>
      </c>
      <c r="G3166" s="1" t="s">
        <v>25</v>
      </c>
      <c r="H3166" s="1" t="s">
        <v>18</v>
      </c>
      <c r="I3166" s="3">
        <f>+2250758003129</f>
        <v>2250758003129</v>
      </c>
      <c r="J3166" s="3">
        <f>+2250709357042</f>
        <v>2250709357042</v>
      </c>
      <c r="K3166" s="1" t="s">
        <v>19</v>
      </c>
      <c r="L3166" s="4" t="s">
        <v>10776</v>
      </c>
    </row>
    <row r="3167">
      <c r="A3167" s="1" t="s">
        <v>12</v>
      </c>
      <c r="B3167" s="1" t="s">
        <v>10777</v>
      </c>
      <c r="C3167" s="1" t="s">
        <v>10765</v>
      </c>
      <c r="D3167" s="1" t="s">
        <v>10778</v>
      </c>
      <c r="E3167" s="5">
        <v>38706.0</v>
      </c>
      <c r="F3167" s="1" t="s">
        <v>16</v>
      </c>
      <c r="G3167" s="1" t="s">
        <v>25</v>
      </c>
      <c r="H3167" s="1" t="s">
        <v>18</v>
      </c>
      <c r="I3167" s="3">
        <f>+2250170231572</f>
        <v>2250170231572</v>
      </c>
      <c r="J3167" s="3">
        <f>+2250779824699</f>
        <v>2250779824699</v>
      </c>
      <c r="K3167" s="1" t="s">
        <v>19</v>
      </c>
      <c r="L3167" s="4" t="s">
        <v>10779</v>
      </c>
    </row>
    <row r="3168">
      <c r="A3168" s="1" t="s">
        <v>12</v>
      </c>
      <c r="B3168" s="1" t="s">
        <v>10780</v>
      </c>
      <c r="C3168" s="1" t="s">
        <v>10765</v>
      </c>
      <c r="D3168" s="1" t="s">
        <v>10781</v>
      </c>
      <c r="E3168" s="2">
        <v>37669.0</v>
      </c>
      <c r="F3168" s="1" t="s">
        <v>24</v>
      </c>
      <c r="G3168" s="1" t="s">
        <v>82</v>
      </c>
      <c r="H3168" s="1" t="s">
        <v>18</v>
      </c>
      <c r="I3168" s="3">
        <f>+2250502906738</f>
        <v>2250502906738</v>
      </c>
      <c r="J3168" s="3">
        <f>+2250758721913</f>
        <v>2250758721913</v>
      </c>
      <c r="K3168" s="1" t="s">
        <v>19</v>
      </c>
      <c r="L3168" s="4" t="s">
        <v>10782</v>
      </c>
    </row>
    <row r="3169">
      <c r="A3169" s="1" t="s">
        <v>12</v>
      </c>
      <c r="B3169" s="1" t="s">
        <v>10783</v>
      </c>
      <c r="C3169" s="1" t="s">
        <v>10765</v>
      </c>
      <c r="D3169" s="1" t="s">
        <v>10784</v>
      </c>
      <c r="E3169" s="2">
        <v>37452.0</v>
      </c>
      <c r="F3169" s="1" t="s">
        <v>53</v>
      </c>
      <c r="G3169" s="1" t="s">
        <v>17</v>
      </c>
      <c r="H3169" s="1" t="s">
        <v>18</v>
      </c>
      <c r="I3169" s="3">
        <f>+2250575910479</f>
        <v>2250575910479</v>
      </c>
      <c r="J3169" s="3">
        <f>+2250707339585</f>
        <v>2250707339585</v>
      </c>
      <c r="K3169" s="1" t="s">
        <v>19</v>
      </c>
      <c r="L3169" s="4" t="s">
        <v>10785</v>
      </c>
    </row>
    <row r="3170">
      <c r="A3170" s="1" t="s">
        <v>12</v>
      </c>
      <c r="B3170" s="1" t="s">
        <v>10786</v>
      </c>
      <c r="C3170" s="1" t="s">
        <v>10765</v>
      </c>
      <c r="D3170" s="1" t="s">
        <v>10787</v>
      </c>
      <c r="E3170" s="2">
        <v>36780.0</v>
      </c>
      <c r="F3170" s="1" t="s">
        <v>92</v>
      </c>
      <c r="G3170" s="1" t="s">
        <v>76</v>
      </c>
      <c r="H3170" s="1" t="s">
        <v>32</v>
      </c>
      <c r="I3170" s="3">
        <f>+2250789242693</f>
        <v>2250789242693</v>
      </c>
      <c r="J3170" s="3">
        <f>+2250749108795</f>
        <v>2250749108795</v>
      </c>
      <c r="K3170" s="1" t="s">
        <v>19</v>
      </c>
      <c r="L3170" s="4" t="s">
        <v>10788</v>
      </c>
    </row>
    <row r="3171">
      <c r="A3171" s="1" t="s">
        <v>12</v>
      </c>
      <c r="B3171" s="1" t="s">
        <v>10789</v>
      </c>
      <c r="C3171" s="1" t="s">
        <v>10765</v>
      </c>
      <c r="D3171" s="1" t="s">
        <v>10790</v>
      </c>
      <c r="E3171" s="2">
        <v>37075.0</v>
      </c>
      <c r="F3171" s="1" t="s">
        <v>48</v>
      </c>
      <c r="G3171" s="1" t="s">
        <v>31</v>
      </c>
      <c r="H3171" s="1" t="s">
        <v>32</v>
      </c>
      <c r="I3171" s="3">
        <f>+2250747502881</f>
        <v>2250747502881</v>
      </c>
      <c r="J3171" s="3">
        <f>+2250103241949</f>
        <v>2250103241949</v>
      </c>
      <c r="K3171" s="1" t="s">
        <v>19</v>
      </c>
      <c r="L3171" s="4" t="s">
        <v>10791</v>
      </c>
    </row>
    <row r="3172">
      <c r="A3172" s="1" t="s">
        <v>12</v>
      </c>
      <c r="B3172" s="1" t="s">
        <v>10792</v>
      </c>
      <c r="C3172" s="1" t="s">
        <v>10765</v>
      </c>
      <c r="D3172" s="1" t="s">
        <v>10793</v>
      </c>
      <c r="E3172" s="5">
        <v>38676.0</v>
      </c>
      <c r="F3172" s="1" t="s">
        <v>53</v>
      </c>
      <c r="G3172" s="1" t="s">
        <v>17</v>
      </c>
      <c r="H3172" s="1" t="s">
        <v>18</v>
      </c>
      <c r="I3172" s="3">
        <f>+2250759973315</f>
        <v>2250759973315</v>
      </c>
      <c r="J3172" s="3">
        <f>+2250757502208</f>
        <v>2250757502208</v>
      </c>
      <c r="K3172" s="1" t="s">
        <v>19</v>
      </c>
      <c r="L3172" s="4" t="s">
        <v>10794</v>
      </c>
    </row>
    <row r="3173">
      <c r="A3173" s="1" t="s">
        <v>12</v>
      </c>
      <c r="B3173" s="1" t="s">
        <v>10795</v>
      </c>
      <c r="C3173" s="1" t="s">
        <v>10796</v>
      </c>
      <c r="D3173" s="1" t="s">
        <v>10797</v>
      </c>
      <c r="E3173" s="2">
        <v>35539.0</v>
      </c>
      <c r="F3173" s="1" t="s">
        <v>70</v>
      </c>
      <c r="G3173" s="1" t="s">
        <v>76</v>
      </c>
      <c r="H3173" s="1" t="s">
        <v>32</v>
      </c>
      <c r="I3173" s="3">
        <f>+2250707150395</f>
        <v>2250707150395</v>
      </c>
      <c r="J3173" s="3">
        <f>+2250506232029</f>
        <v>2250506232029</v>
      </c>
      <c r="K3173" s="1" t="s">
        <v>19</v>
      </c>
      <c r="L3173" s="4" t="s">
        <v>10798</v>
      </c>
    </row>
    <row r="3174">
      <c r="A3174" s="1" t="s">
        <v>12</v>
      </c>
      <c r="B3174" s="1" t="s">
        <v>10799</v>
      </c>
      <c r="C3174" s="1" t="s">
        <v>1610</v>
      </c>
      <c r="D3174" s="1" t="s">
        <v>10800</v>
      </c>
      <c r="E3174" s="2">
        <v>35926.0</v>
      </c>
      <c r="F3174" s="1" t="s">
        <v>16</v>
      </c>
      <c r="G3174" s="1" t="s">
        <v>17</v>
      </c>
      <c r="H3174" s="1" t="s">
        <v>18</v>
      </c>
      <c r="I3174" s="3">
        <f>+2250777178891</f>
        <v>2250777178891</v>
      </c>
      <c r="J3174" s="3">
        <f>+2250101386812</f>
        <v>2250101386812</v>
      </c>
      <c r="K3174" s="1" t="s">
        <v>19</v>
      </c>
      <c r="L3174" s="4" t="s">
        <v>10801</v>
      </c>
    </row>
    <row r="3175">
      <c r="A3175" s="1" t="s">
        <v>12</v>
      </c>
      <c r="B3175" s="1" t="s">
        <v>10802</v>
      </c>
      <c r="C3175" s="1" t="s">
        <v>10803</v>
      </c>
      <c r="D3175" s="1" t="s">
        <v>10804</v>
      </c>
      <c r="E3175" s="2">
        <v>37019.0</v>
      </c>
      <c r="F3175" s="1" t="s">
        <v>138</v>
      </c>
      <c r="G3175" s="1" t="s">
        <v>76</v>
      </c>
      <c r="H3175" s="1" t="s">
        <v>32</v>
      </c>
      <c r="I3175" s="3">
        <f>+2250789048378</f>
        <v>2250789048378</v>
      </c>
      <c r="J3175" s="3">
        <f>+2250788782463</f>
        <v>2250788782463</v>
      </c>
      <c r="K3175" s="1" t="s">
        <v>8285</v>
      </c>
      <c r="L3175" s="4" t="s">
        <v>10805</v>
      </c>
    </row>
    <row r="3176">
      <c r="A3176" s="1" t="s">
        <v>12</v>
      </c>
      <c r="B3176" s="1" t="s">
        <v>10806</v>
      </c>
      <c r="C3176" s="1" t="s">
        <v>10807</v>
      </c>
      <c r="D3176" s="1" t="s">
        <v>10808</v>
      </c>
      <c r="E3176" s="2">
        <v>36394.0</v>
      </c>
      <c r="F3176" s="1" t="s">
        <v>92</v>
      </c>
      <c r="G3176" s="1" t="s">
        <v>76</v>
      </c>
      <c r="H3176" s="1" t="s">
        <v>32</v>
      </c>
      <c r="I3176" s="3">
        <f>+2250554460988</f>
        <v>2250554460988</v>
      </c>
      <c r="J3176" s="3">
        <f>+2250709699441</f>
        <v>2250709699441</v>
      </c>
      <c r="K3176" s="1" t="s">
        <v>19</v>
      </c>
      <c r="L3176" s="4" t="s">
        <v>10809</v>
      </c>
    </row>
    <row r="3177">
      <c r="A3177" s="1" t="s">
        <v>12</v>
      </c>
      <c r="B3177" s="1" t="s">
        <v>10810</v>
      </c>
      <c r="C3177" s="1" t="s">
        <v>10811</v>
      </c>
      <c r="D3177" s="1" t="s">
        <v>10812</v>
      </c>
      <c r="E3177" s="2">
        <v>37656.0</v>
      </c>
      <c r="F3177" s="1" t="s">
        <v>62</v>
      </c>
      <c r="G3177" s="1" t="s">
        <v>17</v>
      </c>
      <c r="H3177" s="1" t="s">
        <v>18</v>
      </c>
      <c r="I3177" s="3">
        <f>+2250777816015</f>
        <v>2250777816015</v>
      </c>
      <c r="J3177" s="3">
        <f>+2250171068123</f>
        <v>2250171068123</v>
      </c>
      <c r="K3177" s="1" t="s">
        <v>19</v>
      </c>
      <c r="L3177" s="4" t="s">
        <v>10813</v>
      </c>
    </row>
    <row r="3178">
      <c r="A3178" s="1" t="s">
        <v>12</v>
      </c>
      <c r="B3178" s="1" t="s">
        <v>10814</v>
      </c>
      <c r="C3178" s="1" t="s">
        <v>10815</v>
      </c>
      <c r="D3178" s="1" t="s">
        <v>10816</v>
      </c>
      <c r="E3178" s="5">
        <v>38303.0</v>
      </c>
      <c r="F3178" s="1" t="s">
        <v>16</v>
      </c>
      <c r="G3178" s="1" t="s">
        <v>25</v>
      </c>
      <c r="H3178" s="1" t="s">
        <v>18</v>
      </c>
      <c r="I3178" s="3">
        <f>+2250705382496</f>
        <v>2250705382496</v>
      </c>
      <c r="J3178" s="3">
        <f>+2250757919013</f>
        <v>2250757919013</v>
      </c>
      <c r="K3178" s="1" t="s">
        <v>19</v>
      </c>
      <c r="L3178" s="4" t="s">
        <v>10817</v>
      </c>
    </row>
    <row r="3179">
      <c r="A3179" s="1" t="s">
        <v>12</v>
      </c>
      <c r="B3179" s="1" t="s">
        <v>10818</v>
      </c>
      <c r="C3179" s="1" t="s">
        <v>10819</v>
      </c>
      <c r="D3179" s="1" t="s">
        <v>10820</v>
      </c>
      <c r="E3179" s="2">
        <v>37031.0</v>
      </c>
      <c r="F3179" s="1" t="s">
        <v>16</v>
      </c>
      <c r="G3179" s="1" t="s">
        <v>82</v>
      </c>
      <c r="H3179" s="1" t="s">
        <v>18</v>
      </c>
      <c r="I3179" s="3">
        <f>+2250778853063</f>
        <v>2250778853063</v>
      </c>
      <c r="J3179" s="3">
        <f>+2250584383325</f>
        <v>2250584383325</v>
      </c>
      <c r="K3179" s="1" t="s">
        <v>19</v>
      </c>
      <c r="L3179" s="4" t="s">
        <v>10821</v>
      </c>
    </row>
    <row r="3180">
      <c r="A3180" s="1" t="s">
        <v>12</v>
      </c>
      <c r="B3180" s="1" t="s">
        <v>10822</v>
      </c>
      <c r="C3180" s="1" t="s">
        <v>10823</v>
      </c>
      <c r="D3180" s="1" t="s">
        <v>10824</v>
      </c>
      <c r="E3180" s="2">
        <v>38504.0</v>
      </c>
      <c r="F3180" s="1" t="s">
        <v>75</v>
      </c>
      <c r="G3180" s="1" t="s">
        <v>76</v>
      </c>
      <c r="H3180" s="1" t="s">
        <v>32</v>
      </c>
      <c r="I3180" s="3">
        <f>+2250700375010</f>
        <v>2250700375010</v>
      </c>
      <c r="J3180" s="3">
        <f>+2250506170030</f>
        <v>2250506170030</v>
      </c>
      <c r="K3180" s="1" t="s">
        <v>19</v>
      </c>
      <c r="L3180" s="4" t="s">
        <v>10825</v>
      </c>
    </row>
    <row r="3181">
      <c r="A3181" s="1" t="s">
        <v>12</v>
      </c>
      <c r="B3181" s="1" t="s">
        <v>10826</v>
      </c>
      <c r="C3181" s="1" t="s">
        <v>10827</v>
      </c>
      <c r="D3181" s="1" t="s">
        <v>10828</v>
      </c>
      <c r="E3181" s="5">
        <v>37614.0</v>
      </c>
      <c r="F3181" s="1" t="s">
        <v>155</v>
      </c>
      <c r="G3181" s="1" t="s">
        <v>76</v>
      </c>
      <c r="H3181" s="1" t="s">
        <v>32</v>
      </c>
      <c r="I3181" s="3">
        <f>+2250767433059</f>
        <v>2250767433059</v>
      </c>
      <c r="J3181" s="3">
        <f>+2250708733139</f>
        <v>2250708733139</v>
      </c>
      <c r="K3181" s="1" t="s">
        <v>19</v>
      </c>
      <c r="L3181" s="4" t="s">
        <v>10829</v>
      </c>
    </row>
    <row r="3182">
      <c r="A3182" s="1" t="s">
        <v>12</v>
      </c>
      <c r="B3182" s="1" t="s">
        <v>10830</v>
      </c>
      <c r="C3182" s="1" t="s">
        <v>4960</v>
      </c>
      <c r="D3182" s="1" t="s">
        <v>10831</v>
      </c>
      <c r="E3182" s="2">
        <v>38506.0</v>
      </c>
      <c r="F3182" s="1" t="s">
        <v>16</v>
      </c>
      <c r="G3182" s="1" t="s">
        <v>25</v>
      </c>
      <c r="H3182" s="1" t="s">
        <v>18</v>
      </c>
      <c r="I3182" s="3">
        <f>+2250565203379</f>
        <v>2250565203379</v>
      </c>
      <c r="J3182" s="3">
        <f>+2250505873769</f>
        <v>2250505873769</v>
      </c>
      <c r="K3182" s="1" t="s">
        <v>19</v>
      </c>
      <c r="L3182" s="4" t="s">
        <v>10832</v>
      </c>
    </row>
    <row r="3183">
      <c r="A3183" s="1" t="s">
        <v>12</v>
      </c>
      <c r="B3183" s="1" t="s">
        <v>10833</v>
      </c>
      <c r="C3183" s="1" t="s">
        <v>10834</v>
      </c>
      <c r="D3183" s="1" t="s">
        <v>10835</v>
      </c>
      <c r="E3183" s="2">
        <v>38434.0</v>
      </c>
      <c r="F3183" s="1" t="s">
        <v>48</v>
      </c>
      <c r="G3183" s="1" t="s">
        <v>76</v>
      </c>
      <c r="H3183" s="1" t="s">
        <v>32</v>
      </c>
      <c r="I3183" s="3">
        <f>+2250778210690</f>
        <v>2250778210690</v>
      </c>
      <c r="J3183" s="3">
        <f>+2250797004830</f>
        <v>2250797004830</v>
      </c>
      <c r="K3183" s="1" t="s">
        <v>19</v>
      </c>
      <c r="L3183" s="4" t="s">
        <v>10836</v>
      </c>
    </row>
    <row r="3184">
      <c r="A3184" s="1" t="s">
        <v>12</v>
      </c>
      <c r="B3184" s="1" t="s">
        <v>10837</v>
      </c>
      <c r="C3184" s="1" t="s">
        <v>10834</v>
      </c>
      <c r="D3184" s="1" t="s">
        <v>1671</v>
      </c>
      <c r="E3184" s="5">
        <v>38351.0</v>
      </c>
      <c r="F3184" s="1" t="s">
        <v>351</v>
      </c>
      <c r="G3184" s="1" t="s">
        <v>76</v>
      </c>
      <c r="H3184" s="1" t="s">
        <v>32</v>
      </c>
      <c r="I3184" s="3">
        <f>+2250576508290</f>
        <v>2250576508290</v>
      </c>
      <c r="J3184" s="3">
        <f>+2250102398583</f>
        <v>2250102398583</v>
      </c>
      <c r="K3184" s="1" t="s">
        <v>19</v>
      </c>
      <c r="L3184" s="4" t="s">
        <v>10838</v>
      </c>
    </row>
    <row r="3185">
      <c r="A3185" s="1" t="s">
        <v>12</v>
      </c>
      <c r="B3185" s="1" t="s">
        <v>10839</v>
      </c>
      <c r="C3185" s="1" t="s">
        <v>10834</v>
      </c>
      <c r="D3185" s="1" t="s">
        <v>178</v>
      </c>
      <c r="E3185" s="2">
        <v>38159.0</v>
      </c>
      <c r="F3185" s="1" t="s">
        <v>37</v>
      </c>
      <c r="G3185" s="1" t="s">
        <v>82</v>
      </c>
      <c r="H3185" s="1" t="s">
        <v>18</v>
      </c>
      <c r="I3185" s="3">
        <f>+2250141055225</f>
        <v>2250141055225</v>
      </c>
      <c r="J3185" s="3">
        <f>+2250101365353</f>
        <v>2250101365353</v>
      </c>
      <c r="K3185" s="1" t="s">
        <v>19</v>
      </c>
      <c r="L3185" s="4" t="s">
        <v>10840</v>
      </c>
    </row>
    <row r="3186">
      <c r="A3186" s="1" t="s">
        <v>12</v>
      </c>
      <c r="B3186" s="1" t="s">
        <v>10841</v>
      </c>
      <c r="C3186" s="1" t="s">
        <v>10834</v>
      </c>
      <c r="D3186" s="1" t="s">
        <v>178</v>
      </c>
      <c r="E3186" s="2">
        <v>37805.0</v>
      </c>
      <c r="F3186" s="1" t="s">
        <v>138</v>
      </c>
      <c r="G3186" s="1" t="s">
        <v>76</v>
      </c>
      <c r="H3186" s="1" t="s">
        <v>32</v>
      </c>
      <c r="I3186" s="3">
        <f>+2250554385395</f>
        <v>2250554385395</v>
      </c>
      <c r="J3186" s="3">
        <f>+22505806230</f>
        <v>22505806230</v>
      </c>
      <c r="K3186" s="1" t="s">
        <v>19</v>
      </c>
      <c r="L3186" s="4" t="s">
        <v>10842</v>
      </c>
    </row>
    <row r="3187">
      <c r="A3187" s="1" t="s">
        <v>12</v>
      </c>
      <c r="B3187" s="1" t="s">
        <v>10843</v>
      </c>
      <c r="C3187" s="1" t="s">
        <v>10834</v>
      </c>
      <c r="D3187" s="1" t="s">
        <v>10844</v>
      </c>
      <c r="E3187" s="2">
        <v>38066.0</v>
      </c>
      <c r="F3187" s="1" t="s">
        <v>62</v>
      </c>
      <c r="G3187" s="1" t="s">
        <v>17</v>
      </c>
      <c r="H3187" s="1" t="s">
        <v>18</v>
      </c>
      <c r="I3187" s="3">
        <f>+2250797167830</f>
        <v>2250797167830</v>
      </c>
      <c r="J3187" s="3">
        <f>+2250757111830</f>
        <v>2250757111830</v>
      </c>
      <c r="K3187" s="1" t="s">
        <v>19</v>
      </c>
      <c r="L3187" s="4" t="s">
        <v>10845</v>
      </c>
    </row>
    <row r="3188">
      <c r="A3188" s="1" t="s">
        <v>12</v>
      </c>
      <c r="B3188" s="1" t="s">
        <v>10846</v>
      </c>
      <c r="C3188" s="1" t="s">
        <v>10834</v>
      </c>
      <c r="D3188" s="1" t="s">
        <v>10847</v>
      </c>
      <c r="E3188" s="2">
        <v>38186.0</v>
      </c>
      <c r="F3188" s="1" t="s">
        <v>75</v>
      </c>
      <c r="G3188" s="1" t="s">
        <v>76</v>
      </c>
      <c r="H3188" s="1" t="s">
        <v>32</v>
      </c>
      <c r="I3188" s="3">
        <f>+2250759598312</f>
        <v>2250759598312</v>
      </c>
      <c r="J3188" s="3">
        <f>+2250505620146</f>
        <v>2250505620146</v>
      </c>
      <c r="K3188" s="1" t="s">
        <v>19</v>
      </c>
      <c r="L3188" s="4" t="s">
        <v>10848</v>
      </c>
    </row>
    <row r="3189">
      <c r="A3189" s="1" t="s">
        <v>12</v>
      </c>
      <c r="B3189" s="1" t="s">
        <v>10849</v>
      </c>
      <c r="C3189" s="1" t="s">
        <v>10834</v>
      </c>
      <c r="D3189" s="1" t="s">
        <v>10850</v>
      </c>
      <c r="E3189" s="5">
        <v>37194.0</v>
      </c>
      <c r="F3189" s="1" t="s">
        <v>75</v>
      </c>
      <c r="G3189" s="1" t="s">
        <v>31</v>
      </c>
      <c r="H3189" s="1" t="s">
        <v>32</v>
      </c>
      <c r="I3189" s="3">
        <f>+2250787230822</f>
        <v>2250787230822</v>
      </c>
      <c r="J3189" s="3">
        <f>+2250707821212</f>
        <v>2250707821212</v>
      </c>
      <c r="K3189" s="1" t="s">
        <v>19</v>
      </c>
      <c r="L3189" s="4" t="s">
        <v>10851</v>
      </c>
    </row>
    <row r="3190">
      <c r="A3190" s="1" t="s">
        <v>12</v>
      </c>
      <c r="B3190" s="1" t="s">
        <v>10852</v>
      </c>
      <c r="C3190" s="1" t="s">
        <v>10834</v>
      </c>
      <c r="D3190" s="1" t="s">
        <v>3437</v>
      </c>
      <c r="E3190" s="2">
        <v>36253.0</v>
      </c>
      <c r="F3190" s="1" t="s">
        <v>138</v>
      </c>
      <c r="G3190" s="1" t="s">
        <v>76</v>
      </c>
      <c r="H3190" s="1" t="s">
        <v>32</v>
      </c>
      <c r="I3190" s="3">
        <f>+2250575132704</f>
        <v>2250575132704</v>
      </c>
      <c r="J3190" s="3">
        <f>+2250505423030</f>
        <v>2250505423030</v>
      </c>
      <c r="K3190" s="1" t="s">
        <v>19</v>
      </c>
      <c r="L3190" s="4" t="s">
        <v>10853</v>
      </c>
    </row>
    <row r="3191">
      <c r="A3191" s="1" t="s">
        <v>12</v>
      </c>
      <c r="B3191" s="1" t="s">
        <v>10854</v>
      </c>
      <c r="C3191" s="1" t="s">
        <v>10834</v>
      </c>
      <c r="D3191" s="1" t="s">
        <v>10855</v>
      </c>
      <c r="E3191" s="2">
        <v>38505.0</v>
      </c>
      <c r="F3191" s="1" t="s">
        <v>53</v>
      </c>
      <c r="G3191" s="1" t="s">
        <v>25</v>
      </c>
      <c r="H3191" s="1" t="s">
        <v>18</v>
      </c>
      <c r="I3191" s="3">
        <f>+2250748893361</f>
        <v>2250748893361</v>
      </c>
      <c r="J3191" s="3">
        <f>+2250141519077</f>
        <v>2250141519077</v>
      </c>
      <c r="K3191" s="1" t="s">
        <v>19</v>
      </c>
      <c r="L3191" s="4" t="s">
        <v>10856</v>
      </c>
    </row>
    <row r="3192">
      <c r="A3192" s="1" t="s">
        <v>12</v>
      </c>
      <c r="B3192" s="1" t="s">
        <v>10857</v>
      </c>
      <c r="C3192" s="1" t="s">
        <v>10834</v>
      </c>
      <c r="D3192" s="1" t="s">
        <v>10858</v>
      </c>
      <c r="E3192" s="2">
        <v>36961.0</v>
      </c>
      <c r="F3192" s="1" t="s">
        <v>92</v>
      </c>
      <c r="G3192" s="1" t="s">
        <v>31</v>
      </c>
      <c r="H3192" s="1" t="s">
        <v>32</v>
      </c>
      <c r="I3192" s="3">
        <f>+2250565004967</f>
        <v>2250565004967</v>
      </c>
      <c r="J3192" s="3">
        <f>+2250544483030</f>
        <v>2250544483030</v>
      </c>
      <c r="K3192" s="1" t="s">
        <v>19</v>
      </c>
      <c r="L3192" s="4" t="s">
        <v>10859</v>
      </c>
    </row>
    <row r="3193">
      <c r="A3193" s="1" t="s">
        <v>12</v>
      </c>
      <c r="B3193" s="1" t="s">
        <v>10860</v>
      </c>
      <c r="C3193" s="1" t="s">
        <v>10861</v>
      </c>
      <c r="D3193" s="1" t="s">
        <v>10862</v>
      </c>
      <c r="E3193" s="2">
        <v>37347.0</v>
      </c>
      <c r="F3193" s="1" t="s">
        <v>53</v>
      </c>
      <c r="G3193" s="1" t="s">
        <v>25</v>
      </c>
      <c r="H3193" s="1" t="s">
        <v>18</v>
      </c>
      <c r="I3193" s="3">
        <f>+2250708272836</f>
        <v>2250708272836</v>
      </c>
      <c r="J3193" s="3">
        <f>+2250708552550</f>
        <v>2250708552550</v>
      </c>
      <c r="K3193" s="1" t="s">
        <v>19</v>
      </c>
      <c r="L3193" s="4" t="s">
        <v>10863</v>
      </c>
    </row>
    <row r="3194">
      <c r="A3194" s="1" t="s">
        <v>12</v>
      </c>
      <c r="B3194" s="1" t="s">
        <v>10864</v>
      </c>
      <c r="C3194" s="1" t="s">
        <v>10865</v>
      </c>
      <c r="D3194" s="1" t="s">
        <v>10866</v>
      </c>
      <c r="E3194" s="2">
        <v>37990.0</v>
      </c>
      <c r="F3194" s="1" t="s">
        <v>62</v>
      </c>
      <c r="G3194" s="1" t="s">
        <v>17</v>
      </c>
      <c r="H3194" s="1" t="s">
        <v>18</v>
      </c>
      <c r="I3194" s="3">
        <f>+2250596567331</f>
        <v>2250596567331</v>
      </c>
      <c r="J3194" s="3">
        <f>+2250505451931</f>
        <v>2250505451931</v>
      </c>
      <c r="K3194" s="1" t="s">
        <v>19</v>
      </c>
      <c r="L3194" s="4" t="s">
        <v>10867</v>
      </c>
    </row>
    <row r="3195">
      <c r="A3195" s="1" t="s">
        <v>12</v>
      </c>
      <c r="B3195" s="1" t="s">
        <v>10868</v>
      </c>
      <c r="C3195" s="1" t="s">
        <v>10869</v>
      </c>
      <c r="D3195" s="1" t="s">
        <v>10870</v>
      </c>
      <c r="E3195" s="2">
        <v>37396.0</v>
      </c>
      <c r="F3195" s="1" t="s">
        <v>62</v>
      </c>
      <c r="G3195" s="1" t="s">
        <v>17</v>
      </c>
      <c r="H3195" s="1" t="s">
        <v>18</v>
      </c>
      <c r="I3195" s="3">
        <f>+2250789189730</f>
        <v>2250789189730</v>
      </c>
      <c r="J3195" s="3">
        <f>+2250586096564</f>
        <v>2250586096564</v>
      </c>
      <c r="K3195" s="1" t="s">
        <v>19</v>
      </c>
      <c r="L3195" s="4" t="s">
        <v>10871</v>
      </c>
    </row>
    <row r="3196">
      <c r="A3196" s="1" t="s">
        <v>12</v>
      </c>
      <c r="B3196" s="1" t="s">
        <v>10872</v>
      </c>
      <c r="C3196" s="1" t="s">
        <v>10873</v>
      </c>
      <c r="D3196" s="1" t="s">
        <v>10874</v>
      </c>
      <c r="E3196" s="2">
        <v>38266.0</v>
      </c>
      <c r="F3196" s="1" t="s">
        <v>48</v>
      </c>
      <c r="G3196" s="1" t="s">
        <v>76</v>
      </c>
      <c r="H3196" s="1" t="s">
        <v>32</v>
      </c>
      <c r="I3196" s="3">
        <f>+2250153409831</f>
        <v>2250153409831</v>
      </c>
      <c r="J3196" s="3">
        <f>+2250574538488</f>
        <v>2250574538488</v>
      </c>
      <c r="K3196" s="1" t="s">
        <v>19</v>
      </c>
      <c r="L3196" s="4" t="s">
        <v>10875</v>
      </c>
    </row>
    <row r="3197">
      <c r="A3197" s="1" t="s">
        <v>12</v>
      </c>
      <c r="B3197" s="1" t="s">
        <v>10876</v>
      </c>
      <c r="C3197" s="1" t="s">
        <v>10873</v>
      </c>
      <c r="D3197" s="1" t="s">
        <v>10877</v>
      </c>
      <c r="E3197" s="2">
        <v>37853.0</v>
      </c>
      <c r="F3197" s="1" t="s">
        <v>53</v>
      </c>
      <c r="G3197" s="1" t="s">
        <v>17</v>
      </c>
      <c r="H3197" s="1" t="s">
        <v>18</v>
      </c>
      <c r="I3197" s="3">
        <f t="shared" ref="I3197:J3197" si="105">+2250757627488</f>
        <v>2250757627488</v>
      </c>
      <c r="J3197" s="3">
        <f t="shared" si="105"/>
        <v>2250757627488</v>
      </c>
      <c r="K3197" s="1" t="s">
        <v>19</v>
      </c>
      <c r="L3197" s="4" t="s">
        <v>10878</v>
      </c>
    </row>
    <row r="3198">
      <c r="A3198" s="1" t="s">
        <v>12</v>
      </c>
      <c r="B3198" s="1" t="s">
        <v>10879</v>
      </c>
      <c r="C3198" s="1" t="s">
        <v>10873</v>
      </c>
      <c r="D3198" s="1" t="s">
        <v>10880</v>
      </c>
      <c r="E3198" s="2">
        <v>38020.0</v>
      </c>
      <c r="F3198" s="1" t="s">
        <v>155</v>
      </c>
      <c r="G3198" s="1" t="s">
        <v>76</v>
      </c>
      <c r="H3198" s="1" t="s">
        <v>32</v>
      </c>
      <c r="I3198" s="3">
        <f>+2250711122460</f>
        <v>2250711122460</v>
      </c>
      <c r="J3198" s="3">
        <f>+2250504702880</f>
        <v>2250504702880</v>
      </c>
      <c r="K3198" s="1" t="s">
        <v>19</v>
      </c>
      <c r="L3198" s="4" t="s">
        <v>10881</v>
      </c>
    </row>
    <row r="3199">
      <c r="A3199" s="1" t="s">
        <v>12</v>
      </c>
      <c r="B3199" s="1" t="s">
        <v>10882</v>
      </c>
      <c r="C3199" s="1" t="s">
        <v>10883</v>
      </c>
      <c r="D3199" s="1" t="s">
        <v>10884</v>
      </c>
      <c r="E3199" s="2">
        <v>37929.0</v>
      </c>
      <c r="F3199" s="1" t="s">
        <v>48</v>
      </c>
      <c r="G3199" s="1" t="s">
        <v>76</v>
      </c>
      <c r="H3199" s="1" t="s">
        <v>32</v>
      </c>
      <c r="I3199" s="3">
        <f>+2250702504419</f>
        <v>2250702504419</v>
      </c>
      <c r="J3199" s="3">
        <f>+2250707647029</f>
        <v>2250707647029</v>
      </c>
      <c r="K3199" s="1" t="s">
        <v>19</v>
      </c>
      <c r="L3199" s="4" t="s">
        <v>10885</v>
      </c>
    </row>
    <row r="3200">
      <c r="A3200" s="1" t="s">
        <v>12</v>
      </c>
      <c r="B3200" s="1" t="s">
        <v>10886</v>
      </c>
      <c r="C3200" s="1" t="s">
        <v>10883</v>
      </c>
      <c r="D3200" s="1" t="s">
        <v>10887</v>
      </c>
      <c r="E3200" s="2">
        <v>35494.0</v>
      </c>
      <c r="F3200" s="1" t="s">
        <v>182</v>
      </c>
      <c r="G3200" s="1" t="s">
        <v>82</v>
      </c>
      <c r="H3200" s="1" t="s">
        <v>18</v>
      </c>
      <c r="I3200" s="3">
        <f>+2250768825260</f>
        <v>2250768825260</v>
      </c>
      <c r="J3200" s="3">
        <f>+2250759311793</f>
        <v>2250759311793</v>
      </c>
      <c r="K3200" s="1" t="s">
        <v>19</v>
      </c>
      <c r="L3200" s="4" t="s">
        <v>10888</v>
      </c>
    </row>
    <row r="3201">
      <c r="A3201" s="1" t="s">
        <v>12</v>
      </c>
      <c r="B3201" s="1" t="s">
        <v>10889</v>
      </c>
      <c r="C3201" s="1" t="s">
        <v>10883</v>
      </c>
      <c r="D3201" s="1" t="s">
        <v>10890</v>
      </c>
      <c r="E3201" s="2">
        <v>37048.0</v>
      </c>
      <c r="F3201" s="1" t="s">
        <v>138</v>
      </c>
      <c r="G3201" s="1" t="s">
        <v>31</v>
      </c>
      <c r="H3201" s="1" t="s">
        <v>32</v>
      </c>
      <c r="I3201" s="3">
        <f>+2250596471594</f>
        <v>2250596471594</v>
      </c>
      <c r="J3201" s="3">
        <f>+2250749597121</f>
        <v>2250749597121</v>
      </c>
      <c r="K3201" s="1" t="s">
        <v>19</v>
      </c>
      <c r="L3201" s="4" t="s">
        <v>10891</v>
      </c>
    </row>
    <row r="3202">
      <c r="A3202" s="1" t="s">
        <v>12</v>
      </c>
      <c r="B3202" s="1" t="s">
        <v>10892</v>
      </c>
      <c r="C3202" s="1" t="s">
        <v>10883</v>
      </c>
      <c r="D3202" s="1" t="s">
        <v>10893</v>
      </c>
      <c r="E3202" s="2">
        <v>38367.0</v>
      </c>
      <c r="F3202" s="1" t="s">
        <v>16</v>
      </c>
      <c r="G3202" s="1" t="s">
        <v>25</v>
      </c>
      <c r="H3202" s="1" t="s">
        <v>18</v>
      </c>
      <c r="I3202" s="3">
        <f>+2250700423165</f>
        <v>2250700423165</v>
      </c>
      <c r="J3202" s="3">
        <f>+2250709916473</f>
        <v>2250709916473</v>
      </c>
      <c r="K3202" s="1" t="s">
        <v>19</v>
      </c>
      <c r="L3202" s="4" t="s">
        <v>10894</v>
      </c>
    </row>
    <row r="3203">
      <c r="A3203" s="1" t="s">
        <v>12</v>
      </c>
      <c r="B3203" s="1" t="s">
        <v>10895</v>
      </c>
      <c r="C3203" s="1" t="s">
        <v>10883</v>
      </c>
      <c r="D3203" s="1" t="s">
        <v>8846</v>
      </c>
      <c r="E3203" s="2">
        <v>37065.0</v>
      </c>
      <c r="F3203" s="1" t="s">
        <v>586</v>
      </c>
      <c r="G3203" s="1" t="s">
        <v>82</v>
      </c>
      <c r="H3203" s="1" t="s">
        <v>18</v>
      </c>
      <c r="I3203" s="3">
        <f>+2250767936337</f>
        <v>2250767936337</v>
      </c>
      <c r="J3203" s="3">
        <f>+2250707302523</f>
        <v>2250707302523</v>
      </c>
      <c r="K3203" s="1" t="s">
        <v>19</v>
      </c>
      <c r="L3203" s="4" t="s">
        <v>10896</v>
      </c>
    </row>
    <row r="3204">
      <c r="A3204" s="1" t="s">
        <v>12</v>
      </c>
      <c r="B3204" s="1" t="s">
        <v>10897</v>
      </c>
      <c r="C3204" s="1" t="s">
        <v>10883</v>
      </c>
      <c r="D3204" s="1" t="s">
        <v>10898</v>
      </c>
      <c r="E3204" s="2">
        <v>38491.0</v>
      </c>
      <c r="F3204" s="1" t="s">
        <v>138</v>
      </c>
      <c r="G3204" s="1" t="s">
        <v>76</v>
      </c>
      <c r="H3204" s="1" t="s">
        <v>32</v>
      </c>
      <c r="I3204" s="3">
        <f>+2250779102477</f>
        <v>2250779102477</v>
      </c>
      <c r="J3204" s="3">
        <f>+2250708034108</f>
        <v>2250708034108</v>
      </c>
      <c r="K3204" s="1" t="s">
        <v>19</v>
      </c>
      <c r="L3204" s="4" t="s">
        <v>10899</v>
      </c>
    </row>
    <row r="3205">
      <c r="A3205" s="1" t="s">
        <v>12</v>
      </c>
      <c r="B3205" s="1" t="s">
        <v>10900</v>
      </c>
      <c r="C3205" s="1" t="s">
        <v>10901</v>
      </c>
      <c r="D3205" s="1" t="s">
        <v>10902</v>
      </c>
      <c r="E3205" s="2">
        <v>36976.0</v>
      </c>
      <c r="F3205" s="1" t="s">
        <v>16</v>
      </c>
      <c r="G3205" s="1" t="s">
        <v>82</v>
      </c>
      <c r="H3205" s="1" t="s">
        <v>18</v>
      </c>
      <c r="I3205" s="3">
        <f>+2250172603057</f>
        <v>2250172603057</v>
      </c>
      <c r="J3205" s="3">
        <f>+2250506378913</f>
        <v>2250506378913</v>
      </c>
      <c r="K3205" s="1" t="s">
        <v>19</v>
      </c>
      <c r="L3205" s="4" t="s">
        <v>10903</v>
      </c>
    </row>
    <row r="3206">
      <c r="A3206" s="1" t="s">
        <v>12</v>
      </c>
      <c r="B3206" s="1" t="s">
        <v>10904</v>
      </c>
      <c r="C3206" s="1" t="s">
        <v>10901</v>
      </c>
      <c r="D3206" s="1" t="s">
        <v>10133</v>
      </c>
      <c r="E3206" s="2">
        <v>38012.0</v>
      </c>
      <c r="F3206" s="1" t="s">
        <v>16</v>
      </c>
      <c r="G3206" s="1" t="s">
        <v>17</v>
      </c>
      <c r="H3206" s="1" t="s">
        <v>18</v>
      </c>
      <c r="I3206" s="3">
        <f>+2250711660697</f>
        <v>2250711660697</v>
      </c>
      <c r="J3206" s="3">
        <f>+2250709399952</f>
        <v>2250709399952</v>
      </c>
      <c r="K3206" s="1" t="s">
        <v>19</v>
      </c>
      <c r="L3206" s="4" t="s">
        <v>10905</v>
      </c>
    </row>
    <row r="3207">
      <c r="A3207" s="1" t="s">
        <v>12</v>
      </c>
      <c r="B3207" s="1" t="s">
        <v>10906</v>
      </c>
      <c r="C3207" s="1" t="s">
        <v>10907</v>
      </c>
      <c r="D3207" s="1" t="s">
        <v>10908</v>
      </c>
      <c r="E3207" s="2">
        <v>38325.0</v>
      </c>
      <c r="F3207" s="1" t="s">
        <v>155</v>
      </c>
      <c r="G3207" s="1" t="s">
        <v>31</v>
      </c>
      <c r="H3207" s="1" t="s">
        <v>32</v>
      </c>
      <c r="I3207" s="3">
        <f>+2250556220105</f>
        <v>2250556220105</v>
      </c>
      <c r="J3207" s="3">
        <f>+2250556151780</f>
        <v>2250556151780</v>
      </c>
      <c r="K3207" s="1" t="s">
        <v>19</v>
      </c>
      <c r="L3207" s="4" t="s">
        <v>10909</v>
      </c>
    </row>
    <row r="3208">
      <c r="A3208" s="1" t="s">
        <v>12</v>
      </c>
      <c r="B3208" s="1" t="s">
        <v>10910</v>
      </c>
      <c r="C3208" s="1" t="s">
        <v>10911</v>
      </c>
      <c r="D3208" s="1" t="s">
        <v>10912</v>
      </c>
      <c r="E3208" s="2">
        <v>38800.0</v>
      </c>
      <c r="F3208" s="1" t="s">
        <v>53</v>
      </c>
      <c r="G3208" s="1" t="s">
        <v>25</v>
      </c>
      <c r="H3208" s="1" t="s">
        <v>18</v>
      </c>
      <c r="I3208" s="3">
        <f>+2250502642361</f>
        <v>2250502642361</v>
      </c>
      <c r="J3208" s="3">
        <f>+2250506459043</f>
        <v>2250506459043</v>
      </c>
      <c r="K3208" s="1" t="s">
        <v>19</v>
      </c>
      <c r="L3208" s="4" t="s">
        <v>10913</v>
      </c>
    </row>
    <row r="3209">
      <c r="A3209" s="1" t="s">
        <v>12</v>
      </c>
      <c r="B3209" s="1" t="s">
        <v>10914</v>
      </c>
      <c r="C3209" s="1" t="s">
        <v>10915</v>
      </c>
      <c r="D3209" s="1" t="s">
        <v>10916</v>
      </c>
      <c r="E3209" s="2">
        <v>38197.0</v>
      </c>
      <c r="F3209" s="1" t="s">
        <v>87</v>
      </c>
      <c r="G3209" s="1" t="s">
        <v>76</v>
      </c>
      <c r="H3209" s="1" t="s">
        <v>32</v>
      </c>
      <c r="I3209" s="3">
        <f>+2250787467305</f>
        <v>2250787467305</v>
      </c>
      <c r="J3209" s="3">
        <f>+2250707266644</f>
        <v>2250707266644</v>
      </c>
      <c r="K3209" s="1" t="s">
        <v>19</v>
      </c>
      <c r="L3209" s="4" t="s">
        <v>10917</v>
      </c>
    </row>
    <row r="3210">
      <c r="A3210" s="1" t="s">
        <v>12</v>
      </c>
      <c r="B3210" s="1" t="s">
        <v>10918</v>
      </c>
      <c r="C3210" s="1" t="s">
        <v>10919</v>
      </c>
      <c r="D3210" s="1" t="s">
        <v>10920</v>
      </c>
      <c r="E3210" s="2">
        <v>37272.0</v>
      </c>
      <c r="F3210" s="1" t="s">
        <v>16</v>
      </c>
      <c r="G3210" s="1" t="s">
        <v>17</v>
      </c>
      <c r="H3210" s="1" t="s">
        <v>18</v>
      </c>
      <c r="I3210" s="3">
        <f>+2250767653444</f>
        <v>2250767653444</v>
      </c>
      <c r="J3210" s="3">
        <f>+2250797797767</f>
        <v>2250797797767</v>
      </c>
      <c r="K3210" s="1" t="s">
        <v>19</v>
      </c>
      <c r="L3210" s="4" t="s">
        <v>10921</v>
      </c>
    </row>
    <row r="3211">
      <c r="A3211" s="1" t="s">
        <v>12</v>
      </c>
      <c r="B3211" s="1" t="s">
        <v>10922</v>
      </c>
      <c r="C3211" s="1" t="s">
        <v>10919</v>
      </c>
      <c r="D3211" s="1" t="s">
        <v>10923</v>
      </c>
      <c r="E3211" s="2">
        <v>36743.0</v>
      </c>
      <c r="F3211" s="1" t="s">
        <v>182</v>
      </c>
      <c r="G3211" s="1" t="s">
        <v>82</v>
      </c>
      <c r="H3211" s="1" t="s">
        <v>18</v>
      </c>
      <c r="I3211" s="3">
        <f>+2250758004549</f>
        <v>2250758004549</v>
      </c>
      <c r="J3211" s="3">
        <f>+2250707651218</f>
        <v>2250707651218</v>
      </c>
      <c r="K3211" s="1" t="s">
        <v>19</v>
      </c>
      <c r="L3211" s="4" t="s">
        <v>10924</v>
      </c>
    </row>
    <row r="3212">
      <c r="A3212" s="1" t="s">
        <v>12</v>
      </c>
      <c r="B3212" s="1" t="s">
        <v>10925</v>
      </c>
      <c r="C3212" s="1" t="s">
        <v>10919</v>
      </c>
      <c r="D3212" s="1" t="s">
        <v>10926</v>
      </c>
      <c r="E3212" s="2">
        <v>38488.0</v>
      </c>
      <c r="F3212" s="1" t="s">
        <v>53</v>
      </c>
      <c r="G3212" s="1" t="s">
        <v>25</v>
      </c>
      <c r="H3212" s="1" t="s">
        <v>18</v>
      </c>
      <c r="I3212" s="3">
        <f>+2250777189583</f>
        <v>2250777189583</v>
      </c>
      <c r="J3212" s="3">
        <f>+2250748794020</f>
        <v>2250748794020</v>
      </c>
      <c r="K3212" s="1" t="s">
        <v>19</v>
      </c>
      <c r="L3212" s="4" t="s">
        <v>10927</v>
      </c>
    </row>
    <row r="3213">
      <c r="A3213" s="1" t="s">
        <v>12</v>
      </c>
      <c r="B3213" s="1" t="s">
        <v>10928</v>
      </c>
      <c r="C3213" s="1" t="s">
        <v>10929</v>
      </c>
      <c r="D3213" s="1" t="s">
        <v>10930</v>
      </c>
      <c r="E3213" s="2">
        <v>38106.0</v>
      </c>
      <c r="F3213" s="1" t="s">
        <v>62</v>
      </c>
      <c r="G3213" s="1" t="s">
        <v>25</v>
      </c>
      <c r="H3213" s="1" t="s">
        <v>18</v>
      </c>
      <c r="I3213" s="3">
        <f>+2250575444195</f>
        <v>2250575444195</v>
      </c>
      <c r="J3213" s="3">
        <f>+2250757027606</f>
        <v>2250757027606</v>
      </c>
      <c r="K3213" s="1" t="s">
        <v>19</v>
      </c>
      <c r="L3213" s="4" t="s">
        <v>10931</v>
      </c>
    </row>
    <row r="3214">
      <c r="A3214" s="1" t="s">
        <v>12</v>
      </c>
      <c r="B3214" s="1" t="s">
        <v>10932</v>
      </c>
      <c r="C3214" s="1" t="s">
        <v>10933</v>
      </c>
      <c r="D3214" s="1" t="s">
        <v>10934</v>
      </c>
      <c r="E3214" s="2">
        <v>38392.0</v>
      </c>
      <c r="F3214" s="1" t="s">
        <v>155</v>
      </c>
      <c r="G3214" s="1" t="s">
        <v>31</v>
      </c>
      <c r="H3214" s="1" t="s">
        <v>32</v>
      </c>
      <c r="I3214" s="3">
        <f>+2250101524829</f>
        <v>2250101524829</v>
      </c>
      <c r="J3214" s="3">
        <f>+2250142342594</f>
        <v>2250142342594</v>
      </c>
      <c r="K3214" s="1" t="s">
        <v>19</v>
      </c>
      <c r="L3214" s="4" t="s">
        <v>10935</v>
      </c>
    </row>
    <row r="3215">
      <c r="A3215" s="1" t="s">
        <v>12</v>
      </c>
      <c r="B3215" s="1" t="s">
        <v>10936</v>
      </c>
      <c r="C3215" s="1" t="s">
        <v>10937</v>
      </c>
      <c r="D3215" s="1" t="s">
        <v>10938</v>
      </c>
      <c r="E3215" s="5">
        <v>38283.0</v>
      </c>
      <c r="F3215" s="1" t="s">
        <v>24</v>
      </c>
      <c r="G3215" s="1" t="s">
        <v>17</v>
      </c>
      <c r="H3215" s="1" t="s">
        <v>18</v>
      </c>
      <c r="I3215" s="3">
        <f>+2250141678079</f>
        <v>2250141678079</v>
      </c>
      <c r="J3215" s="3">
        <f>+2250707376527</f>
        <v>2250707376527</v>
      </c>
      <c r="K3215" s="1" t="s">
        <v>19</v>
      </c>
      <c r="L3215" s="4" t="s">
        <v>10939</v>
      </c>
    </row>
    <row r="3216">
      <c r="A3216" s="1" t="s">
        <v>12</v>
      </c>
      <c r="B3216" s="1" t="s">
        <v>10940</v>
      </c>
      <c r="C3216" s="1" t="s">
        <v>10941</v>
      </c>
      <c r="D3216" s="1" t="s">
        <v>10942</v>
      </c>
      <c r="E3216" s="2">
        <v>37877.0</v>
      </c>
      <c r="F3216" s="1" t="s">
        <v>16</v>
      </c>
      <c r="G3216" s="1" t="s">
        <v>17</v>
      </c>
      <c r="H3216" s="1" t="s">
        <v>18</v>
      </c>
      <c r="I3216" s="3">
        <f>+2250141682697</f>
        <v>2250141682697</v>
      </c>
      <c r="J3216" s="3">
        <f>+2250147131313</f>
        <v>2250147131313</v>
      </c>
      <c r="K3216" s="1" t="s">
        <v>19</v>
      </c>
      <c r="L3216" s="4" t="s">
        <v>10943</v>
      </c>
    </row>
    <row r="3217">
      <c r="A3217" s="1" t="s">
        <v>12</v>
      </c>
      <c r="B3217" s="1" t="s">
        <v>10944</v>
      </c>
      <c r="C3217" s="1" t="s">
        <v>10945</v>
      </c>
      <c r="D3217" s="1" t="s">
        <v>10946</v>
      </c>
      <c r="E3217" s="2">
        <v>37381.0</v>
      </c>
      <c r="F3217" s="1" t="s">
        <v>75</v>
      </c>
      <c r="G3217" s="1" t="s">
        <v>31</v>
      </c>
      <c r="H3217" s="1" t="s">
        <v>32</v>
      </c>
      <c r="I3217" s="3">
        <f>+2250767609056</f>
        <v>2250767609056</v>
      </c>
      <c r="J3217" s="3">
        <f>+2250140105407</f>
        <v>2250140105407</v>
      </c>
      <c r="K3217" s="1" t="s">
        <v>19</v>
      </c>
      <c r="L3217" s="4" t="s">
        <v>10947</v>
      </c>
    </row>
    <row r="3218">
      <c r="A3218" s="1" t="s">
        <v>12</v>
      </c>
      <c r="B3218" s="1" t="s">
        <v>10948</v>
      </c>
      <c r="C3218" s="1" t="s">
        <v>10949</v>
      </c>
      <c r="D3218" s="1" t="s">
        <v>10950</v>
      </c>
      <c r="E3218" s="2">
        <v>36839.0</v>
      </c>
      <c r="F3218" s="1" t="s">
        <v>101</v>
      </c>
      <c r="G3218" s="1" t="s">
        <v>31</v>
      </c>
      <c r="H3218" s="1" t="s">
        <v>32</v>
      </c>
      <c r="I3218" s="3">
        <f>+2250757722632</f>
        <v>2250757722632</v>
      </c>
      <c r="J3218" s="3">
        <f>+2250140902876</f>
        <v>2250140902876</v>
      </c>
      <c r="K3218" s="1" t="s">
        <v>19</v>
      </c>
      <c r="L3218" s="4" t="s">
        <v>10951</v>
      </c>
    </row>
    <row r="3219">
      <c r="A3219" s="1" t="s">
        <v>12</v>
      </c>
      <c r="B3219" s="1" t="s">
        <v>10952</v>
      </c>
      <c r="C3219" s="1" t="s">
        <v>10953</v>
      </c>
      <c r="D3219" s="1" t="s">
        <v>10954</v>
      </c>
      <c r="E3219" s="2">
        <v>37713.0</v>
      </c>
      <c r="F3219" s="1" t="s">
        <v>16</v>
      </c>
      <c r="G3219" s="1" t="s">
        <v>17</v>
      </c>
      <c r="H3219" s="1" t="s">
        <v>18</v>
      </c>
      <c r="I3219" s="3">
        <f>+22501401668</f>
        <v>22501401668</v>
      </c>
      <c r="J3219" s="3">
        <f>+2250797628314</f>
        <v>2250797628314</v>
      </c>
      <c r="K3219" s="1" t="s">
        <v>19</v>
      </c>
      <c r="L3219" s="4" t="s">
        <v>10955</v>
      </c>
    </row>
    <row r="3220">
      <c r="A3220" s="1" t="s">
        <v>12</v>
      </c>
      <c r="B3220" s="1" t="s">
        <v>10956</v>
      </c>
      <c r="C3220" s="1" t="s">
        <v>10957</v>
      </c>
      <c r="D3220" s="1" t="s">
        <v>10958</v>
      </c>
      <c r="E3220" s="2">
        <v>38620.0</v>
      </c>
      <c r="F3220" s="1" t="s">
        <v>155</v>
      </c>
      <c r="G3220" s="1" t="s">
        <v>76</v>
      </c>
      <c r="H3220" s="1" t="s">
        <v>32</v>
      </c>
      <c r="I3220" s="3">
        <f>+2250769580475</f>
        <v>2250769580475</v>
      </c>
      <c r="J3220" s="3">
        <f>+2250708683734</f>
        <v>2250708683734</v>
      </c>
      <c r="K3220" s="1" t="s">
        <v>19</v>
      </c>
      <c r="L3220" s="4" t="s">
        <v>10959</v>
      </c>
    </row>
    <row r="3221">
      <c r="A3221" s="1" t="s">
        <v>12</v>
      </c>
      <c r="B3221" s="1" t="s">
        <v>10960</v>
      </c>
      <c r="C3221" s="1" t="s">
        <v>10961</v>
      </c>
      <c r="D3221" s="1" t="s">
        <v>10962</v>
      </c>
      <c r="E3221" s="2">
        <v>38608.0</v>
      </c>
      <c r="F3221" s="1" t="s">
        <v>62</v>
      </c>
      <c r="G3221" s="1" t="s">
        <v>17</v>
      </c>
      <c r="H3221" s="1" t="s">
        <v>18</v>
      </c>
      <c r="I3221" s="3">
        <f>+2250153368563</f>
        <v>2250153368563</v>
      </c>
      <c r="J3221" s="3">
        <f>+2250707049930</f>
        <v>2250707049930</v>
      </c>
      <c r="K3221" s="1" t="s">
        <v>19</v>
      </c>
      <c r="L3221" s="4" t="s">
        <v>10963</v>
      </c>
    </row>
    <row r="3222">
      <c r="A3222" s="1" t="s">
        <v>12</v>
      </c>
      <c r="B3222" s="1" t="s">
        <v>10964</v>
      </c>
      <c r="C3222" s="1" t="s">
        <v>10965</v>
      </c>
      <c r="D3222" s="1" t="s">
        <v>1622</v>
      </c>
      <c r="E3222" s="2">
        <v>37776.0</v>
      </c>
      <c r="F3222" s="1" t="s">
        <v>16</v>
      </c>
      <c r="G3222" s="1" t="s">
        <v>25</v>
      </c>
      <c r="H3222" s="1" t="s">
        <v>18</v>
      </c>
      <c r="I3222" s="3">
        <f>+2250173814324</f>
        <v>2250173814324</v>
      </c>
      <c r="J3222" s="3">
        <f>+2250708721973</f>
        <v>2250708721973</v>
      </c>
      <c r="K3222" s="1" t="s">
        <v>19</v>
      </c>
      <c r="L3222" s="4" t="s">
        <v>10966</v>
      </c>
    </row>
    <row r="3223">
      <c r="A3223" s="1" t="s">
        <v>12</v>
      </c>
      <c r="B3223" s="1" t="s">
        <v>10967</v>
      </c>
      <c r="C3223" s="1" t="s">
        <v>10968</v>
      </c>
      <c r="D3223" s="1" t="s">
        <v>10969</v>
      </c>
      <c r="E3223" s="2">
        <v>38455.0</v>
      </c>
      <c r="F3223" s="1" t="s">
        <v>24</v>
      </c>
      <c r="G3223" s="1" t="s">
        <v>17</v>
      </c>
      <c r="H3223" s="1" t="s">
        <v>18</v>
      </c>
      <c r="I3223" s="3">
        <f>+2250787609251</f>
        <v>2250787609251</v>
      </c>
      <c r="J3223" s="3">
        <f>+2250102022845</f>
        <v>2250102022845</v>
      </c>
      <c r="K3223" s="1" t="s">
        <v>19</v>
      </c>
      <c r="L3223" s="4" t="s">
        <v>10970</v>
      </c>
    </row>
    <row r="3224">
      <c r="A3224" s="1" t="s">
        <v>12</v>
      </c>
      <c r="B3224" s="1" t="s">
        <v>10971</v>
      </c>
      <c r="C3224" s="1" t="s">
        <v>10972</v>
      </c>
      <c r="D3224" s="1" t="s">
        <v>10973</v>
      </c>
      <c r="E3224" s="5">
        <v>37181.0</v>
      </c>
      <c r="F3224" s="1" t="s">
        <v>101</v>
      </c>
      <c r="G3224" s="1" t="s">
        <v>31</v>
      </c>
      <c r="H3224" s="1" t="s">
        <v>32</v>
      </c>
      <c r="I3224" s="3">
        <f>+2250749553953</f>
        <v>2250749553953</v>
      </c>
      <c r="J3224" s="3">
        <f>+2250707563473</f>
        <v>2250707563473</v>
      </c>
      <c r="K3224" s="1" t="s">
        <v>19</v>
      </c>
      <c r="L3224" s="4" t="s">
        <v>10974</v>
      </c>
    </row>
    <row r="3225">
      <c r="A3225" s="1" t="s">
        <v>12</v>
      </c>
      <c r="B3225" s="1" t="s">
        <v>10975</v>
      </c>
      <c r="C3225" s="1" t="s">
        <v>10976</v>
      </c>
      <c r="D3225" s="1" t="s">
        <v>10977</v>
      </c>
      <c r="E3225" s="5">
        <v>38648.0</v>
      </c>
      <c r="F3225" s="1" t="s">
        <v>53</v>
      </c>
      <c r="G3225" s="1" t="s">
        <v>25</v>
      </c>
      <c r="H3225" s="1" t="s">
        <v>18</v>
      </c>
      <c r="I3225" s="3">
        <f>+2250747684643</f>
        <v>2250747684643</v>
      </c>
      <c r="J3225" s="3">
        <f>+2250747684648</f>
        <v>2250747684648</v>
      </c>
      <c r="K3225" s="1" t="s">
        <v>19</v>
      </c>
      <c r="L3225" s="4" t="s">
        <v>10978</v>
      </c>
    </row>
    <row r="3226">
      <c r="A3226" s="1" t="s">
        <v>12</v>
      </c>
      <c r="B3226" s="1" t="s">
        <v>10979</v>
      </c>
      <c r="C3226" s="1" t="s">
        <v>10976</v>
      </c>
      <c r="D3226" s="1" t="s">
        <v>10980</v>
      </c>
      <c r="E3226" s="2">
        <v>37990.0</v>
      </c>
      <c r="F3226" s="1" t="s">
        <v>16</v>
      </c>
      <c r="G3226" s="1" t="s">
        <v>17</v>
      </c>
      <c r="H3226" s="1" t="s">
        <v>18</v>
      </c>
      <c r="I3226" s="3">
        <f>+2250544110562</f>
        <v>2250544110562</v>
      </c>
      <c r="J3226" s="3">
        <f>+2250747391441</f>
        <v>2250747391441</v>
      </c>
      <c r="K3226" s="1" t="s">
        <v>19</v>
      </c>
      <c r="L3226" s="4" t="s">
        <v>10981</v>
      </c>
    </row>
    <row r="3227">
      <c r="A3227" s="1" t="s">
        <v>12</v>
      </c>
      <c r="B3227" s="1" t="s">
        <v>10982</v>
      </c>
      <c r="C3227" s="1" t="s">
        <v>10983</v>
      </c>
      <c r="D3227" s="1" t="s">
        <v>10984</v>
      </c>
      <c r="E3227" s="2">
        <v>38093.0</v>
      </c>
      <c r="F3227" s="1" t="s">
        <v>92</v>
      </c>
      <c r="G3227" s="1" t="s">
        <v>31</v>
      </c>
      <c r="H3227" s="1" t="s">
        <v>32</v>
      </c>
      <c r="I3227" s="3">
        <f>+2250586742352</f>
        <v>2250586742352</v>
      </c>
      <c r="J3227" s="3">
        <f>+2250505867423</f>
        <v>2250505867423</v>
      </c>
      <c r="K3227" s="1" t="s">
        <v>19</v>
      </c>
      <c r="L3227" s="4" t="s">
        <v>10985</v>
      </c>
    </row>
    <row r="3228">
      <c r="A3228" s="1" t="s">
        <v>12</v>
      </c>
      <c r="B3228" s="1" t="s">
        <v>10986</v>
      </c>
      <c r="C3228" s="1" t="s">
        <v>10987</v>
      </c>
      <c r="D3228" s="1" t="s">
        <v>10988</v>
      </c>
      <c r="E3228" s="2">
        <v>38224.0</v>
      </c>
      <c r="F3228" s="1" t="s">
        <v>24</v>
      </c>
      <c r="G3228" s="1" t="s">
        <v>17</v>
      </c>
      <c r="H3228" s="1" t="s">
        <v>18</v>
      </c>
      <c r="I3228" s="3">
        <f>+2250170887515</f>
        <v>2250170887515</v>
      </c>
      <c r="J3228" s="3">
        <f>+2250103057546</f>
        <v>2250103057546</v>
      </c>
      <c r="K3228" s="1" t="s">
        <v>19</v>
      </c>
      <c r="L3228" s="4" t="s">
        <v>10989</v>
      </c>
    </row>
    <row r="3229">
      <c r="A3229" s="1" t="s">
        <v>12</v>
      </c>
      <c r="B3229" s="1" t="s">
        <v>10990</v>
      </c>
      <c r="C3229" s="1" t="s">
        <v>10987</v>
      </c>
      <c r="D3229" s="1" t="s">
        <v>2751</v>
      </c>
      <c r="E3229" s="5">
        <v>36506.0</v>
      </c>
      <c r="F3229" s="1" t="s">
        <v>92</v>
      </c>
      <c r="G3229" s="1" t="s">
        <v>31</v>
      </c>
      <c r="H3229" s="1" t="s">
        <v>32</v>
      </c>
      <c r="I3229" s="3">
        <f>+2250789763068</f>
        <v>2250789763068</v>
      </c>
      <c r="J3229" s="3">
        <f>+2250505793215</f>
        <v>2250505793215</v>
      </c>
      <c r="K3229" s="1" t="s">
        <v>19</v>
      </c>
      <c r="L3229" s="4" t="s">
        <v>10991</v>
      </c>
    </row>
    <row r="3230">
      <c r="A3230" s="1" t="s">
        <v>12</v>
      </c>
      <c r="B3230" s="1" t="s">
        <v>10992</v>
      </c>
      <c r="C3230" s="1" t="s">
        <v>10987</v>
      </c>
      <c r="D3230" s="1" t="s">
        <v>10993</v>
      </c>
      <c r="E3230" s="5">
        <v>39034.0</v>
      </c>
      <c r="F3230" s="1" t="s">
        <v>155</v>
      </c>
      <c r="G3230" s="1" t="s">
        <v>76</v>
      </c>
      <c r="H3230" s="1" t="s">
        <v>32</v>
      </c>
      <c r="I3230" s="3">
        <f>+2250554166315</f>
        <v>2250554166315</v>
      </c>
      <c r="J3230" s="3">
        <f>+2250707859153</f>
        <v>2250707859153</v>
      </c>
      <c r="K3230" s="1" t="s">
        <v>19</v>
      </c>
      <c r="L3230" s="4" t="s">
        <v>10994</v>
      </c>
    </row>
    <row r="3231">
      <c r="A3231" s="1" t="s">
        <v>12</v>
      </c>
      <c r="B3231" s="1" t="s">
        <v>10995</v>
      </c>
      <c r="C3231" s="1" t="s">
        <v>10987</v>
      </c>
      <c r="D3231" s="1" t="s">
        <v>10996</v>
      </c>
      <c r="E3231" s="5">
        <v>37588.0</v>
      </c>
      <c r="F3231" s="1" t="s">
        <v>53</v>
      </c>
      <c r="G3231" s="1" t="s">
        <v>17</v>
      </c>
      <c r="H3231" s="1" t="s">
        <v>18</v>
      </c>
      <c r="I3231" s="3">
        <f>+2250586371410</f>
        <v>2250586371410</v>
      </c>
      <c r="J3231" s="3">
        <f>+2250707630483</f>
        <v>2250707630483</v>
      </c>
      <c r="K3231" s="1" t="s">
        <v>19</v>
      </c>
      <c r="L3231" s="4" t="s">
        <v>10997</v>
      </c>
    </row>
    <row r="3232">
      <c r="A3232" s="1" t="s">
        <v>12</v>
      </c>
      <c r="B3232" s="1" t="s">
        <v>10998</v>
      </c>
      <c r="C3232" s="1" t="s">
        <v>10999</v>
      </c>
      <c r="D3232" s="1" t="s">
        <v>11000</v>
      </c>
      <c r="E3232" s="2">
        <v>38121.0</v>
      </c>
      <c r="F3232" s="1" t="s">
        <v>48</v>
      </c>
      <c r="G3232" s="1" t="s">
        <v>76</v>
      </c>
      <c r="H3232" s="1" t="s">
        <v>32</v>
      </c>
      <c r="I3232" s="3">
        <f>+2250768356982</f>
        <v>2250768356982</v>
      </c>
      <c r="J3232" s="3">
        <f>+2250173986064</f>
        <v>2250173986064</v>
      </c>
      <c r="K3232" s="1" t="s">
        <v>19</v>
      </c>
      <c r="L3232" s="4" t="s">
        <v>11001</v>
      </c>
    </row>
    <row r="3233">
      <c r="A3233" s="1" t="s">
        <v>12</v>
      </c>
      <c r="B3233" s="1" t="s">
        <v>11002</v>
      </c>
      <c r="C3233" s="1" t="s">
        <v>10999</v>
      </c>
      <c r="D3233" s="1" t="s">
        <v>11003</v>
      </c>
      <c r="E3233" s="2">
        <v>38823.0</v>
      </c>
      <c r="F3233" s="1" t="s">
        <v>53</v>
      </c>
      <c r="G3233" s="1" t="s">
        <v>25</v>
      </c>
      <c r="H3233" s="1" t="s">
        <v>18</v>
      </c>
      <c r="I3233" s="3">
        <f>+2250142593060</f>
        <v>2250142593060</v>
      </c>
      <c r="J3233" s="3">
        <f>+2250140737714</f>
        <v>2250140737714</v>
      </c>
      <c r="K3233" s="1" t="s">
        <v>19</v>
      </c>
      <c r="L3233" s="4" t="s">
        <v>11004</v>
      </c>
    </row>
    <row r="3234">
      <c r="A3234" s="1" t="s">
        <v>12</v>
      </c>
      <c r="B3234" s="1" t="s">
        <v>11005</v>
      </c>
      <c r="C3234" s="1" t="s">
        <v>11006</v>
      </c>
      <c r="D3234" s="1" t="s">
        <v>11007</v>
      </c>
      <c r="E3234" s="2">
        <v>37562.0</v>
      </c>
      <c r="F3234" s="1" t="s">
        <v>351</v>
      </c>
      <c r="G3234" s="1" t="s">
        <v>31</v>
      </c>
      <c r="H3234" s="1" t="s">
        <v>32</v>
      </c>
      <c r="I3234" s="3">
        <f>+2250704627206</f>
        <v>2250704627206</v>
      </c>
      <c r="J3234" s="3">
        <f>+2250707485025</f>
        <v>2250707485025</v>
      </c>
      <c r="K3234" s="1" t="s">
        <v>19</v>
      </c>
      <c r="L3234" s="4" t="s">
        <v>11008</v>
      </c>
    </row>
    <row r="3235">
      <c r="A3235" s="1" t="s">
        <v>12</v>
      </c>
      <c r="B3235" s="1" t="s">
        <v>11009</v>
      </c>
      <c r="C3235" s="1" t="s">
        <v>11006</v>
      </c>
      <c r="D3235" s="1" t="s">
        <v>11010</v>
      </c>
      <c r="E3235" s="5">
        <v>37570.0</v>
      </c>
      <c r="F3235" s="1" t="s">
        <v>53</v>
      </c>
      <c r="G3235" s="1" t="s">
        <v>17</v>
      </c>
      <c r="H3235" s="1" t="s">
        <v>18</v>
      </c>
      <c r="I3235" s="3">
        <f>+2250141564805</f>
        <v>2250141564805</v>
      </c>
      <c r="J3235" s="3">
        <f>+2250505853303</f>
        <v>2250505853303</v>
      </c>
      <c r="K3235" s="1" t="s">
        <v>19</v>
      </c>
      <c r="L3235" s="4" t="s">
        <v>11011</v>
      </c>
    </row>
    <row r="3236">
      <c r="A3236" s="1" t="s">
        <v>12</v>
      </c>
      <c r="B3236" s="1" t="s">
        <v>11012</v>
      </c>
      <c r="C3236" s="1" t="s">
        <v>11013</v>
      </c>
      <c r="D3236" s="1" t="s">
        <v>11014</v>
      </c>
      <c r="E3236" s="5">
        <v>36847.0</v>
      </c>
      <c r="F3236" s="1" t="s">
        <v>92</v>
      </c>
      <c r="G3236" s="1" t="s">
        <v>31</v>
      </c>
      <c r="H3236" s="1" t="s">
        <v>32</v>
      </c>
      <c r="I3236" s="3">
        <f>+2250502169845</f>
        <v>2250502169845</v>
      </c>
      <c r="J3236" s="3">
        <f>+2250151798631</f>
        <v>2250151798631</v>
      </c>
      <c r="K3236" s="1" t="s">
        <v>19</v>
      </c>
      <c r="L3236" s="4" t="s">
        <v>11015</v>
      </c>
    </row>
    <row r="3237">
      <c r="A3237" s="1" t="s">
        <v>12</v>
      </c>
      <c r="B3237" s="1" t="s">
        <v>11016</v>
      </c>
      <c r="C3237" s="1" t="s">
        <v>11017</v>
      </c>
      <c r="D3237" s="1" t="s">
        <v>11018</v>
      </c>
      <c r="E3237" s="5">
        <v>39063.0</v>
      </c>
      <c r="F3237" s="1" t="s">
        <v>16</v>
      </c>
      <c r="G3237" s="1" t="s">
        <v>25</v>
      </c>
      <c r="H3237" s="1" t="s">
        <v>18</v>
      </c>
      <c r="I3237" s="3">
        <f>+2250142769842</f>
        <v>2250142769842</v>
      </c>
      <c r="J3237" s="3">
        <f>+2250707937796</f>
        <v>2250707937796</v>
      </c>
      <c r="K3237" s="1" t="s">
        <v>19</v>
      </c>
      <c r="L3237" s="4" t="s">
        <v>11019</v>
      </c>
    </row>
    <row r="3238">
      <c r="A3238" s="1" t="s">
        <v>12</v>
      </c>
      <c r="B3238" s="1" t="s">
        <v>11020</v>
      </c>
      <c r="C3238" s="1" t="s">
        <v>11021</v>
      </c>
      <c r="D3238" s="1" t="s">
        <v>11022</v>
      </c>
      <c r="E3238" s="2">
        <v>38040.0</v>
      </c>
      <c r="F3238" s="1" t="s">
        <v>62</v>
      </c>
      <c r="G3238" s="1" t="s">
        <v>17</v>
      </c>
      <c r="H3238" s="1" t="s">
        <v>18</v>
      </c>
      <c r="I3238" s="3">
        <f>+2250778319245</f>
        <v>2250778319245</v>
      </c>
      <c r="J3238" s="3">
        <f>+2250707771025</f>
        <v>2250707771025</v>
      </c>
      <c r="K3238" s="1" t="s">
        <v>19</v>
      </c>
      <c r="L3238" s="4" t="s">
        <v>11023</v>
      </c>
    </row>
    <row r="3239">
      <c r="A3239" s="1" t="s">
        <v>12</v>
      </c>
      <c r="B3239" s="1" t="s">
        <v>11024</v>
      </c>
      <c r="C3239" s="1" t="s">
        <v>11025</v>
      </c>
      <c r="D3239" s="1" t="s">
        <v>11026</v>
      </c>
      <c r="E3239" s="2">
        <v>37660.0</v>
      </c>
      <c r="F3239" s="1" t="s">
        <v>62</v>
      </c>
      <c r="G3239" s="1" t="s">
        <v>17</v>
      </c>
      <c r="H3239" s="1" t="s">
        <v>18</v>
      </c>
      <c r="I3239" s="3">
        <f>+2250102808603</f>
        <v>2250102808603</v>
      </c>
      <c r="J3239" s="3">
        <f>+2250142430592</f>
        <v>2250142430592</v>
      </c>
      <c r="K3239" s="1" t="s">
        <v>19</v>
      </c>
      <c r="L3239" s="4" t="s">
        <v>11027</v>
      </c>
    </row>
    <row r="3240">
      <c r="A3240" s="1" t="s">
        <v>12</v>
      </c>
      <c r="B3240" s="1" t="s">
        <v>11028</v>
      </c>
      <c r="C3240" s="1" t="s">
        <v>11029</v>
      </c>
      <c r="D3240" s="1" t="s">
        <v>8127</v>
      </c>
      <c r="E3240" s="2">
        <v>37677.0</v>
      </c>
      <c r="F3240" s="1" t="s">
        <v>155</v>
      </c>
      <c r="G3240" s="1" t="s">
        <v>76</v>
      </c>
      <c r="H3240" s="1" t="s">
        <v>32</v>
      </c>
      <c r="I3240" s="3">
        <f>+2250779001876</f>
        <v>2250779001876</v>
      </c>
      <c r="J3240" s="3">
        <f>+2250748500632</f>
        <v>2250748500632</v>
      </c>
      <c r="K3240" s="1" t="s">
        <v>19</v>
      </c>
      <c r="L3240" s="4" t="s">
        <v>11030</v>
      </c>
    </row>
    <row r="3241">
      <c r="A3241" s="1" t="s">
        <v>12</v>
      </c>
      <c r="B3241" s="1" t="s">
        <v>11031</v>
      </c>
      <c r="C3241" s="1" t="s">
        <v>11029</v>
      </c>
      <c r="D3241" s="1" t="s">
        <v>11032</v>
      </c>
      <c r="E3241" s="2">
        <v>38070.0</v>
      </c>
      <c r="F3241" s="1" t="s">
        <v>16</v>
      </c>
      <c r="G3241" s="1" t="s">
        <v>17</v>
      </c>
      <c r="H3241" s="1" t="s">
        <v>18</v>
      </c>
      <c r="I3241" s="3">
        <f>+2250709895149</f>
        <v>2250709895149</v>
      </c>
      <c r="J3241" s="3">
        <f>+2250707308762</f>
        <v>2250707308762</v>
      </c>
      <c r="K3241" s="1" t="s">
        <v>19</v>
      </c>
      <c r="L3241" s="4" t="s">
        <v>11033</v>
      </c>
    </row>
    <row r="3242">
      <c r="A3242" s="1" t="s">
        <v>12</v>
      </c>
      <c r="B3242" s="1" t="s">
        <v>11034</v>
      </c>
      <c r="C3242" s="1" t="s">
        <v>11029</v>
      </c>
      <c r="D3242" s="1" t="s">
        <v>2692</v>
      </c>
      <c r="E3242" s="2">
        <v>37805.0</v>
      </c>
      <c r="F3242" s="1" t="s">
        <v>48</v>
      </c>
      <c r="G3242" s="1" t="s">
        <v>31</v>
      </c>
      <c r="H3242" s="1" t="s">
        <v>32</v>
      </c>
      <c r="I3242" s="3">
        <f>+2250769562640</f>
        <v>2250769562640</v>
      </c>
      <c r="J3242" s="3">
        <f>+2250555742235</f>
        <v>2250555742235</v>
      </c>
      <c r="K3242" s="1" t="s">
        <v>19</v>
      </c>
      <c r="L3242" s="4" t="s">
        <v>11035</v>
      </c>
    </row>
    <row r="3243">
      <c r="A3243" s="1" t="s">
        <v>12</v>
      </c>
      <c r="B3243" s="1" t="s">
        <v>11036</v>
      </c>
      <c r="C3243" s="1" t="s">
        <v>11029</v>
      </c>
      <c r="D3243" s="1" t="s">
        <v>11037</v>
      </c>
      <c r="E3243" s="2">
        <v>38070.0</v>
      </c>
      <c r="F3243" s="1" t="s">
        <v>101</v>
      </c>
      <c r="G3243" s="1" t="s">
        <v>31</v>
      </c>
      <c r="H3243" s="1" t="s">
        <v>32</v>
      </c>
      <c r="I3243" s="3">
        <f>+2250768734741</f>
        <v>2250768734741</v>
      </c>
      <c r="J3243" s="3">
        <f>+2250707308762</f>
        <v>2250707308762</v>
      </c>
      <c r="K3243" s="1" t="s">
        <v>19</v>
      </c>
      <c r="L3243" s="4" t="s">
        <v>11038</v>
      </c>
    </row>
    <row r="3244">
      <c r="A3244" s="1" t="s">
        <v>12</v>
      </c>
      <c r="B3244" s="1" t="s">
        <v>11039</v>
      </c>
      <c r="C3244" s="1" t="s">
        <v>11029</v>
      </c>
      <c r="D3244" s="1" t="s">
        <v>181</v>
      </c>
      <c r="E3244" s="2">
        <v>37989.0</v>
      </c>
      <c r="F3244" s="1" t="s">
        <v>92</v>
      </c>
      <c r="G3244" s="1" t="s">
        <v>76</v>
      </c>
      <c r="H3244" s="1" t="s">
        <v>32</v>
      </c>
      <c r="I3244" s="3">
        <f>+2250769506624</f>
        <v>2250769506624</v>
      </c>
      <c r="J3244" s="3">
        <f>+2250747206356</f>
        <v>2250747206356</v>
      </c>
      <c r="K3244" s="1" t="s">
        <v>19</v>
      </c>
      <c r="L3244" s="4" t="s">
        <v>11040</v>
      </c>
    </row>
    <row r="3245">
      <c r="A3245" s="1" t="s">
        <v>12</v>
      </c>
      <c r="B3245" s="1" t="s">
        <v>11041</v>
      </c>
      <c r="C3245" s="1" t="s">
        <v>11029</v>
      </c>
      <c r="D3245" s="1" t="s">
        <v>1976</v>
      </c>
      <c r="E3245" s="2">
        <v>37358.0</v>
      </c>
      <c r="F3245" s="1" t="s">
        <v>16</v>
      </c>
      <c r="G3245" s="1" t="s">
        <v>17</v>
      </c>
      <c r="H3245" s="1" t="s">
        <v>18</v>
      </c>
      <c r="I3245" s="3">
        <f>+2250711532690</f>
        <v>2250711532690</v>
      </c>
      <c r="J3245" s="3">
        <f>+2250747271368</f>
        <v>2250747271368</v>
      </c>
      <c r="K3245" s="1" t="s">
        <v>19</v>
      </c>
      <c r="L3245" s="4" t="s">
        <v>11042</v>
      </c>
    </row>
    <row r="3246">
      <c r="A3246" s="1" t="s">
        <v>12</v>
      </c>
      <c r="B3246" s="1" t="s">
        <v>11043</v>
      </c>
      <c r="C3246" s="1" t="s">
        <v>11029</v>
      </c>
      <c r="D3246" s="1" t="s">
        <v>11044</v>
      </c>
      <c r="E3246" s="5">
        <v>37924.0</v>
      </c>
      <c r="F3246" s="1" t="s">
        <v>16</v>
      </c>
      <c r="G3246" s="1" t="s">
        <v>17</v>
      </c>
      <c r="H3246" s="1" t="s">
        <v>18</v>
      </c>
      <c r="I3246" s="3">
        <f>+2250779115995</f>
        <v>2250779115995</v>
      </c>
      <c r="J3246" s="3">
        <f>+2250708333392</f>
        <v>2250708333392</v>
      </c>
      <c r="K3246" s="1" t="s">
        <v>19</v>
      </c>
      <c r="L3246" s="4" t="s">
        <v>11045</v>
      </c>
    </row>
    <row r="3247">
      <c r="A3247" s="1" t="s">
        <v>12</v>
      </c>
      <c r="B3247" s="1" t="s">
        <v>11046</v>
      </c>
      <c r="C3247" s="1" t="s">
        <v>11029</v>
      </c>
      <c r="D3247" s="1" t="s">
        <v>11047</v>
      </c>
      <c r="E3247" s="2">
        <v>38068.0</v>
      </c>
      <c r="F3247" s="1" t="s">
        <v>62</v>
      </c>
      <c r="G3247" s="1" t="s">
        <v>25</v>
      </c>
      <c r="H3247" s="1" t="s">
        <v>18</v>
      </c>
      <c r="I3247" s="3">
        <f>+2250778585743</f>
        <v>2250778585743</v>
      </c>
      <c r="J3247" s="3">
        <f>+2250141408889</f>
        <v>2250141408889</v>
      </c>
      <c r="K3247" s="1" t="s">
        <v>19</v>
      </c>
      <c r="L3247" s="4" t="s">
        <v>11048</v>
      </c>
    </row>
    <row r="3248">
      <c r="A3248" s="1" t="s">
        <v>12</v>
      </c>
      <c r="B3248" s="1" t="s">
        <v>11049</v>
      </c>
      <c r="C3248" s="1" t="s">
        <v>11029</v>
      </c>
      <c r="D3248" s="1" t="s">
        <v>3575</v>
      </c>
      <c r="E3248" s="2">
        <v>37135.0</v>
      </c>
      <c r="F3248" s="1" t="s">
        <v>62</v>
      </c>
      <c r="G3248" s="1" t="s">
        <v>17</v>
      </c>
      <c r="H3248" s="1" t="s">
        <v>18</v>
      </c>
      <c r="I3248" s="3">
        <f>+2250779065824</f>
        <v>2250779065824</v>
      </c>
      <c r="J3248" s="3">
        <f>+2250758773911</f>
        <v>2250758773911</v>
      </c>
      <c r="K3248" s="1" t="s">
        <v>19</v>
      </c>
      <c r="L3248" s="4" t="s">
        <v>11050</v>
      </c>
    </row>
    <row r="3249">
      <c r="A3249" s="1" t="s">
        <v>12</v>
      </c>
      <c r="B3249" s="1" t="s">
        <v>11051</v>
      </c>
      <c r="C3249" s="1" t="s">
        <v>11029</v>
      </c>
      <c r="D3249" s="1" t="s">
        <v>11052</v>
      </c>
      <c r="E3249" s="2">
        <v>38469.0</v>
      </c>
      <c r="F3249" s="1" t="s">
        <v>16</v>
      </c>
      <c r="G3249" s="1" t="s">
        <v>17</v>
      </c>
      <c r="H3249" s="1" t="s">
        <v>18</v>
      </c>
      <c r="I3249" s="3">
        <f>+2250172201540</f>
        <v>2250172201540</v>
      </c>
      <c r="J3249" s="3">
        <f>+2250707628463</f>
        <v>2250707628463</v>
      </c>
      <c r="K3249" s="1" t="s">
        <v>19</v>
      </c>
      <c r="L3249" s="4" t="s">
        <v>11053</v>
      </c>
    </row>
    <row r="3250">
      <c r="A3250" s="1" t="s">
        <v>12</v>
      </c>
      <c r="B3250" s="1" t="s">
        <v>11054</v>
      </c>
      <c r="C3250" s="1" t="s">
        <v>11029</v>
      </c>
      <c r="D3250" s="1" t="s">
        <v>11055</v>
      </c>
      <c r="E3250" s="5">
        <v>36828.0</v>
      </c>
      <c r="F3250" s="1" t="s">
        <v>48</v>
      </c>
      <c r="G3250" s="1" t="s">
        <v>31</v>
      </c>
      <c r="H3250" s="1" t="s">
        <v>32</v>
      </c>
      <c r="I3250" s="3">
        <f>+2250759966445</f>
        <v>2250759966445</v>
      </c>
      <c r="J3250" s="3">
        <f>+2250102744512</f>
        <v>2250102744512</v>
      </c>
      <c r="K3250" s="1" t="s">
        <v>19</v>
      </c>
      <c r="L3250" s="4" t="s">
        <v>11056</v>
      </c>
    </row>
    <row r="3251">
      <c r="A3251" s="1" t="s">
        <v>12</v>
      </c>
      <c r="B3251" s="1" t="s">
        <v>11057</v>
      </c>
      <c r="C3251" s="1" t="s">
        <v>11029</v>
      </c>
      <c r="D3251" s="1" t="s">
        <v>11058</v>
      </c>
      <c r="E3251" s="2">
        <v>38081.0</v>
      </c>
      <c r="F3251" s="1" t="s">
        <v>16</v>
      </c>
      <c r="G3251" s="1" t="s">
        <v>25</v>
      </c>
      <c r="H3251" s="1" t="s">
        <v>18</v>
      </c>
      <c r="I3251" s="3">
        <f>+2250142706892</f>
        <v>2250142706892</v>
      </c>
      <c r="J3251" s="3">
        <f>+2250767623519</f>
        <v>2250767623519</v>
      </c>
      <c r="K3251" s="1" t="s">
        <v>19</v>
      </c>
      <c r="L3251" s="4" t="s">
        <v>11059</v>
      </c>
    </row>
    <row r="3252">
      <c r="A3252" s="1" t="s">
        <v>12</v>
      </c>
      <c r="B3252" s="1" t="s">
        <v>11060</v>
      </c>
      <c r="C3252" s="1" t="s">
        <v>2852</v>
      </c>
      <c r="D3252" s="1" t="s">
        <v>860</v>
      </c>
      <c r="E3252" s="5">
        <v>37952.0</v>
      </c>
      <c r="F3252" s="1" t="s">
        <v>48</v>
      </c>
      <c r="G3252" s="1" t="s">
        <v>31</v>
      </c>
      <c r="H3252" s="1" t="s">
        <v>32</v>
      </c>
      <c r="I3252" s="3">
        <f>+2250768643145</f>
        <v>2250768643145</v>
      </c>
      <c r="J3252" s="3">
        <f>+2250709251460</f>
        <v>2250709251460</v>
      </c>
      <c r="K3252" s="1" t="s">
        <v>19</v>
      </c>
      <c r="L3252" s="4" t="s">
        <v>11061</v>
      </c>
    </row>
    <row r="3253">
      <c r="A3253" s="1" t="s">
        <v>12</v>
      </c>
      <c r="B3253" s="1" t="s">
        <v>11062</v>
      </c>
      <c r="C3253" s="1" t="s">
        <v>11063</v>
      </c>
      <c r="D3253" s="1" t="s">
        <v>11064</v>
      </c>
      <c r="E3253" s="2">
        <v>37792.0</v>
      </c>
      <c r="F3253" s="1" t="s">
        <v>138</v>
      </c>
      <c r="G3253" s="1" t="s">
        <v>76</v>
      </c>
      <c r="H3253" s="1" t="s">
        <v>32</v>
      </c>
      <c r="I3253" s="3">
        <f>+2250160276896</f>
        <v>2250160276896</v>
      </c>
      <c r="J3253" s="3">
        <f>+2250153720557</f>
        <v>2250153720557</v>
      </c>
      <c r="K3253" s="1" t="s">
        <v>19</v>
      </c>
      <c r="L3253" s="4" t="s">
        <v>11065</v>
      </c>
    </row>
    <row r="3254">
      <c r="A3254" s="1" t="s">
        <v>12</v>
      </c>
      <c r="B3254" s="1" t="s">
        <v>11066</v>
      </c>
      <c r="C3254" s="1" t="s">
        <v>11067</v>
      </c>
      <c r="D3254" s="1" t="s">
        <v>1622</v>
      </c>
      <c r="E3254" s="2">
        <v>37837.0</v>
      </c>
      <c r="F3254" s="1" t="s">
        <v>53</v>
      </c>
      <c r="G3254" s="1" t="s">
        <v>17</v>
      </c>
      <c r="H3254" s="1" t="s">
        <v>18</v>
      </c>
      <c r="I3254" s="3">
        <f t="shared" ref="I3254:J3254" si="106">+2250101010101</f>
        <v>2250101010101</v>
      </c>
      <c r="J3254" s="3">
        <f t="shared" si="106"/>
        <v>2250101010101</v>
      </c>
      <c r="K3254" s="1" t="s">
        <v>19</v>
      </c>
      <c r="L3254" s="4" t="s">
        <v>11068</v>
      </c>
    </row>
    <row r="3255">
      <c r="A3255" s="1" t="s">
        <v>12</v>
      </c>
      <c r="B3255" s="1" t="s">
        <v>11069</v>
      </c>
      <c r="C3255" s="1" t="s">
        <v>6945</v>
      </c>
      <c r="D3255" s="1" t="s">
        <v>11070</v>
      </c>
      <c r="E3255" s="2">
        <v>37449.0</v>
      </c>
      <c r="F3255" s="1" t="s">
        <v>138</v>
      </c>
      <c r="G3255" s="1" t="s">
        <v>76</v>
      </c>
      <c r="H3255" s="1" t="s">
        <v>32</v>
      </c>
      <c r="I3255" s="3">
        <f>+2250706059357</f>
        <v>2250706059357</v>
      </c>
      <c r="J3255" s="3">
        <f>+2250748967414</f>
        <v>2250748967414</v>
      </c>
      <c r="K3255" s="1" t="s">
        <v>19</v>
      </c>
      <c r="L3255" s="4" t="s">
        <v>11071</v>
      </c>
    </row>
    <row r="3256">
      <c r="A3256" s="1" t="s">
        <v>12</v>
      </c>
      <c r="B3256" s="1" t="s">
        <v>11072</v>
      </c>
      <c r="C3256" s="1" t="s">
        <v>11073</v>
      </c>
      <c r="D3256" s="1" t="s">
        <v>1740</v>
      </c>
      <c r="E3256" s="2">
        <v>37891.0</v>
      </c>
      <c r="F3256" s="1" t="s">
        <v>48</v>
      </c>
      <c r="G3256" s="1" t="s">
        <v>76</v>
      </c>
      <c r="H3256" s="1" t="s">
        <v>32</v>
      </c>
      <c r="I3256" s="3">
        <f>+2250172476494</f>
        <v>2250172476494</v>
      </c>
      <c r="J3256" s="3">
        <f>+2250707177766</f>
        <v>2250707177766</v>
      </c>
      <c r="K3256" s="1" t="s">
        <v>19</v>
      </c>
      <c r="L3256" s="4" t="s">
        <v>11074</v>
      </c>
    </row>
    <row r="3257">
      <c r="A3257" s="1" t="s">
        <v>12</v>
      </c>
      <c r="B3257" s="1" t="s">
        <v>11075</v>
      </c>
      <c r="C3257" s="1" t="s">
        <v>11076</v>
      </c>
      <c r="D3257" s="1" t="s">
        <v>1053</v>
      </c>
      <c r="E3257" s="2">
        <v>36532.0</v>
      </c>
      <c r="F3257" s="1" t="s">
        <v>182</v>
      </c>
      <c r="G3257" s="1" t="s">
        <v>82</v>
      </c>
      <c r="H3257" s="1" t="s">
        <v>18</v>
      </c>
      <c r="I3257" s="3">
        <f>+2250797593353</f>
        <v>2250797593353</v>
      </c>
      <c r="J3257" s="3">
        <f>+2250709093499</f>
        <v>2250709093499</v>
      </c>
      <c r="K3257" s="1" t="s">
        <v>19</v>
      </c>
      <c r="L3257" s="4" t="s">
        <v>11077</v>
      </c>
    </row>
    <row r="3258">
      <c r="A3258" s="1" t="s">
        <v>12</v>
      </c>
      <c r="B3258" s="1" t="s">
        <v>11078</v>
      </c>
      <c r="C3258" s="1" t="s">
        <v>11076</v>
      </c>
      <c r="D3258" s="1" t="s">
        <v>11079</v>
      </c>
      <c r="E3258" s="2">
        <v>37001.0</v>
      </c>
      <c r="F3258" s="1" t="s">
        <v>48</v>
      </c>
      <c r="G3258" s="1" t="s">
        <v>31</v>
      </c>
      <c r="H3258" s="1" t="s">
        <v>32</v>
      </c>
      <c r="I3258" s="3">
        <f>+2250708046663</f>
        <v>2250708046663</v>
      </c>
      <c r="J3258" s="3">
        <f>+2250799797978</f>
        <v>2250799797978</v>
      </c>
      <c r="K3258" s="1" t="s">
        <v>19</v>
      </c>
      <c r="L3258" s="4" t="s">
        <v>11080</v>
      </c>
    </row>
    <row r="3259">
      <c r="A3259" s="1" t="s">
        <v>12</v>
      </c>
      <c r="B3259" s="1" t="s">
        <v>11081</v>
      </c>
      <c r="C3259" s="1" t="s">
        <v>11076</v>
      </c>
      <c r="D3259" s="1" t="s">
        <v>4535</v>
      </c>
      <c r="E3259" s="2">
        <v>37402.0</v>
      </c>
      <c r="F3259" s="1" t="s">
        <v>101</v>
      </c>
      <c r="G3259" s="1" t="s">
        <v>31</v>
      </c>
      <c r="H3259" s="1" t="s">
        <v>32</v>
      </c>
      <c r="I3259" s="3">
        <f>+2250152634998</f>
        <v>2250152634998</v>
      </c>
      <c r="J3259" s="3">
        <f>+2250749521232</f>
        <v>2250749521232</v>
      </c>
      <c r="K3259" s="1" t="s">
        <v>19</v>
      </c>
      <c r="L3259" s="4" t="s">
        <v>11082</v>
      </c>
    </row>
    <row r="3260">
      <c r="A3260" s="1" t="s">
        <v>12</v>
      </c>
      <c r="B3260" s="1" t="s">
        <v>11083</v>
      </c>
      <c r="C3260" s="1" t="s">
        <v>11084</v>
      </c>
      <c r="D3260" s="1" t="s">
        <v>11085</v>
      </c>
      <c r="E3260" s="2">
        <v>37529.0</v>
      </c>
      <c r="F3260" s="1" t="s">
        <v>16</v>
      </c>
      <c r="G3260" s="1" t="s">
        <v>17</v>
      </c>
      <c r="H3260" s="1" t="s">
        <v>18</v>
      </c>
      <c r="I3260" s="3">
        <f>+2250148985469</f>
        <v>2250148985469</v>
      </c>
      <c r="J3260" s="3">
        <f>+2250101122881</f>
        <v>2250101122881</v>
      </c>
      <c r="K3260" s="1" t="s">
        <v>19</v>
      </c>
      <c r="L3260" s="4" t="s">
        <v>11086</v>
      </c>
    </row>
    <row r="3261">
      <c r="A3261" s="1" t="s">
        <v>12</v>
      </c>
      <c r="B3261" s="1" t="s">
        <v>11087</v>
      </c>
      <c r="C3261" s="1" t="s">
        <v>11088</v>
      </c>
      <c r="D3261" s="1" t="s">
        <v>11089</v>
      </c>
      <c r="E3261" s="5">
        <v>38335.0</v>
      </c>
      <c r="F3261" s="1" t="s">
        <v>48</v>
      </c>
      <c r="G3261" s="1" t="s">
        <v>76</v>
      </c>
      <c r="H3261" s="1" t="s">
        <v>32</v>
      </c>
      <c r="I3261" s="3">
        <f>+2250554957073</f>
        <v>2250554957073</v>
      </c>
      <c r="J3261" s="3">
        <f>+2250102365030</f>
        <v>2250102365030</v>
      </c>
      <c r="K3261" s="1" t="s">
        <v>19</v>
      </c>
      <c r="L3261" s="4" t="s">
        <v>11090</v>
      </c>
    </row>
    <row r="3262">
      <c r="A3262" s="1" t="s">
        <v>12</v>
      </c>
      <c r="B3262" s="1" t="s">
        <v>11091</v>
      </c>
      <c r="C3262" s="1" t="s">
        <v>11092</v>
      </c>
      <c r="D3262" s="1" t="s">
        <v>11093</v>
      </c>
      <c r="E3262" s="2">
        <v>37274.0</v>
      </c>
      <c r="F3262" s="1" t="s">
        <v>75</v>
      </c>
      <c r="G3262" s="1" t="s">
        <v>31</v>
      </c>
      <c r="H3262" s="1" t="s">
        <v>32</v>
      </c>
      <c r="I3262" s="3">
        <f>+2250153487057</f>
        <v>2250153487057</v>
      </c>
      <c r="J3262" s="3">
        <f>+2250102555391</f>
        <v>2250102555391</v>
      </c>
      <c r="K3262" s="1" t="s">
        <v>19</v>
      </c>
      <c r="L3262" s="4" t="s">
        <v>11094</v>
      </c>
    </row>
    <row r="3263">
      <c r="A3263" s="1" t="s">
        <v>12</v>
      </c>
      <c r="B3263" s="1" t="s">
        <v>11095</v>
      </c>
      <c r="C3263" s="1" t="s">
        <v>11092</v>
      </c>
      <c r="D3263" s="1" t="s">
        <v>11096</v>
      </c>
      <c r="E3263" s="2">
        <v>37321.0</v>
      </c>
      <c r="F3263" s="1" t="s">
        <v>48</v>
      </c>
      <c r="G3263" s="1" t="s">
        <v>82</v>
      </c>
      <c r="H3263" s="1" t="s">
        <v>18</v>
      </c>
      <c r="I3263" s="3">
        <f>+2250141262087</f>
        <v>2250141262087</v>
      </c>
      <c r="J3263" s="3">
        <f>+2250574152198</f>
        <v>2250574152198</v>
      </c>
      <c r="K3263" s="1" t="s">
        <v>19</v>
      </c>
      <c r="L3263" s="4" t="s">
        <v>11097</v>
      </c>
    </row>
    <row r="3264">
      <c r="A3264" s="1" t="s">
        <v>12</v>
      </c>
      <c r="B3264" s="1" t="s">
        <v>11098</v>
      </c>
      <c r="C3264" s="1" t="s">
        <v>11092</v>
      </c>
      <c r="D3264" s="1" t="s">
        <v>11099</v>
      </c>
      <c r="E3264" s="5">
        <v>38315.0</v>
      </c>
      <c r="F3264" s="1" t="s">
        <v>138</v>
      </c>
      <c r="G3264" s="1" t="s">
        <v>31</v>
      </c>
      <c r="H3264" s="1" t="s">
        <v>32</v>
      </c>
      <c r="I3264" s="3">
        <f>+2250506986492</f>
        <v>2250506986492</v>
      </c>
      <c r="J3264" s="3">
        <f>+2250506448127</f>
        <v>2250506448127</v>
      </c>
      <c r="K3264" s="1" t="s">
        <v>19</v>
      </c>
      <c r="L3264" s="4" t="s">
        <v>11100</v>
      </c>
    </row>
    <row r="3265">
      <c r="A3265" s="1" t="s">
        <v>12</v>
      </c>
      <c r="B3265" s="1" t="s">
        <v>11101</v>
      </c>
      <c r="C3265" s="1" t="s">
        <v>11092</v>
      </c>
      <c r="D3265" s="1" t="s">
        <v>11102</v>
      </c>
      <c r="E3265" s="5">
        <v>37986.0</v>
      </c>
      <c r="F3265" s="1" t="s">
        <v>53</v>
      </c>
      <c r="G3265" s="1" t="s">
        <v>25</v>
      </c>
      <c r="H3265" s="1" t="s">
        <v>18</v>
      </c>
      <c r="I3265" s="3">
        <f>+2250586446379</f>
        <v>2250586446379</v>
      </c>
      <c r="J3265" s="3">
        <f>+2250555516631</f>
        <v>2250555516631</v>
      </c>
      <c r="K3265" s="1" t="s">
        <v>19</v>
      </c>
      <c r="L3265" s="4" t="s">
        <v>11103</v>
      </c>
    </row>
    <row r="3266">
      <c r="A3266" s="1" t="s">
        <v>12</v>
      </c>
      <c r="B3266" s="1" t="s">
        <v>11104</v>
      </c>
      <c r="C3266" s="1" t="s">
        <v>11092</v>
      </c>
      <c r="D3266" s="1" t="s">
        <v>11105</v>
      </c>
      <c r="E3266" s="2">
        <v>38206.0</v>
      </c>
      <c r="F3266" s="1" t="s">
        <v>101</v>
      </c>
      <c r="G3266" s="1" t="s">
        <v>76</v>
      </c>
      <c r="H3266" s="1" t="s">
        <v>32</v>
      </c>
      <c r="I3266" s="3">
        <f>+2250768244604</f>
        <v>2250768244604</v>
      </c>
      <c r="J3266" s="3">
        <f>+2250707377370</f>
        <v>2250707377370</v>
      </c>
      <c r="K3266" s="1" t="s">
        <v>19</v>
      </c>
      <c r="L3266" s="4" t="s">
        <v>11106</v>
      </c>
    </row>
    <row r="3267">
      <c r="A3267" s="1" t="s">
        <v>12</v>
      </c>
      <c r="B3267" s="1" t="s">
        <v>11107</v>
      </c>
      <c r="C3267" s="1" t="s">
        <v>11092</v>
      </c>
      <c r="D3267" s="1" t="s">
        <v>1732</v>
      </c>
      <c r="E3267" s="2">
        <v>36972.0</v>
      </c>
      <c r="F3267" s="1" t="s">
        <v>92</v>
      </c>
      <c r="G3267" s="1" t="s">
        <v>31</v>
      </c>
      <c r="H3267" s="1" t="s">
        <v>32</v>
      </c>
      <c r="I3267" s="3">
        <f>+2250778678403</f>
        <v>2250778678403</v>
      </c>
      <c r="J3267" s="3">
        <f>+2250709715030</f>
        <v>2250709715030</v>
      </c>
      <c r="K3267" s="1" t="s">
        <v>19</v>
      </c>
      <c r="L3267" s="4" t="s">
        <v>11108</v>
      </c>
    </row>
    <row r="3268">
      <c r="A3268" s="1" t="s">
        <v>12</v>
      </c>
      <c r="B3268" s="1" t="s">
        <v>11109</v>
      </c>
      <c r="C3268" s="1" t="s">
        <v>11092</v>
      </c>
      <c r="D3268" s="1" t="s">
        <v>11110</v>
      </c>
      <c r="E3268" s="2">
        <v>38484.0</v>
      </c>
      <c r="F3268" s="1" t="s">
        <v>53</v>
      </c>
      <c r="G3268" s="1" t="s">
        <v>25</v>
      </c>
      <c r="H3268" s="1" t="s">
        <v>18</v>
      </c>
      <c r="I3268" s="3">
        <f>+2250768646708</f>
        <v>2250768646708</v>
      </c>
      <c r="J3268" s="3">
        <f>+2250707286389</f>
        <v>2250707286389</v>
      </c>
      <c r="K3268" s="1" t="s">
        <v>19</v>
      </c>
      <c r="L3268" s="4" t="s">
        <v>11111</v>
      </c>
    </row>
    <row r="3269">
      <c r="A3269" s="1" t="s">
        <v>12</v>
      </c>
      <c r="B3269" s="1" t="s">
        <v>11112</v>
      </c>
      <c r="C3269" s="1" t="s">
        <v>11113</v>
      </c>
      <c r="D3269" s="1" t="s">
        <v>11114</v>
      </c>
      <c r="E3269" s="2">
        <v>37903.0</v>
      </c>
      <c r="F3269" s="1" t="s">
        <v>101</v>
      </c>
      <c r="G3269" s="1" t="s">
        <v>31</v>
      </c>
      <c r="H3269" s="1" t="s">
        <v>32</v>
      </c>
      <c r="I3269" s="3">
        <f>+2250102351263</f>
        <v>2250102351263</v>
      </c>
      <c r="J3269" s="3">
        <f>+2250758387796</f>
        <v>2250758387796</v>
      </c>
      <c r="K3269" s="1" t="s">
        <v>19</v>
      </c>
      <c r="L3269" s="4" t="s">
        <v>11115</v>
      </c>
    </row>
    <row r="3270">
      <c r="A3270" s="1" t="s">
        <v>12</v>
      </c>
      <c r="B3270" s="1" t="s">
        <v>11116</v>
      </c>
      <c r="C3270" s="1" t="s">
        <v>11117</v>
      </c>
      <c r="D3270" s="1" t="s">
        <v>11118</v>
      </c>
      <c r="E3270" s="2">
        <v>38996.0</v>
      </c>
      <c r="F3270" s="1" t="s">
        <v>16</v>
      </c>
      <c r="G3270" s="1" t="s">
        <v>25</v>
      </c>
      <c r="H3270" s="1" t="s">
        <v>18</v>
      </c>
      <c r="I3270" s="3">
        <f>+2250788500823</f>
        <v>2250788500823</v>
      </c>
      <c r="J3270" s="3">
        <f t="shared" ref="J3270:J3271" si="107">+2250707448789</f>
        <v>2250707448789</v>
      </c>
      <c r="K3270" s="1" t="s">
        <v>19</v>
      </c>
      <c r="L3270" s="4" t="s">
        <v>11119</v>
      </c>
    </row>
    <row r="3271">
      <c r="A3271" s="1" t="s">
        <v>12</v>
      </c>
      <c r="B3271" s="1" t="s">
        <v>11120</v>
      </c>
      <c r="C3271" s="1" t="s">
        <v>11117</v>
      </c>
      <c r="D3271" s="1" t="s">
        <v>11121</v>
      </c>
      <c r="E3271" s="2">
        <v>37679.0</v>
      </c>
      <c r="F3271" s="1" t="s">
        <v>62</v>
      </c>
      <c r="G3271" s="1" t="s">
        <v>17</v>
      </c>
      <c r="H3271" s="1" t="s">
        <v>18</v>
      </c>
      <c r="I3271" s="3">
        <f>+2250759043349</f>
        <v>2250759043349</v>
      </c>
      <c r="J3271" s="3">
        <f t="shared" si="107"/>
        <v>2250707448789</v>
      </c>
      <c r="K3271" s="1" t="s">
        <v>19</v>
      </c>
      <c r="L3271" s="4" t="s">
        <v>11122</v>
      </c>
    </row>
    <row r="3272">
      <c r="A3272" s="1" t="s">
        <v>12</v>
      </c>
      <c r="B3272" s="1" t="s">
        <v>11123</v>
      </c>
      <c r="C3272" s="1" t="s">
        <v>11124</v>
      </c>
      <c r="D3272" s="1" t="s">
        <v>11125</v>
      </c>
      <c r="E3272" s="2">
        <v>37168.0</v>
      </c>
      <c r="F3272" s="1" t="s">
        <v>92</v>
      </c>
      <c r="G3272" s="1" t="s">
        <v>31</v>
      </c>
      <c r="H3272" s="1" t="s">
        <v>32</v>
      </c>
      <c r="I3272" s="3">
        <f>+2250757440790</f>
        <v>2250757440790</v>
      </c>
      <c r="J3272" s="3">
        <f>+2250748962530</f>
        <v>2250748962530</v>
      </c>
      <c r="K3272" s="1" t="s">
        <v>19</v>
      </c>
      <c r="L3272" s="4" t="s">
        <v>11126</v>
      </c>
    </row>
    <row r="3273">
      <c r="A3273" s="1" t="s">
        <v>12</v>
      </c>
      <c r="B3273" s="1" t="s">
        <v>11127</v>
      </c>
      <c r="C3273" s="1" t="s">
        <v>11128</v>
      </c>
      <c r="D3273" s="1" t="s">
        <v>11129</v>
      </c>
      <c r="E3273" s="5">
        <v>37544.0</v>
      </c>
      <c r="F3273" s="1" t="s">
        <v>62</v>
      </c>
      <c r="G3273" s="1" t="s">
        <v>17</v>
      </c>
      <c r="H3273" s="1" t="s">
        <v>18</v>
      </c>
      <c r="I3273" s="3">
        <f>+2250160334158</f>
        <v>2250160334158</v>
      </c>
      <c r="J3273" s="3">
        <f>+2250708204284</f>
        <v>2250708204284</v>
      </c>
      <c r="K3273" s="1" t="s">
        <v>19</v>
      </c>
      <c r="L3273" s="4" t="s">
        <v>11130</v>
      </c>
    </row>
    <row r="3274">
      <c r="A3274" s="1" t="s">
        <v>12</v>
      </c>
      <c r="B3274" s="1" t="s">
        <v>11131</v>
      </c>
      <c r="C3274" s="1" t="s">
        <v>11132</v>
      </c>
      <c r="D3274" s="1" t="s">
        <v>11133</v>
      </c>
      <c r="E3274" s="2">
        <v>38775.0</v>
      </c>
      <c r="F3274" s="1" t="s">
        <v>16</v>
      </c>
      <c r="G3274" s="1" t="s">
        <v>25</v>
      </c>
      <c r="H3274" s="1" t="s">
        <v>18</v>
      </c>
      <c r="I3274" s="3">
        <f>+2250797660802</f>
        <v>2250797660802</v>
      </c>
      <c r="J3274" s="3">
        <f>+2250747828321</f>
        <v>2250747828321</v>
      </c>
      <c r="K3274" s="1" t="s">
        <v>19</v>
      </c>
      <c r="L3274" s="4" t="s">
        <v>11134</v>
      </c>
    </row>
    <row r="3275">
      <c r="A3275" s="1" t="s">
        <v>12</v>
      </c>
      <c r="B3275" s="1" t="s">
        <v>11135</v>
      </c>
      <c r="C3275" s="1" t="s">
        <v>11132</v>
      </c>
      <c r="D3275" s="1" t="s">
        <v>11136</v>
      </c>
      <c r="E3275" s="2">
        <v>37771.0</v>
      </c>
      <c r="F3275" s="1" t="s">
        <v>138</v>
      </c>
      <c r="G3275" s="1" t="s">
        <v>31</v>
      </c>
      <c r="H3275" s="1" t="s">
        <v>32</v>
      </c>
      <c r="I3275" s="3">
        <f>+2250797127697</f>
        <v>2250797127697</v>
      </c>
      <c r="J3275" s="3">
        <f>+2250709557391</f>
        <v>2250709557391</v>
      </c>
      <c r="K3275" s="1" t="s">
        <v>19</v>
      </c>
      <c r="L3275" s="4" t="s">
        <v>11137</v>
      </c>
    </row>
    <row r="3276">
      <c r="A3276" s="1" t="s">
        <v>12</v>
      </c>
      <c r="B3276" s="1" t="s">
        <v>11138</v>
      </c>
      <c r="C3276" s="1" t="s">
        <v>11132</v>
      </c>
      <c r="D3276" s="1" t="s">
        <v>11139</v>
      </c>
      <c r="E3276" s="2">
        <v>38118.0</v>
      </c>
      <c r="F3276" s="1" t="s">
        <v>48</v>
      </c>
      <c r="G3276" s="1" t="s">
        <v>76</v>
      </c>
      <c r="H3276" s="1" t="s">
        <v>32</v>
      </c>
      <c r="I3276" s="3">
        <f>+2250799851067</f>
        <v>2250799851067</v>
      </c>
      <c r="J3276" s="3">
        <f>+2250103233046</f>
        <v>2250103233046</v>
      </c>
      <c r="K3276" s="1" t="s">
        <v>19</v>
      </c>
      <c r="L3276" s="4" t="s">
        <v>11140</v>
      </c>
    </row>
    <row r="3277">
      <c r="A3277" s="1" t="s">
        <v>12</v>
      </c>
      <c r="B3277" s="1" t="s">
        <v>11141</v>
      </c>
      <c r="C3277" s="1" t="s">
        <v>11142</v>
      </c>
      <c r="D3277" s="1" t="s">
        <v>11143</v>
      </c>
      <c r="E3277" s="2">
        <v>36989.0</v>
      </c>
      <c r="F3277" s="1" t="s">
        <v>155</v>
      </c>
      <c r="G3277" s="1" t="s">
        <v>31</v>
      </c>
      <c r="H3277" s="1" t="s">
        <v>32</v>
      </c>
      <c r="I3277" s="3">
        <f>+2250152773996</f>
        <v>2250152773996</v>
      </c>
      <c r="J3277" s="3">
        <f>+2250747454063</f>
        <v>2250747454063</v>
      </c>
      <c r="K3277" s="1" t="s">
        <v>19</v>
      </c>
      <c r="L3277" s="4" t="s">
        <v>11144</v>
      </c>
    </row>
    <row r="3278">
      <c r="A3278" s="1" t="s">
        <v>12</v>
      </c>
      <c r="B3278" s="1" t="s">
        <v>11145</v>
      </c>
      <c r="C3278" s="1" t="s">
        <v>11142</v>
      </c>
      <c r="D3278" s="1" t="s">
        <v>11146</v>
      </c>
      <c r="E3278" s="2">
        <v>36366.0</v>
      </c>
      <c r="F3278" s="1" t="s">
        <v>16</v>
      </c>
      <c r="G3278" s="1" t="s">
        <v>25</v>
      </c>
      <c r="H3278" s="1" t="s">
        <v>18</v>
      </c>
      <c r="I3278" s="3">
        <f>+2250700154416</f>
        <v>2250700154416</v>
      </c>
      <c r="J3278" s="3">
        <f>+2250103012026</f>
        <v>2250103012026</v>
      </c>
      <c r="K3278" s="1" t="s">
        <v>19</v>
      </c>
      <c r="L3278" s="4" t="s">
        <v>11147</v>
      </c>
    </row>
    <row r="3279">
      <c r="A3279" s="1" t="s">
        <v>12</v>
      </c>
      <c r="B3279" s="1" t="s">
        <v>11148</v>
      </c>
      <c r="C3279" s="1" t="s">
        <v>11149</v>
      </c>
      <c r="D3279" s="1" t="s">
        <v>11150</v>
      </c>
      <c r="E3279" s="2">
        <v>38130.0</v>
      </c>
      <c r="F3279" s="1" t="s">
        <v>48</v>
      </c>
      <c r="G3279" s="1" t="s">
        <v>31</v>
      </c>
      <c r="H3279" s="1" t="s">
        <v>32</v>
      </c>
      <c r="I3279" s="3">
        <f>+2250779414707</f>
        <v>2250779414707</v>
      </c>
      <c r="J3279" s="3">
        <f>+2250708962564</f>
        <v>2250708962564</v>
      </c>
      <c r="K3279" s="1" t="s">
        <v>19</v>
      </c>
      <c r="L3279" s="4" t="s">
        <v>11151</v>
      </c>
    </row>
    <row r="3280">
      <c r="A3280" s="1" t="s">
        <v>12</v>
      </c>
      <c r="B3280" s="1" t="s">
        <v>11152</v>
      </c>
      <c r="C3280" s="1" t="s">
        <v>11153</v>
      </c>
      <c r="D3280" s="1" t="s">
        <v>11154</v>
      </c>
      <c r="E3280" s="2">
        <v>38630.0</v>
      </c>
      <c r="F3280" s="1" t="s">
        <v>24</v>
      </c>
      <c r="G3280" s="1" t="s">
        <v>25</v>
      </c>
      <c r="H3280" s="1" t="s">
        <v>18</v>
      </c>
      <c r="I3280" s="3">
        <f>+2250757834218</f>
        <v>2250757834218</v>
      </c>
      <c r="J3280" s="3">
        <f>+2250757638357</f>
        <v>2250757638357</v>
      </c>
      <c r="K3280" s="1" t="s">
        <v>19</v>
      </c>
      <c r="L3280" s="4" t="s">
        <v>11155</v>
      </c>
    </row>
    <row r="3281">
      <c r="A3281" s="1" t="s">
        <v>12</v>
      </c>
      <c r="B3281" s="1" t="s">
        <v>11156</v>
      </c>
      <c r="C3281" s="1" t="s">
        <v>11153</v>
      </c>
      <c r="D3281" s="1" t="s">
        <v>11157</v>
      </c>
      <c r="E3281" s="2">
        <v>37298.0</v>
      </c>
      <c r="F3281" s="1" t="s">
        <v>62</v>
      </c>
      <c r="G3281" s="1" t="s">
        <v>17</v>
      </c>
      <c r="H3281" s="1" t="s">
        <v>18</v>
      </c>
      <c r="I3281" s="3">
        <f>+2250150843424</f>
        <v>2250150843424</v>
      </c>
      <c r="J3281" s="3">
        <f>+2250797884314</f>
        <v>2250797884314</v>
      </c>
      <c r="K3281" s="1" t="s">
        <v>19</v>
      </c>
      <c r="L3281" s="4" t="s">
        <v>11158</v>
      </c>
    </row>
    <row r="3282">
      <c r="A3282" s="1" t="s">
        <v>12</v>
      </c>
      <c r="B3282" s="1" t="s">
        <v>11159</v>
      </c>
      <c r="C3282" s="1" t="s">
        <v>11160</v>
      </c>
      <c r="D3282" s="1" t="s">
        <v>11161</v>
      </c>
      <c r="E3282" s="2">
        <v>38226.0</v>
      </c>
      <c r="F3282" s="1" t="s">
        <v>24</v>
      </c>
      <c r="G3282" s="1" t="s">
        <v>25</v>
      </c>
      <c r="H3282" s="1" t="s">
        <v>18</v>
      </c>
      <c r="I3282" s="3">
        <f>+2250704392758</f>
        <v>2250704392758</v>
      </c>
      <c r="J3282" s="3">
        <f>+2250707955465</f>
        <v>2250707955465</v>
      </c>
      <c r="K3282" s="1" t="s">
        <v>19</v>
      </c>
      <c r="L3282" s="4" t="s">
        <v>11162</v>
      </c>
    </row>
    <row r="3283">
      <c r="A3283" s="1" t="s">
        <v>12</v>
      </c>
      <c r="B3283" s="1" t="s">
        <v>11163</v>
      </c>
      <c r="C3283" s="1" t="s">
        <v>11160</v>
      </c>
      <c r="D3283" s="1" t="s">
        <v>11164</v>
      </c>
      <c r="E3283" s="2">
        <v>37301.0</v>
      </c>
      <c r="F3283" s="1" t="s">
        <v>182</v>
      </c>
      <c r="G3283" s="1" t="s">
        <v>82</v>
      </c>
      <c r="H3283" s="1" t="s">
        <v>18</v>
      </c>
      <c r="I3283" s="3">
        <f>+2250101357216</f>
        <v>2250101357216</v>
      </c>
      <c r="J3283" s="3">
        <f>+2250708191369</f>
        <v>2250708191369</v>
      </c>
      <c r="K3283" s="1" t="s">
        <v>19</v>
      </c>
      <c r="L3283" s="4" t="s">
        <v>11165</v>
      </c>
    </row>
    <row r="3284">
      <c r="A3284" s="1" t="s">
        <v>12</v>
      </c>
      <c r="B3284" s="1" t="s">
        <v>11166</v>
      </c>
      <c r="C3284" s="1" t="s">
        <v>11160</v>
      </c>
      <c r="D3284" s="1" t="s">
        <v>11167</v>
      </c>
      <c r="E3284" s="2">
        <v>38763.0</v>
      </c>
      <c r="F3284" s="1" t="s">
        <v>138</v>
      </c>
      <c r="G3284" s="1" t="s">
        <v>76</v>
      </c>
      <c r="H3284" s="1" t="s">
        <v>32</v>
      </c>
      <c r="I3284" s="3">
        <f>+2250566405711</f>
        <v>2250566405711</v>
      </c>
      <c r="J3284" s="3">
        <f>+2250707917422</f>
        <v>2250707917422</v>
      </c>
      <c r="K3284" s="1" t="s">
        <v>19</v>
      </c>
      <c r="L3284" s="4" t="s">
        <v>11168</v>
      </c>
    </row>
    <row r="3285">
      <c r="A3285" s="1" t="s">
        <v>12</v>
      </c>
      <c r="B3285" s="1" t="s">
        <v>11169</v>
      </c>
      <c r="C3285" s="1" t="s">
        <v>11160</v>
      </c>
      <c r="D3285" s="1" t="s">
        <v>11170</v>
      </c>
      <c r="E3285" s="2">
        <v>35959.0</v>
      </c>
      <c r="F3285" s="1" t="s">
        <v>62</v>
      </c>
      <c r="G3285" s="1" t="s">
        <v>17</v>
      </c>
      <c r="H3285" s="1" t="s">
        <v>18</v>
      </c>
      <c r="I3285" s="3">
        <f t="shared" ref="I3285:J3285" si="108">+2250748828107</f>
        <v>2250748828107</v>
      </c>
      <c r="J3285" s="3">
        <f t="shared" si="108"/>
        <v>2250748828107</v>
      </c>
      <c r="K3285" s="1" t="s">
        <v>19</v>
      </c>
      <c r="L3285" s="4" t="s">
        <v>11171</v>
      </c>
    </row>
    <row r="3286">
      <c r="A3286" s="1" t="s">
        <v>12</v>
      </c>
      <c r="B3286" s="1" t="s">
        <v>11172</v>
      </c>
      <c r="C3286" s="1" t="s">
        <v>11160</v>
      </c>
      <c r="D3286" s="1" t="s">
        <v>11173</v>
      </c>
      <c r="E3286" s="2">
        <v>37736.0</v>
      </c>
      <c r="F3286" s="1" t="s">
        <v>16</v>
      </c>
      <c r="G3286" s="1" t="s">
        <v>82</v>
      </c>
      <c r="H3286" s="1" t="s">
        <v>18</v>
      </c>
      <c r="I3286" s="3">
        <f>+2250170766008</f>
        <v>2250170766008</v>
      </c>
      <c r="J3286" s="3">
        <f>+2250575655424</f>
        <v>2250575655424</v>
      </c>
      <c r="K3286" s="1" t="s">
        <v>19</v>
      </c>
      <c r="L3286" s="4" t="s">
        <v>11174</v>
      </c>
    </row>
    <row r="3287">
      <c r="A3287" s="1" t="s">
        <v>12</v>
      </c>
      <c r="B3287" s="1" t="s">
        <v>11175</v>
      </c>
      <c r="C3287" s="1" t="s">
        <v>11160</v>
      </c>
      <c r="D3287" s="1" t="s">
        <v>11176</v>
      </c>
      <c r="E3287" s="2">
        <v>38293.0</v>
      </c>
      <c r="F3287" s="1" t="s">
        <v>75</v>
      </c>
      <c r="G3287" s="1" t="s">
        <v>76</v>
      </c>
      <c r="H3287" s="1" t="s">
        <v>32</v>
      </c>
      <c r="I3287" s="3">
        <f>+2250140468751</f>
        <v>2250140468751</v>
      </c>
      <c r="J3287" s="3">
        <f>+2250779733427</f>
        <v>2250779733427</v>
      </c>
      <c r="K3287" s="1" t="s">
        <v>19</v>
      </c>
      <c r="L3287" s="4" t="s">
        <v>11177</v>
      </c>
    </row>
    <row r="3288">
      <c r="A3288" s="1" t="s">
        <v>12</v>
      </c>
      <c r="B3288" s="1" t="s">
        <v>11178</v>
      </c>
      <c r="C3288" s="1" t="s">
        <v>11160</v>
      </c>
      <c r="D3288" s="1" t="s">
        <v>11179</v>
      </c>
      <c r="E3288" s="2">
        <v>37864.0</v>
      </c>
      <c r="F3288" s="1" t="s">
        <v>75</v>
      </c>
      <c r="G3288" s="1" t="s">
        <v>76</v>
      </c>
      <c r="H3288" s="1" t="s">
        <v>32</v>
      </c>
      <c r="I3288" s="3">
        <f>+2250798243088</f>
        <v>2250798243088</v>
      </c>
      <c r="J3288" s="3">
        <f>+2250140929390</f>
        <v>2250140929390</v>
      </c>
      <c r="K3288" s="1" t="s">
        <v>19</v>
      </c>
      <c r="L3288" s="4" t="s">
        <v>11180</v>
      </c>
    </row>
    <row r="3289">
      <c r="A3289" s="1" t="s">
        <v>12</v>
      </c>
      <c r="B3289" s="1" t="s">
        <v>11181</v>
      </c>
      <c r="C3289" s="1" t="s">
        <v>11160</v>
      </c>
      <c r="D3289" s="1" t="s">
        <v>11182</v>
      </c>
      <c r="E3289" s="2">
        <v>36668.0</v>
      </c>
      <c r="F3289" s="1" t="s">
        <v>62</v>
      </c>
      <c r="G3289" s="1" t="s">
        <v>17</v>
      </c>
      <c r="H3289" s="1" t="s">
        <v>18</v>
      </c>
      <c r="I3289" s="3">
        <f>+2250789890823</f>
        <v>2250789890823</v>
      </c>
      <c r="J3289" s="3">
        <f>+2250710004175</f>
        <v>2250710004175</v>
      </c>
      <c r="K3289" s="1" t="s">
        <v>19</v>
      </c>
      <c r="L3289" s="4" t="s">
        <v>11183</v>
      </c>
    </row>
    <row r="3290">
      <c r="A3290" s="1" t="s">
        <v>12</v>
      </c>
      <c r="B3290" s="1" t="s">
        <v>11184</v>
      </c>
      <c r="C3290" s="1" t="s">
        <v>11185</v>
      </c>
      <c r="D3290" s="1" t="s">
        <v>11186</v>
      </c>
      <c r="E3290" s="2">
        <v>36263.0</v>
      </c>
      <c r="F3290" s="1" t="s">
        <v>48</v>
      </c>
      <c r="G3290" s="1" t="s">
        <v>31</v>
      </c>
      <c r="H3290" s="1" t="s">
        <v>32</v>
      </c>
      <c r="I3290" s="3">
        <f>+2250142116481</f>
        <v>2250142116481</v>
      </c>
      <c r="J3290" s="3">
        <f>+2250749872580</f>
        <v>2250749872580</v>
      </c>
      <c r="K3290" s="1" t="s">
        <v>19</v>
      </c>
      <c r="L3290" s="4" t="s">
        <v>11187</v>
      </c>
    </row>
    <row r="3291">
      <c r="A3291" s="1" t="s">
        <v>12</v>
      </c>
      <c r="B3291" s="1" t="s">
        <v>11188</v>
      </c>
      <c r="C3291" s="1" t="s">
        <v>11189</v>
      </c>
      <c r="D3291" s="1" t="s">
        <v>11190</v>
      </c>
      <c r="E3291" s="2">
        <v>36581.0</v>
      </c>
      <c r="F3291" s="1" t="s">
        <v>16</v>
      </c>
      <c r="G3291" s="1" t="s">
        <v>82</v>
      </c>
      <c r="H3291" s="1" t="s">
        <v>18</v>
      </c>
      <c r="I3291" s="3">
        <f>+2250703099682</f>
        <v>2250703099682</v>
      </c>
      <c r="J3291" s="3">
        <f>+2250707289099</f>
        <v>2250707289099</v>
      </c>
      <c r="K3291" s="1" t="s">
        <v>19</v>
      </c>
      <c r="L3291" s="4" t="s">
        <v>11191</v>
      </c>
    </row>
    <row r="3292">
      <c r="A3292" s="1" t="s">
        <v>12</v>
      </c>
      <c r="B3292" s="1" t="s">
        <v>11192</v>
      </c>
      <c r="C3292" s="1" t="s">
        <v>11189</v>
      </c>
      <c r="D3292" s="1" t="s">
        <v>11193</v>
      </c>
      <c r="E3292" s="5">
        <v>38313.0</v>
      </c>
      <c r="F3292" s="1" t="s">
        <v>16</v>
      </c>
      <c r="G3292" s="1" t="s">
        <v>17</v>
      </c>
      <c r="H3292" s="1" t="s">
        <v>18</v>
      </c>
      <c r="I3292" s="3">
        <f t="shared" ref="I3292:J3292" si="109">+2250140377597</f>
        <v>2250140377597</v>
      </c>
      <c r="J3292" s="3">
        <f t="shared" si="109"/>
        <v>2250140377597</v>
      </c>
      <c r="K3292" s="1" t="s">
        <v>19</v>
      </c>
      <c r="L3292" s="4" t="s">
        <v>11194</v>
      </c>
    </row>
    <row r="3293">
      <c r="A3293" s="1" t="s">
        <v>12</v>
      </c>
      <c r="B3293" s="1" t="s">
        <v>11195</v>
      </c>
      <c r="C3293" s="1" t="s">
        <v>11189</v>
      </c>
      <c r="D3293" s="1" t="s">
        <v>11196</v>
      </c>
      <c r="E3293" s="2">
        <v>37334.0</v>
      </c>
      <c r="F3293" s="1" t="s">
        <v>155</v>
      </c>
      <c r="G3293" s="1" t="s">
        <v>25</v>
      </c>
      <c r="H3293" s="1" t="s">
        <v>18</v>
      </c>
      <c r="I3293" s="3">
        <f>+2250706974495</f>
        <v>2250706974495</v>
      </c>
      <c r="J3293" s="3">
        <f>+2250707790513</f>
        <v>2250707790513</v>
      </c>
      <c r="K3293" s="1" t="s">
        <v>19</v>
      </c>
      <c r="L3293" s="4" t="s">
        <v>11197</v>
      </c>
    </row>
    <row r="3294">
      <c r="A3294" s="1" t="s">
        <v>12</v>
      </c>
      <c r="B3294" s="1" t="s">
        <v>11198</v>
      </c>
      <c r="C3294" s="1" t="s">
        <v>11189</v>
      </c>
      <c r="D3294" s="1" t="s">
        <v>11199</v>
      </c>
      <c r="E3294" s="2">
        <v>37359.0</v>
      </c>
      <c r="F3294" s="1" t="s">
        <v>101</v>
      </c>
      <c r="G3294" s="1" t="s">
        <v>31</v>
      </c>
      <c r="H3294" s="1" t="s">
        <v>32</v>
      </c>
      <c r="I3294" s="3">
        <f t="shared" ref="I3294:J3294" si="110">+2250778077020</f>
        <v>2250778077020</v>
      </c>
      <c r="J3294" s="3">
        <f t="shared" si="110"/>
        <v>2250778077020</v>
      </c>
      <c r="K3294" s="1" t="s">
        <v>19</v>
      </c>
      <c r="L3294" s="4" t="s">
        <v>11200</v>
      </c>
    </row>
    <row r="3295">
      <c r="A3295" s="1" t="s">
        <v>12</v>
      </c>
      <c r="B3295" s="1" t="s">
        <v>11201</v>
      </c>
      <c r="C3295" s="1" t="s">
        <v>11189</v>
      </c>
      <c r="D3295" s="1" t="s">
        <v>11202</v>
      </c>
      <c r="E3295" s="2">
        <v>38799.0</v>
      </c>
      <c r="F3295" s="1" t="s">
        <v>30</v>
      </c>
      <c r="G3295" s="1" t="s">
        <v>76</v>
      </c>
      <c r="H3295" s="1" t="s">
        <v>32</v>
      </c>
      <c r="I3295" s="3">
        <f>+2250172063352</f>
        <v>2250172063352</v>
      </c>
      <c r="J3295" s="3">
        <f>+2250709798254</f>
        <v>2250709798254</v>
      </c>
      <c r="K3295" s="1" t="s">
        <v>19</v>
      </c>
      <c r="L3295" s="4" t="s">
        <v>11203</v>
      </c>
    </row>
    <row r="3296">
      <c r="A3296" s="1" t="s">
        <v>12</v>
      </c>
      <c r="B3296" s="1" t="s">
        <v>11204</v>
      </c>
      <c r="C3296" s="1" t="s">
        <v>11189</v>
      </c>
      <c r="D3296" s="1" t="s">
        <v>11205</v>
      </c>
      <c r="E3296" s="2">
        <v>37699.0</v>
      </c>
      <c r="F3296" s="1" t="s">
        <v>155</v>
      </c>
      <c r="G3296" s="1" t="s">
        <v>82</v>
      </c>
      <c r="H3296" s="1" t="s">
        <v>18</v>
      </c>
      <c r="I3296" s="3">
        <f>+2250170713374</f>
        <v>2250170713374</v>
      </c>
      <c r="J3296" s="3">
        <f>+2250504183435</f>
        <v>2250504183435</v>
      </c>
      <c r="K3296" s="1" t="s">
        <v>19</v>
      </c>
      <c r="L3296" s="4" t="s">
        <v>11206</v>
      </c>
    </row>
    <row r="3297">
      <c r="A3297" s="1" t="s">
        <v>12</v>
      </c>
      <c r="B3297" s="1" t="s">
        <v>11207</v>
      </c>
      <c r="C3297" s="1" t="s">
        <v>11189</v>
      </c>
      <c r="D3297" s="1" t="s">
        <v>11208</v>
      </c>
      <c r="E3297" s="2">
        <v>38495.0</v>
      </c>
      <c r="F3297" s="1" t="s">
        <v>48</v>
      </c>
      <c r="G3297" s="1" t="s">
        <v>76</v>
      </c>
      <c r="H3297" s="1" t="s">
        <v>32</v>
      </c>
      <c r="I3297" s="3">
        <f>+2250787111029</f>
        <v>2250787111029</v>
      </c>
      <c r="J3297" s="3">
        <f>+2250779865514</f>
        <v>2250779865514</v>
      </c>
      <c r="K3297" s="1" t="s">
        <v>19</v>
      </c>
      <c r="L3297" s="4" t="s">
        <v>11209</v>
      </c>
    </row>
    <row r="3298">
      <c r="A3298" s="1" t="s">
        <v>12</v>
      </c>
      <c r="B3298" s="1" t="s">
        <v>11210</v>
      </c>
      <c r="C3298" s="1" t="s">
        <v>11189</v>
      </c>
      <c r="D3298" s="1" t="s">
        <v>11211</v>
      </c>
      <c r="E3298" s="2">
        <v>37443.0</v>
      </c>
      <c r="F3298" s="1" t="s">
        <v>16</v>
      </c>
      <c r="G3298" s="1" t="s">
        <v>25</v>
      </c>
      <c r="H3298" s="1" t="s">
        <v>18</v>
      </c>
      <c r="I3298" s="3">
        <f>+2250102589885</f>
        <v>2250102589885</v>
      </c>
      <c r="J3298" s="3">
        <f>+2250747471495</f>
        <v>2250747471495</v>
      </c>
      <c r="K3298" s="1" t="s">
        <v>19</v>
      </c>
      <c r="L3298" s="4" t="s">
        <v>11212</v>
      </c>
    </row>
    <row r="3299">
      <c r="A3299" s="1" t="s">
        <v>12</v>
      </c>
      <c r="B3299" s="1" t="s">
        <v>11213</v>
      </c>
      <c r="C3299" s="1" t="s">
        <v>11189</v>
      </c>
      <c r="D3299" s="1" t="s">
        <v>11214</v>
      </c>
      <c r="E3299" s="2">
        <v>37031.0</v>
      </c>
      <c r="F3299" s="1" t="s">
        <v>138</v>
      </c>
      <c r="G3299" s="1" t="s">
        <v>82</v>
      </c>
      <c r="H3299" s="1" t="s">
        <v>18</v>
      </c>
      <c r="I3299" s="3">
        <f>+2250797437540</f>
        <v>2250797437540</v>
      </c>
      <c r="J3299" s="3">
        <f>+2250707101227</f>
        <v>2250707101227</v>
      </c>
      <c r="K3299" s="1" t="s">
        <v>19</v>
      </c>
      <c r="L3299" s="4" t="s">
        <v>11215</v>
      </c>
    </row>
    <row r="3300">
      <c r="A3300" s="1" t="s">
        <v>12</v>
      </c>
      <c r="B3300" s="1" t="s">
        <v>11216</v>
      </c>
      <c r="C3300" s="1" t="s">
        <v>11217</v>
      </c>
      <c r="D3300" s="1" t="s">
        <v>11218</v>
      </c>
      <c r="E3300" s="2">
        <v>36715.0</v>
      </c>
      <c r="F3300" s="1" t="s">
        <v>16</v>
      </c>
      <c r="G3300" s="1" t="s">
        <v>17</v>
      </c>
      <c r="H3300" s="1" t="s">
        <v>18</v>
      </c>
      <c r="I3300" s="3">
        <f>+2250777082353</f>
        <v>2250777082353</v>
      </c>
      <c r="J3300" s="3">
        <f>+2250556490056</f>
        <v>2250556490056</v>
      </c>
      <c r="K3300" s="1" t="s">
        <v>19</v>
      </c>
      <c r="L3300" s="4" t="s">
        <v>11219</v>
      </c>
    </row>
    <row r="3301">
      <c r="A3301" s="1" t="s">
        <v>12</v>
      </c>
      <c r="B3301" s="1" t="s">
        <v>11220</v>
      </c>
      <c r="C3301" s="1" t="s">
        <v>11221</v>
      </c>
      <c r="D3301" s="1" t="s">
        <v>11222</v>
      </c>
      <c r="E3301" s="2">
        <v>38263.0</v>
      </c>
      <c r="F3301" s="1" t="s">
        <v>1219</v>
      </c>
      <c r="G3301" s="1" t="s">
        <v>82</v>
      </c>
      <c r="H3301" s="1" t="s">
        <v>18</v>
      </c>
      <c r="I3301" s="3">
        <f>+2250759579012</f>
        <v>2250759579012</v>
      </c>
      <c r="J3301" s="3">
        <f>+2250101081604</f>
        <v>2250101081604</v>
      </c>
      <c r="K3301" s="1" t="s">
        <v>19</v>
      </c>
      <c r="L3301" s="4" t="s">
        <v>11223</v>
      </c>
    </row>
    <row r="3302">
      <c r="A3302" s="1" t="s">
        <v>12</v>
      </c>
      <c r="B3302" s="1" t="s">
        <v>11224</v>
      </c>
      <c r="C3302" s="1" t="s">
        <v>11225</v>
      </c>
      <c r="D3302" s="1" t="s">
        <v>11226</v>
      </c>
      <c r="E3302" s="2">
        <v>38528.0</v>
      </c>
      <c r="F3302" s="1" t="s">
        <v>101</v>
      </c>
      <c r="G3302" s="1" t="s">
        <v>31</v>
      </c>
      <c r="H3302" s="1" t="s">
        <v>32</v>
      </c>
      <c r="I3302" s="3">
        <f>+2250758502359</f>
        <v>2250758502359</v>
      </c>
      <c r="J3302" s="3">
        <f>+2250707737419</f>
        <v>2250707737419</v>
      </c>
      <c r="K3302" s="1" t="s">
        <v>19</v>
      </c>
      <c r="L3302" s="4" t="s">
        <v>11227</v>
      </c>
    </row>
    <row r="3303">
      <c r="A3303" s="1" t="s">
        <v>12</v>
      </c>
      <c r="B3303" s="1" t="s">
        <v>11228</v>
      </c>
      <c r="C3303" s="1" t="s">
        <v>11225</v>
      </c>
      <c r="D3303" s="1" t="s">
        <v>11229</v>
      </c>
      <c r="E3303" s="2">
        <v>37657.0</v>
      </c>
      <c r="F3303" s="1" t="s">
        <v>101</v>
      </c>
      <c r="G3303" s="1" t="s">
        <v>76</v>
      </c>
      <c r="H3303" s="1" t="s">
        <v>32</v>
      </c>
      <c r="I3303" s="3">
        <f>+2250574680241</f>
        <v>2250574680241</v>
      </c>
      <c r="J3303" s="3">
        <f>+2250777966164</f>
        <v>2250777966164</v>
      </c>
      <c r="K3303" s="1" t="s">
        <v>19</v>
      </c>
      <c r="L3303" s="4" t="s">
        <v>11230</v>
      </c>
    </row>
    <row r="3304">
      <c r="A3304" s="1" t="s">
        <v>12</v>
      </c>
      <c r="B3304" s="1" t="s">
        <v>11231</v>
      </c>
      <c r="C3304" s="1" t="s">
        <v>11225</v>
      </c>
      <c r="D3304" s="1" t="s">
        <v>11232</v>
      </c>
      <c r="E3304" s="2">
        <v>38238.0</v>
      </c>
      <c r="F3304" s="1" t="s">
        <v>48</v>
      </c>
      <c r="G3304" s="1" t="s">
        <v>76</v>
      </c>
      <c r="H3304" s="1" t="s">
        <v>32</v>
      </c>
      <c r="I3304" s="3">
        <f>+2250767094762</f>
        <v>2250767094762</v>
      </c>
      <c r="J3304" s="3">
        <f>+2250172501012</f>
        <v>2250172501012</v>
      </c>
      <c r="K3304" s="1" t="s">
        <v>19</v>
      </c>
      <c r="L3304" s="4" t="s">
        <v>11233</v>
      </c>
    </row>
    <row r="3305">
      <c r="A3305" s="1" t="s">
        <v>12</v>
      </c>
      <c r="B3305" s="1" t="s">
        <v>11234</v>
      </c>
      <c r="C3305" s="1" t="s">
        <v>11235</v>
      </c>
      <c r="D3305" s="1" t="s">
        <v>11236</v>
      </c>
      <c r="E3305" s="5">
        <v>36096.0</v>
      </c>
      <c r="F3305" s="1" t="s">
        <v>75</v>
      </c>
      <c r="G3305" s="1" t="s">
        <v>76</v>
      </c>
      <c r="H3305" s="1" t="s">
        <v>32</v>
      </c>
      <c r="I3305" s="3">
        <f>+2250777278248</f>
        <v>2250777278248</v>
      </c>
      <c r="J3305" s="3">
        <f>+2250709128631</f>
        <v>2250709128631</v>
      </c>
      <c r="K3305" s="1" t="s">
        <v>19</v>
      </c>
      <c r="L3305" s="4" t="s">
        <v>11237</v>
      </c>
    </row>
    <row r="3306">
      <c r="A3306" s="1" t="s">
        <v>12</v>
      </c>
      <c r="B3306" s="1" t="s">
        <v>11238</v>
      </c>
      <c r="C3306" s="1" t="s">
        <v>11239</v>
      </c>
      <c r="D3306" s="1" t="s">
        <v>11240</v>
      </c>
      <c r="E3306" s="2">
        <v>36792.0</v>
      </c>
      <c r="F3306" s="1" t="s">
        <v>155</v>
      </c>
      <c r="G3306" s="1" t="s">
        <v>82</v>
      </c>
      <c r="H3306" s="1" t="s">
        <v>18</v>
      </c>
      <c r="I3306" s="3">
        <f>+2250768938511</f>
        <v>2250768938511</v>
      </c>
      <c r="J3306" s="3">
        <f>+2250749527737</f>
        <v>2250749527737</v>
      </c>
      <c r="K3306" s="1" t="s">
        <v>19</v>
      </c>
      <c r="L3306" s="4" t="s">
        <v>11241</v>
      </c>
    </row>
    <row r="3307">
      <c r="A3307" s="1" t="s">
        <v>12</v>
      </c>
      <c r="B3307" s="1" t="s">
        <v>11242</v>
      </c>
      <c r="C3307" s="1" t="s">
        <v>11239</v>
      </c>
      <c r="D3307" s="1" t="s">
        <v>9777</v>
      </c>
      <c r="E3307" s="2">
        <v>37625.0</v>
      </c>
      <c r="F3307" s="1" t="s">
        <v>62</v>
      </c>
      <c r="G3307" s="1" t="s">
        <v>17</v>
      </c>
      <c r="H3307" s="1" t="s">
        <v>18</v>
      </c>
      <c r="I3307" s="3">
        <f>+2250594279010</f>
        <v>2250594279010</v>
      </c>
      <c r="J3307" s="3">
        <f>+2250759055235</f>
        <v>2250759055235</v>
      </c>
      <c r="K3307" s="1" t="s">
        <v>19</v>
      </c>
      <c r="L3307" s="4" t="s">
        <v>11243</v>
      </c>
    </row>
    <row r="3308">
      <c r="A3308" s="1" t="s">
        <v>12</v>
      </c>
      <c r="B3308" s="1" t="s">
        <v>11244</v>
      </c>
      <c r="C3308" s="1" t="s">
        <v>11239</v>
      </c>
      <c r="D3308" s="1" t="s">
        <v>11245</v>
      </c>
      <c r="E3308" s="2">
        <v>37642.0</v>
      </c>
      <c r="F3308" s="1" t="s">
        <v>16</v>
      </c>
      <c r="G3308" s="1" t="s">
        <v>17</v>
      </c>
      <c r="H3308" s="1" t="s">
        <v>18</v>
      </c>
      <c r="I3308" s="3">
        <f>+2250798706014</f>
        <v>2250798706014</v>
      </c>
      <c r="J3308" s="3">
        <f>+2250707137877</f>
        <v>2250707137877</v>
      </c>
      <c r="K3308" s="1" t="s">
        <v>19</v>
      </c>
      <c r="L3308" s="4" t="s">
        <v>11246</v>
      </c>
    </row>
    <row r="3309">
      <c r="A3309" s="1" t="s">
        <v>12</v>
      </c>
      <c r="B3309" s="1" t="s">
        <v>11247</v>
      </c>
      <c r="C3309" s="1" t="s">
        <v>11248</v>
      </c>
      <c r="D3309" s="1" t="s">
        <v>11249</v>
      </c>
      <c r="E3309" s="2">
        <v>37654.0</v>
      </c>
      <c r="F3309" s="1" t="s">
        <v>48</v>
      </c>
      <c r="G3309" s="1" t="s">
        <v>25</v>
      </c>
      <c r="H3309" s="1" t="s">
        <v>18</v>
      </c>
      <c r="I3309" s="3">
        <f>+2250141529854</f>
        <v>2250141529854</v>
      </c>
      <c r="J3309" s="3">
        <f>+2250708060909</f>
        <v>2250708060909</v>
      </c>
      <c r="K3309" s="1" t="s">
        <v>19</v>
      </c>
      <c r="L3309" s="4" t="s">
        <v>11250</v>
      </c>
    </row>
    <row r="3310">
      <c r="A3310" s="1" t="s">
        <v>12</v>
      </c>
      <c r="B3310" s="1" t="s">
        <v>11251</v>
      </c>
      <c r="C3310" s="1" t="s">
        <v>11248</v>
      </c>
      <c r="D3310" s="1" t="s">
        <v>3092</v>
      </c>
      <c r="E3310" s="2">
        <v>36309.0</v>
      </c>
      <c r="F3310" s="1" t="s">
        <v>48</v>
      </c>
      <c r="G3310" s="1" t="s">
        <v>82</v>
      </c>
      <c r="H3310" s="1" t="s">
        <v>18</v>
      </c>
      <c r="I3310" s="3">
        <f>+2250767046655</f>
        <v>2250767046655</v>
      </c>
      <c r="J3310" s="3">
        <f>+2250504790305</f>
        <v>2250504790305</v>
      </c>
      <c r="K3310" s="1" t="s">
        <v>19</v>
      </c>
      <c r="L3310" s="4" t="s">
        <v>11252</v>
      </c>
    </row>
    <row r="3311">
      <c r="A3311" s="1" t="s">
        <v>12</v>
      </c>
      <c r="B3311" s="1" t="s">
        <v>11253</v>
      </c>
      <c r="C3311" s="1" t="s">
        <v>3217</v>
      </c>
      <c r="D3311" s="1" t="s">
        <v>11254</v>
      </c>
      <c r="E3311" s="2">
        <v>38412.0</v>
      </c>
      <c r="F3311" s="1" t="s">
        <v>87</v>
      </c>
      <c r="G3311" s="1" t="s">
        <v>31</v>
      </c>
      <c r="H3311" s="1" t="s">
        <v>32</v>
      </c>
      <c r="I3311" s="3">
        <f>+2250798731165</f>
        <v>2250798731165</v>
      </c>
      <c r="J3311" s="3">
        <f>+2250506041575</f>
        <v>2250506041575</v>
      </c>
      <c r="K3311" s="1" t="s">
        <v>19</v>
      </c>
      <c r="L3311" s="4" t="s">
        <v>11255</v>
      </c>
    </row>
    <row r="3312">
      <c r="A3312" s="1" t="s">
        <v>12</v>
      </c>
      <c r="B3312" s="1" t="s">
        <v>11256</v>
      </c>
      <c r="C3312" s="1" t="s">
        <v>11257</v>
      </c>
      <c r="D3312" s="1" t="s">
        <v>11258</v>
      </c>
      <c r="E3312" s="2">
        <v>38556.0</v>
      </c>
      <c r="F3312" s="1" t="s">
        <v>62</v>
      </c>
      <c r="G3312" s="1" t="s">
        <v>17</v>
      </c>
      <c r="H3312" s="1" t="s">
        <v>18</v>
      </c>
      <c r="I3312" s="3">
        <f>+2250172057418</f>
        <v>2250172057418</v>
      </c>
      <c r="J3312" s="3">
        <f>+2250140192436</f>
        <v>2250140192436</v>
      </c>
      <c r="K3312" s="1" t="s">
        <v>19</v>
      </c>
      <c r="L3312" s="4" t="s">
        <v>11259</v>
      </c>
    </row>
    <row r="3313">
      <c r="A3313" s="1" t="s">
        <v>12</v>
      </c>
      <c r="B3313" s="1" t="s">
        <v>11260</v>
      </c>
      <c r="C3313" s="1" t="s">
        <v>11261</v>
      </c>
      <c r="D3313" s="1" t="s">
        <v>11262</v>
      </c>
      <c r="E3313" s="2">
        <v>36915.0</v>
      </c>
      <c r="F3313" s="1" t="s">
        <v>62</v>
      </c>
      <c r="G3313" s="1" t="s">
        <v>17</v>
      </c>
      <c r="H3313" s="1" t="s">
        <v>18</v>
      </c>
      <c r="I3313" s="3">
        <f>+2250102616169</f>
        <v>2250102616169</v>
      </c>
      <c r="J3313" s="3">
        <f>+2250505502338</f>
        <v>2250505502338</v>
      </c>
      <c r="K3313" s="1" t="s">
        <v>19</v>
      </c>
      <c r="L3313" s="4" t="s">
        <v>11263</v>
      </c>
    </row>
    <row r="3314">
      <c r="A3314" s="1" t="s">
        <v>12</v>
      </c>
      <c r="B3314" s="1" t="s">
        <v>11264</v>
      </c>
      <c r="C3314" s="1" t="s">
        <v>11265</v>
      </c>
      <c r="D3314" s="1" t="s">
        <v>11266</v>
      </c>
      <c r="E3314" s="2">
        <v>37425.0</v>
      </c>
      <c r="F3314" s="1" t="s">
        <v>182</v>
      </c>
      <c r="G3314" s="1" t="s">
        <v>82</v>
      </c>
      <c r="H3314" s="1" t="s">
        <v>18</v>
      </c>
      <c r="I3314" s="3">
        <f>+2250767156478</f>
        <v>2250767156478</v>
      </c>
      <c r="J3314" s="3">
        <f>+2250141028017</f>
        <v>2250141028017</v>
      </c>
      <c r="K3314" s="1" t="s">
        <v>19</v>
      </c>
      <c r="L3314" s="4" t="s">
        <v>11267</v>
      </c>
    </row>
    <row r="3315">
      <c r="A3315" s="1" t="s">
        <v>12</v>
      </c>
      <c r="B3315" s="1" t="s">
        <v>11268</v>
      </c>
      <c r="C3315" s="1" t="s">
        <v>11269</v>
      </c>
      <c r="D3315" s="1" t="s">
        <v>11270</v>
      </c>
      <c r="E3315" s="2">
        <v>37435.0</v>
      </c>
      <c r="F3315" s="1" t="s">
        <v>16</v>
      </c>
      <c r="G3315" s="1" t="s">
        <v>82</v>
      </c>
      <c r="H3315" s="1" t="s">
        <v>18</v>
      </c>
      <c r="I3315" s="3">
        <f>+2250707586757</f>
        <v>2250707586757</v>
      </c>
      <c r="J3315" s="3">
        <f>+2250748154230</f>
        <v>2250748154230</v>
      </c>
      <c r="K3315" s="1" t="s">
        <v>19</v>
      </c>
      <c r="L3315" s="4" t="s">
        <v>11271</v>
      </c>
    </row>
    <row r="3316">
      <c r="A3316" s="1" t="s">
        <v>12</v>
      </c>
      <c r="B3316" s="1" t="s">
        <v>11272</v>
      </c>
      <c r="C3316" s="1" t="s">
        <v>11273</v>
      </c>
      <c r="D3316" s="1" t="s">
        <v>11274</v>
      </c>
      <c r="E3316" s="2">
        <v>36999.0</v>
      </c>
      <c r="F3316" s="1" t="s">
        <v>48</v>
      </c>
      <c r="G3316" s="1" t="s">
        <v>82</v>
      </c>
      <c r="H3316" s="1" t="s">
        <v>18</v>
      </c>
      <c r="I3316" s="3">
        <f>+2250749535672</f>
        <v>2250749535672</v>
      </c>
      <c r="J3316" s="3">
        <f>+2250173420095</f>
        <v>2250173420095</v>
      </c>
      <c r="K3316" s="1" t="s">
        <v>19</v>
      </c>
      <c r="L3316" s="4" t="s">
        <v>11275</v>
      </c>
    </row>
    <row r="3317">
      <c r="A3317" s="1" t="s">
        <v>12</v>
      </c>
      <c r="B3317" s="1" t="s">
        <v>11276</v>
      </c>
      <c r="C3317" s="1" t="s">
        <v>11273</v>
      </c>
      <c r="D3317" s="1" t="s">
        <v>11277</v>
      </c>
      <c r="E3317" s="5">
        <v>37907.0</v>
      </c>
      <c r="F3317" s="1" t="s">
        <v>16</v>
      </c>
      <c r="G3317" s="1" t="s">
        <v>17</v>
      </c>
      <c r="H3317" s="1" t="s">
        <v>18</v>
      </c>
      <c r="I3317" s="3">
        <f>+2250701130336</f>
        <v>2250701130336</v>
      </c>
      <c r="J3317" s="3">
        <f>+2250505477832</f>
        <v>2250505477832</v>
      </c>
      <c r="K3317" s="1" t="s">
        <v>19</v>
      </c>
      <c r="L3317" s="4" t="s">
        <v>11278</v>
      </c>
    </row>
    <row r="3318">
      <c r="A3318" s="1" t="s">
        <v>12</v>
      </c>
      <c r="B3318" s="1" t="s">
        <v>11279</v>
      </c>
      <c r="C3318" s="1" t="s">
        <v>11273</v>
      </c>
      <c r="D3318" s="1" t="s">
        <v>11280</v>
      </c>
      <c r="E3318" s="5">
        <v>37924.0</v>
      </c>
      <c r="F3318" s="1" t="s">
        <v>62</v>
      </c>
      <c r="G3318" s="1" t="s">
        <v>25</v>
      </c>
      <c r="H3318" s="1" t="s">
        <v>18</v>
      </c>
      <c r="I3318" s="3">
        <f>+2250546757301</f>
        <v>2250546757301</v>
      </c>
      <c r="J3318" s="3">
        <f>+2250505088943</f>
        <v>2250505088943</v>
      </c>
      <c r="K3318" s="1" t="s">
        <v>19</v>
      </c>
      <c r="L3318" s="4" t="s">
        <v>11281</v>
      </c>
    </row>
    <row r="3319">
      <c r="A3319" s="1" t="s">
        <v>12</v>
      </c>
      <c r="B3319" s="1" t="s">
        <v>11282</v>
      </c>
      <c r="C3319" s="1" t="s">
        <v>11283</v>
      </c>
      <c r="D3319" s="1" t="s">
        <v>11284</v>
      </c>
      <c r="E3319" s="2">
        <v>37888.0</v>
      </c>
      <c r="F3319" s="1" t="s">
        <v>62</v>
      </c>
      <c r="G3319" s="1" t="s">
        <v>17</v>
      </c>
      <c r="H3319" s="1" t="s">
        <v>18</v>
      </c>
      <c r="I3319" s="3">
        <f>+2250710520714</f>
        <v>2250710520714</v>
      </c>
      <c r="J3319" s="3">
        <f>+2250708225029</f>
        <v>2250708225029</v>
      </c>
      <c r="K3319" s="1" t="s">
        <v>19</v>
      </c>
      <c r="L3319" s="4" t="s">
        <v>11285</v>
      </c>
    </row>
    <row r="3320">
      <c r="A3320" s="1" t="s">
        <v>12</v>
      </c>
      <c r="B3320" s="1" t="s">
        <v>11286</v>
      </c>
      <c r="C3320" s="1" t="s">
        <v>11287</v>
      </c>
      <c r="D3320" s="1" t="s">
        <v>11288</v>
      </c>
      <c r="E3320" s="2">
        <v>37438.0</v>
      </c>
      <c r="F3320" s="1" t="s">
        <v>101</v>
      </c>
      <c r="G3320" s="1" t="s">
        <v>31</v>
      </c>
      <c r="H3320" s="1" t="s">
        <v>32</v>
      </c>
      <c r="I3320" s="3">
        <f>+2250778780006</f>
        <v>2250778780006</v>
      </c>
      <c r="J3320" s="3">
        <f>+2250505287639</f>
        <v>2250505287639</v>
      </c>
      <c r="K3320" s="1" t="s">
        <v>19</v>
      </c>
      <c r="L3320" s="4" t="s">
        <v>11289</v>
      </c>
    </row>
    <row r="3321">
      <c r="A3321" s="1" t="s">
        <v>12</v>
      </c>
      <c r="B3321" s="1" t="s">
        <v>11290</v>
      </c>
      <c r="C3321" s="1" t="s">
        <v>11291</v>
      </c>
      <c r="D3321" s="1" t="s">
        <v>11292</v>
      </c>
      <c r="E3321" s="2">
        <v>37335.0</v>
      </c>
      <c r="F3321" s="1" t="s">
        <v>62</v>
      </c>
      <c r="G3321" s="1" t="s">
        <v>17</v>
      </c>
      <c r="H3321" s="1" t="s">
        <v>18</v>
      </c>
      <c r="I3321" s="3">
        <f>+2250586275041</f>
        <v>2250586275041</v>
      </c>
      <c r="J3321" s="3">
        <f>+2250777685687</f>
        <v>2250777685687</v>
      </c>
      <c r="K3321" s="1" t="s">
        <v>19</v>
      </c>
      <c r="L3321" s="4" t="s">
        <v>11293</v>
      </c>
    </row>
    <row r="3322">
      <c r="A3322" s="1" t="s">
        <v>12</v>
      </c>
      <c r="B3322" s="1" t="s">
        <v>11294</v>
      </c>
      <c r="C3322" s="1" t="s">
        <v>11295</v>
      </c>
      <c r="D3322" s="1" t="s">
        <v>11296</v>
      </c>
      <c r="E3322" s="2">
        <v>38065.0</v>
      </c>
      <c r="F3322" s="1" t="s">
        <v>16</v>
      </c>
      <c r="G3322" s="1" t="s">
        <v>17</v>
      </c>
      <c r="H3322" s="1" t="s">
        <v>18</v>
      </c>
      <c r="I3322" s="3">
        <f>+2250565889593</f>
        <v>2250565889593</v>
      </c>
      <c r="J3322" s="3">
        <f>+2250759991318</f>
        <v>2250759991318</v>
      </c>
      <c r="K3322" s="1" t="s">
        <v>19</v>
      </c>
      <c r="L3322" s="4" t="s">
        <v>11297</v>
      </c>
    </row>
    <row r="3323">
      <c r="A3323" s="1" t="s">
        <v>12</v>
      </c>
      <c r="B3323" s="1" t="s">
        <v>11298</v>
      </c>
      <c r="C3323" s="1" t="s">
        <v>11299</v>
      </c>
      <c r="D3323" s="1" t="s">
        <v>11300</v>
      </c>
      <c r="E3323" s="2">
        <v>38292.0</v>
      </c>
      <c r="F3323" s="1" t="s">
        <v>167</v>
      </c>
      <c r="G3323" s="1" t="s">
        <v>25</v>
      </c>
      <c r="H3323" s="1" t="s">
        <v>18</v>
      </c>
      <c r="I3323" s="3">
        <f>+2250594406437</f>
        <v>2250594406437</v>
      </c>
      <c r="J3323" s="3">
        <f>+2250546560090</f>
        <v>2250546560090</v>
      </c>
      <c r="K3323" s="1" t="s">
        <v>19</v>
      </c>
      <c r="L3323" s="4" t="s">
        <v>11301</v>
      </c>
    </row>
    <row r="3324">
      <c r="A3324" s="1" t="s">
        <v>12</v>
      </c>
      <c r="B3324" s="1" t="s">
        <v>11302</v>
      </c>
      <c r="C3324" s="1" t="s">
        <v>11303</v>
      </c>
      <c r="D3324" s="1" t="s">
        <v>11304</v>
      </c>
      <c r="E3324" s="2">
        <v>37691.0</v>
      </c>
      <c r="F3324" s="1" t="s">
        <v>138</v>
      </c>
      <c r="G3324" s="1" t="s">
        <v>76</v>
      </c>
      <c r="H3324" s="1" t="s">
        <v>32</v>
      </c>
      <c r="I3324" s="3">
        <f>+2250787278776</f>
        <v>2250787278776</v>
      </c>
      <c r="J3324" s="3">
        <f>+2250769730340</f>
        <v>2250769730340</v>
      </c>
      <c r="K3324" s="1" t="s">
        <v>19</v>
      </c>
      <c r="L3324" s="4" t="s">
        <v>11305</v>
      </c>
    </row>
    <row r="3325">
      <c r="A3325" s="1" t="s">
        <v>12</v>
      </c>
      <c r="B3325" s="1" t="s">
        <v>11306</v>
      </c>
      <c r="C3325" s="1" t="s">
        <v>11307</v>
      </c>
      <c r="D3325" s="1" t="s">
        <v>11308</v>
      </c>
      <c r="E3325" s="5">
        <v>36854.0</v>
      </c>
      <c r="F3325" s="1" t="s">
        <v>62</v>
      </c>
      <c r="G3325" s="1" t="s">
        <v>25</v>
      </c>
      <c r="H3325" s="1" t="s">
        <v>18</v>
      </c>
      <c r="I3325" s="3">
        <f>+2250706465018</f>
        <v>2250706465018</v>
      </c>
      <c r="J3325" s="3">
        <f>+2250778233856</f>
        <v>2250778233856</v>
      </c>
      <c r="K3325" s="1" t="s">
        <v>19</v>
      </c>
      <c r="L3325" s="4" t="s">
        <v>11309</v>
      </c>
    </row>
    <row r="3326">
      <c r="A3326" s="1" t="s">
        <v>12</v>
      </c>
      <c r="B3326" s="1" t="s">
        <v>11310</v>
      </c>
      <c r="C3326" s="1" t="s">
        <v>11307</v>
      </c>
      <c r="D3326" s="1" t="s">
        <v>11311</v>
      </c>
      <c r="E3326" s="2">
        <v>38189.0</v>
      </c>
      <c r="F3326" s="1" t="s">
        <v>167</v>
      </c>
      <c r="G3326" s="1" t="s">
        <v>82</v>
      </c>
      <c r="H3326" s="1" t="s">
        <v>18</v>
      </c>
      <c r="I3326" s="3">
        <f>+2250767780688</f>
        <v>2250767780688</v>
      </c>
      <c r="J3326" s="3">
        <f>+2250707182725</f>
        <v>2250707182725</v>
      </c>
      <c r="K3326" s="1" t="s">
        <v>19</v>
      </c>
      <c r="L3326" s="4" t="s">
        <v>11312</v>
      </c>
    </row>
    <row r="3327">
      <c r="A3327" s="1" t="s">
        <v>12</v>
      </c>
      <c r="B3327" s="1" t="s">
        <v>11313</v>
      </c>
      <c r="C3327" s="1" t="s">
        <v>11307</v>
      </c>
      <c r="D3327" s="1" t="s">
        <v>11314</v>
      </c>
      <c r="E3327" s="2">
        <v>37391.0</v>
      </c>
      <c r="F3327" s="1" t="s">
        <v>167</v>
      </c>
      <c r="G3327" s="1" t="s">
        <v>17</v>
      </c>
      <c r="H3327" s="1" t="s">
        <v>18</v>
      </c>
      <c r="I3327" s="3">
        <f>+2250103617008</f>
        <v>2250103617008</v>
      </c>
      <c r="J3327" s="3">
        <f>+2250505757998</f>
        <v>2250505757998</v>
      </c>
      <c r="K3327" s="1" t="s">
        <v>19</v>
      </c>
      <c r="L3327" s="4" t="s">
        <v>11315</v>
      </c>
    </row>
    <row r="3328">
      <c r="A3328" s="1" t="s">
        <v>12</v>
      </c>
      <c r="B3328" s="1" t="s">
        <v>11316</v>
      </c>
      <c r="C3328" s="1" t="s">
        <v>11307</v>
      </c>
      <c r="D3328" s="1" t="s">
        <v>11317</v>
      </c>
      <c r="E3328" s="2">
        <v>37421.0</v>
      </c>
      <c r="F3328" s="1" t="s">
        <v>62</v>
      </c>
      <c r="G3328" s="1" t="s">
        <v>17</v>
      </c>
      <c r="H3328" s="1" t="s">
        <v>18</v>
      </c>
      <c r="I3328" s="3">
        <f>+2250758739635</f>
        <v>2250758739635</v>
      </c>
      <c r="J3328" s="3">
        <f>+2250797357867</f>
        <v>2250797357867</v>
      </c>
      <c r="K3328" s="1" t="s">
        <v>19</v>
      </c>
      <c r="L3328" s="4" t="s">
        <v>11318</v>
      </c>
    </row>
    <row r="3329">
      <c r="A3329" s="1" t="s">
        <v>12</v>
      </c>
      <c r="B3329" s="1" t="s">
        <v>11319</v>
      </c>
      <c r="C3329" s="1" t="s">
        <v>11307</v>
      </c>
      <c r="D3329" s="1" t="s">
        <v>11320</v>
      </c>
      <c r="E3329" s="5">
        <v>38711.0</v>
      </c>
      <c r="F3329" s="1" t="s">
        <v>75</v>
      </c>
      <c r="G3329" s="1" t="s">
        <v>76</v>
      </c>
      <c r="H3329" s="1" t="s">
        <v>32</v>
      </c>
      <c r="I3329" s="3">
        <f>+2250150478730</f>
        <v>2250150478730</v>
      </c>
      <c r="J3329" s="3">
        <f>+2250748587087</f>
        <v>2250748587087</v>
      </c>
      <c r="K3329" s="1" t="s">
        <v>19</v>
      </c>
      <c r="L3329" s="4" t="s">
        <v>11321</v>
      </c>
    </row>
    <row r="3330">
      <c r="A3330" s="1" t="s">
        <v>12</v>
      </c>
      <c r="B3330" s="1" t="s">
        <v>11322</v>
      </c>
      <c r="C3330" s="1" t="s">
        <v>11323</v>
      </c>
      <c r="D3330" s="1" t="s">
        <v>11324</v>
      </c>
      <c r="E3330" s="2">
        <v>38435.0</v>
      </c>
      <c r="F3330" s="1" t="s">
        <v>48</v>
      </c>
      <c r="G3330" s="1" t="s">
        <v>76</v>
      </c>
      <c r="H3330" s="1" t="s">
        <v>32</v>
      </c>
      <c r="I3330" s="3">
        <f>+2250555107079</f>
        <v>2250555107079</v>
      </c>
      <c r="J3330" s="3">
        <f>+2250142846425</f>
        <v>2250142846425</v>
      </c>
      <c r="K3330" s="1" t="s">
        <v>19</v>
      </c>
      <c r="L3330" s="4" t="s">
        <v>11325</v>
      </c>
    </row>
    <row r="3331">
      <c r="A3331" s="1" t="s">
        <v>12</v>
      </c>
      <c r="B3331" s="1" t="s">
        <v>11326</v>
      </c>
      <c r="C3331" s="1" t="s">
        <v>11327</v>
      </c>
      <c r="D3331" s="1" t="s">
        <v>1053</v>
      </c>
      <c r="E3331" s="2">
        <v>37705.0</v>
      </c>
      <c r="F3331" s="1" t="s">
        <v>16</v>
      </c>
      <c r="G3331" s="1" t="s">
        <v>25</v>
      </c>
      <c r="H3331" s="1" t="s">
        <v>18</v>
      </c>
      <c r="I3331" s="3">
        <f>+2250102716638</f>
        <v>2250102716638</v>
      </c>
      <c r="J3331" s="3">
        <f>+2250700902193</f>
        <v>2250700902193</v>
      </c>
      <c r="K3331" s="1" t="s">
        <v>19</v>
      </c>
      <c r="L3331" s="4" t="s">
        <v>11328</v>
      </c>
    </row>
    <row r="3332">
      <c r="A3332" s="1" t="s">
        <v>12</v>
      </c>
      <c r="B3332" s="1" t="s">
        <v>11329</v>
      </c>
      <c r="C3332" s="1" t="s">
        <v>11327</v>
      </c>
      <c r="D3332" s="1" t="s">
        <v>1973</v>
      </c>
      <c r="E3332" s="2">
        <v>37142.0</v>
      </c>
      <c r="F3332" s="1" t="s">
        <v>30</v>
      </c>
      <c r="G3332" s="1" t="s">
        <v>76</v>
      </c>
      <c r="H3332" s="1" t="s">
        <v>32</v>
      </c>
      <c r="I3332" s="3">
        <f>+2250768907026</f>
        <v>2250768907026</v>
      </c>
      <c r="J3332" s="3">
        <f>+2250768925020</f>
        <v>2250768925020</v>
      </c>
      <c r="K3332" s="1" t="s">
        <v>19</v>
      </c>
      <c r="L3332" s="4" t="s">
        <v>11330</v>
      </c>
    </row>
    <row r="3333">
      <c r="A3333" s="1" t="s">
        <v>12</v>
      </c>
      <c r="B3333" s="1" t="s">
        <v>11331</v>
      </c>
      <c r="C3333" s="1" t="s">
        <v>11327</v>
      </c>
      <c r="D3333" s="1" t="s">
        <v>8269</v>
      </c>
      <c r="E3333" s="2">
        <v>37326.0</v>
      </c>
      <c r="F3333" s="1" t="s">
        <v>87</v>
      </c>
      <c r="G3333" s="1" t="s">
        <v>31</v>
      </c>
      <c r="H3333" s="1" t="s">
        <v>32</v>
      </c>
      <c r="I3333" s="3">
        <f t="shared" ref="I3333:J3333" si="111">+2250170297090</f>
        <v>2250170297090</v>
      </c>
      <c r="J3333" s="3">
        <f t="shared" si="111"/>
        <v>2250170297090</v>
      </c>
      <c r="K3333" s="1" t="s">
        <v>19</v>
      </c>
      <c r="L3333" s="4" t="s">
        <v>11332</v>
      </c>
    </row>
    <row r="3334">
      <c r="A3334" s="1" t="s">
        <v>12</v>
      </c>
      <c r="B3334" s="1" t="s">
        <v>11333</v>
      </c>
      <c r="C3334" s="1" t="s">
        <v>11334</v>
      </c>
      <c r="D3334" s="1" t="s">
        <v>1756</v>
      </c>
      <c r="E3334" s="2">
        <v>37449.0</v>
      </c>
      <c r="F3334" s="1" t="s">
        <v>75</v>
      </c>
      <c r="G3334" s="1" t="s">
        <v>31</v>
      </c>
      <c r="H3334" s="1" t="s">
        <v>32</v>
      </c>
      <c r="I3334" s="3">
        <f>+2250150137214</f>
        <v>2250150137214</v>
      </c>
      <c r="J3334" s="3">
        <f>+2250700323527</f>
        <v>2250700323527</v>
      </c>
      <c r="K3334" s="1" t="s">
        <v>19</v>
      </c>
      <c r="L3334" s="4" t="s">
        <v>11335</v>
      </c>
    </row>
    <row r="3335">
      <c r="A3335" s="1" t="s">
        <v>12</v>
      </c>
      <c r="B3335" s="1" t="s">
        <v>11336</v>
      </c>
      <c r="C3335" s="1" t="s">
        <v>11337</v>
      </c>
      <c r="D3335" s="1" t="s">
        <v>11338</v>
      </c>
      <c r="E3335" s="2">
        <v>37783.0</v>
      </c>
      <c r="F3335" s="1" t="s">
        <v>48</v>
      </c>
      <c r="G3335" s="1" t="s">
        <v>76</v>
      </c>
      <c r="H3335" s="1" t="s">
        <v>32</v>
      </c>
      <c r="I3335" s="3">
        <f>+2250502894981</f>
        <v>2250502894981</v>
      </c>
      <c r="J3335" s="3">
        <f>+2250101912739</f>
        <v>2250101912739</v>
      </c>
      <c r="K3335" s="1" t="s">
        <v>19</v>
      </c>
      <c r="L3335" s="4" t="s">
        <v>11339</v>
      </c>
    </row>
    <row r="3336">
      <c r="A3336" s="1" t="s">
        <v>12</v>
      </c>
      <c r="B3336" s="1" t="s">
        <v>11340</v>
      </c>
      <c r="C3336" s="1" t="s">
        <v>11341</v>
      </c>
      <c r="D3336" s="1" t="s">
        <v>11342</v>
      </c>
      <c r="E3336" s="2">
        <v>45207.0</v>
      </c>
      <c r="F3336" s="1" t="s">
        <v>11343</v>
      </c>
      <c r="G3336" s="1" t="s">
        <v>25</v>
      </c>
      <c r="H3336" s="1" t="s">
        <v>18</v>
      </c>
      <c r="I3336" s="3">
        <f t="shared" ref="I3336:J3336" si="112">+2250748733365</f>
        <v>2250748733365</v>
      </c>
      <c r="J3336" s="3">
        <f t="shared" si="112"/>
        <v>2250748733365</v>
      </c>
      <c r="K3336" s="1" t="s">
        <v>19</v>
      </c>
      <c r="L3336" s="4" t="s">
        <v>11344</v>
      </c>
    </row>
    <row r="3337">
      <c r="A3337" s="1" t="s">
        <v>12</v>
      </c>
      <c r="B3337" s="1" t="s">
        <v>11345</v>
      </c>
      <c r="C3337" s="1" t="s">
        <v>11346</v>
      </c>
      <c r="D3337" s="1" t="s">
        <v>11347</v>
      </c>
      <c r="E3337" s="2">
        <v>37196.0</v>
      </c>
      <c r="F3337" s="1" t="s">
        <v>62</v>
      </c>
      <c r="G3337" s="1" t="s">
        <v>17</v>
      </c>
      <c r="H3337" s="1" t="s">
        <v>18</v>
      </c>
      <c r="I3337" s="3">
        <f>+2250504777472</f>
        <v>2250504777472</v>
      </c>
      <c r="J3337" s="3">
        <f>+2250710007762</f>
        <v>2250710007762</v>
      </c>
      <c r="K3337" s="1" t="s">
        <v>19</v>
      </c>
      <c r="L3337" s="4" t="s">
        <v>11348</v>
      </c>
    </row>
    <row r="3338">
      <c r="A3338" s="1" t="s">
        <v>12</v>
      </c>
      <c r="B3338" s="1" t="s">
        <v>11349</v>
      </c>
      <c r="C3338" s="1" t="s">
        <v>11350</v>
      </c>
      <c r="D3338" s="1" t="s">
        <v>11351</v>
      </c>
      <c r="E3338" s="5">
        <v>37224.0</v>
      </c>
      <c r="F3338" s="1" t="s">
        <v>147</v>
      </c>
      <c r="G3338" s="1" t="s">
        <v>17</v>
      </c>
      <c r="H3338" s="1" t="s">
        <v>18</v>
      </c>
      <c r="I3338" s="3">
        <f>+2250747772404</f>
        <v>2250747772404</v>
      </c>
      <c r="J3338" s="3">
        <f>+2250779228249</f>
        <v>2250779228249</v>
      </c>
      <c r="K3338" s="1" t="s">
        <v>19</v>
      </c>
      <c r="L3338" s="4" t="s">
        <v>11352</v>
      </c>
    </row>
    <row r="3339">
      <c r="A3339" s="1" t="s">
        <v>12</v>
      </c>
      <c r="B3339" s="1" t="s">
        <v>11353</v>
      </c>
      <c r="C3339" s="1" t="s">
        <v>11354</v>
      </c>
      <c r="D3339" s="1" t="s">
        <v>11355</v>
      </c>
      <c r="E3339" s="5">
        <v>37556.0</v>
      </c>
      <c r="F3339" s="1" t="s">
        <v>62</v>
      </c>
      <c r="G3339" s="1" t="s">
        <v>17</v>
      </c>
      <c r="H3339" s="1" t="s">
        <v>18</v>
      </c>
      <c r="I3339" s="3">
        <f>+2250769330132</f>
        <v>2250769330132</v>
      </c>
      <c r="J3339" s="3">
        <f>+2250707874173</f>
        <v>2250707874173</v>
      </c>
      <c r="K3339" s="1" t="s">
        <v>19</v>
      </c>
      <c r="L3339" s="4" t="s">
        <v>11356</v>
      </c>
    </row>
    <row r="3340">
      <c r="A3340" s="1" t="s">
        <v>12</v>
      </c>
      <c r="B3340" s="1" t="s">
        <v>11357</v>
      </c>
      <c r="C3340" s="1" t="s">
        <v>11354</v>
      </c>
      <c r="D3340" s="1" t="s">
        <v>9403</v>
      </c>
      <c r="E3340" s="2">
        <v>38419.0</v>
      </c>
      <c r="F3340" s="1" t="s">
        <v>138</v>
      </c>
      <c r="G3340" s="1" t="s">
        <v>31</v>
      </c>
      <c r="H3340" s="1" t="s">
        <v>32</v>
      </c>
      <c r="I3340" s="3">
        <f>+2250707874173</f>
        <v>2250707874173</v>
      </c>
      <c r="J3340" s="3">
        <f>+2250769362038</f>
        <v>2250769362038</v>
      </c>
      <c r="K3340" s="1" t="s">
        <v>19</v>
      </c>
      <c r="L3340" s="4" t="s">
        <v>11358</v>
      </c>
    </row>
    <row r="3341">
      <c r="A3341" s="1" t="s">
        <v>12</v>
      </c>
      <c r="B3341" s="1" t="s">
        <v>11359</v>
      </c>
      <c r="C3341" s="1" t="s">
        <v>11360</v>
      </c>
      <c r="D3341" s="1" t="s">
        <v>11361</v>
      </c>
      <c r="E3341" s="5">
        <v>37974.0</v>
      </c>
      <c r="F3341" s="1" t="s">
        <v>101</v>
      </c>
      <c r="G3341" s="1" t="s">
        <v>76</v>
      </c>
      <c r="H3341" s="1" t="s">
        <v>32</v>
      </c>
      <c r="I3341" s="3">
        <f>+2250102986134</f>
        <v>2250102986134</v>
      </c>
      <c r="J3341" s="3">
        <f>+2250707886040</f>
        <v>2250707886040</v>
      </c>
      <c r="K3341" s="1" t="s">
        <v>19</v>
      </c>
      <c r="L3341" s="4" t="s">
        <v>11362</v>
      </c>
    </row>
    <row r="3342">
      <c r="A3342" s="1" t="s">
        <v>12</v>
      </c>
      <c r="B3342" s="1" t="s">
        <v>11363</v>
      </c>
      <c r="C3342" s="1" t="s">
        <v>11364</v>
      </c>
      <c r="D3342" s="1" t="s">
        <v>11365</v>
      </c>
      <c r="E3342" s="2">
        <v>38158.0</v>
      </c>
      <c r="F3342" s="1" t="s">
        <v>155</v>
      </c>
      <c r="G3342" s="1" t="s">
        <v>76</v>
      </c>
      <c r="H3342" s="1" t="s">
        <v>32</v>
      </c>
      <c r="I3342" s="3">
        <f>+2250555741213</f>
        <v>2250555741213</v>
      </c>
      <c r="J3342" s="3">
        <f>+2250709114909</f>
        <v>2250709114909</v>
      </c>
      <c r="K3342" s="1" t="s">
        <v>19</v>
      </c>
      <c r="L3342" s="4" t="s">
        <v>11366</v>
      </c>
    </row>
    <row r="3343">
      <c r="A3343" s="1" t="s">
        <v>12</v>
      </c>
      <c r="B3343" s="1" t="s">
        <v>11367</v>
      </c>
      <c r="C3343" s="1" t="s">
        <v>11368</v>
      </c>
      <c r="D3343" s="1" t="s">
        <v>11369</v>
      </c>
      <c r="E3343" s="2">
        <v>38032.0</v>
      </c>
      <c r="F3343" s="1" t="s">
        <v>101</v>
      </c>
      <c r="G3343" s="1" t="s">
        <v>31</v>
      </c>
      <c r="H3343" s="1" t="s">
        <v>32</v>
      </c>
      <c r="I3343" s="3">
        <f>+2250799111798</f>
        <v>2250799111798</v>
      </c>
      <c r="J3343" s="3">
        <f>+2250757505218</f>
        <v>2250757505218</v>
      </c>
      <c r="K3343" s="1" t="s">
        <v>19</v>
      </c>
      <c r="L3343" s="4" t="s">
        <v>11370</v>
      </c>
    </row>
    <row r="3344">
      <c r="A3344" s="1" t="s">
        <v>12</v>
      </c>
      <c r="B3344" s="1" t="s">
        <v>11371</v>
      </c>
      <c r="C3344" s="1" t="s">
        <v>11368</v>
      </c>
      <c r="D3344" s="1" t="s">
        <v>11372</v>
      </c>
      <c r="E3344" s="2">
        <v>37852.0</v>
      </c>
      <c r="F3344" s="1" t="s">
        <v>70</v>
      </c>
      <c r="G3344" s="1" t="s">
        <v>76</v>
      </c>
      <c r="H3344" s="1" t="s">
        <v>32</v>
      </c>
      <c r="I3344" s="3">
        <f>+2250748599794</f>
        <v>2250748599794</v>
      </c>
      <c r="J3344" s="3">
        <f>+2250101882322</f>
        <v>2250101882322</v>
      </c>
      <c r="K3344" s="1" t="s">
        <v>19</v>
      </c>
      <c r="L3344" s="4" t="s">
        <v>11373</v>
      </c>
    </row>
    <row r="3345">
      <c r="A3345" s="1" t="s">
        <v>12</v>
      </c>
      <c r="B3345" s="1" t="s">
        <v>11374</v>
      </c>
      <c r="C3345" s="1" t="s">
        <v>11375</v>
      </c>
      <c r="D3345" s="1" t="s">
        <v>11376</v>
      </c>
      <c r="E3345" s="2">
        <v>36921.0</v>
      </c>
      <c r="F3345" s="1" t="s">
        <v>16</v>
      </c>
      <c r="G3345" s="1" t="s">
        <v>17</v>
      </c>
      <c r="H3345" s="1" t="s">
        <v>18</v>
      </c>
      <c r="I3345" s="3">
        <f>+2250151672342</f>
        <v>2250151672342</v>
      </c>
      <c r="J3345" s="3">
        <f>+2250707244483</f>
        <v>2250707244483</v>
      </c>
      <c r="K3345" s="1" t="s">
        <v>19</v>
      </c>
      <c r="L3345" s="4" t="s">
        <v>11377</v>
      </c>
    </row>
    <row r="3346">
      <c r="A3346" s="1" t="s">
        <v>12</v>
      </c>
      <c r="B3346" s="1" t="s">
        <v>11378</v>
      </c>
      <c r="C3346" s="1" t="s">
        <v>11379</v>
      </c>
      <c r="D3346" s="1" t="s">
        <v>11380</v>
      </c>
      <c r="E3346" s="2">
        <v>37323.0</v>
      </c>
      <c r="F3346" s="1" t="s">
        <v>53</v>
      </c>
      <c r="G3346" s="1" t="s">
        <v>17</v>
      </c>
      <c r="H3346" s="1" t="s">
        <v>18</v>
      </c>
      <c r="I3346" s="3">
        <f>+2250102376982</f>
        <v>2250102376982</v>
      </c>
      <c r="J3346" s="3">
        <f>+2250759394122</f>
        <v>2250759394122</v>
      </c>
      <c r="K3346" s="1" t="s">
        <v>19</v>
      </c>
      <c r="L3346" s="4" t="s">
        <v>11381</v>
      </c>
    </row>
    <row r="3347">
      <c r="A3347" s="1" t="s">
        <v>12</v>
      </c>
      <c r="B3347" s="1" t="s">
        <v>11382</v>
      </c>
      <c r="C3347" s="1" t="s">
        <v>11379</v>
      </c>
      <c r="D3347" s="1" t="s">
        <v>11383</v>
      </c>
      <c r="E3347" s="2">
        <v>38152.0</v>
      </c>
      <c r="F3347" s="1" t="s">
        <v>16</v>
      </c>
      <c r="G3347" s="1" t="s">
        <v>17</v>
      </c>
      <c r="H3347" s="1" t="s">
        <v>18</v>
      </c>
      <c r="I3347" s="3">
        <f>+2250704742563</f>
        <v>2250704742563</v>
      </c>
      <c r="J3347" s="3">
        <f>+2250709447554</f>
        <v>2250709447554</v>
      </c>
      <c r="K3347" s="1" t="s">
        <v>19</v>
      </c>
      <c r="L3347" s="4" t="s">
        <v>11384</v>
      </c>
    </row>
    <row r="3348">
      <c r="A3348" s="1" t="s">
        <v>12</v>
      </c>
      <c r="B3348" s="1" t="s">
        <v>11385</v>
      </c>
      <c r="C3348" s="1" t="s">
        <v>11379</v>
      </c>
      <c r="D3348" s="1" t="s">
        <v>11386</v>
      </c>
      <c r="E3348" s="2">
        <v>37774.0</v>
      </c>
      <c r="F3348" s="1" t="s">
        <v>62</v>
      </c>
      <c r="G3348" s="1" t="s">
        <v>17</v>
      </c>
      <c r="H3348" s="1" t="s">
        <v>18</v>
      </c>
      <c r="I3348" s="3">
        <f>+2250757983901</f>
        <v>2250757983901</v>
      </c>
      <c r="J3348" s="3">
        <f>+2250707187113</f>
        <v>2250707187113</v>
      </c>
      <c r="K3348" s="1" t="s">
        <v>19</v>
      </c>
      <c r="L3348" s="4" t="s">
        <v>11387</v>
      </c>
    </row>
    <row r="3349">
      <c r="A3349" s="1" t="s">
        <v>12</v>
      </c>
      <c r="B3349" s="1" t="s">
        <v>11388</v>
      </c>
      <c r="C3349" s="1" t="s">
        <v>11389</v>
      </c>
      <c r="D3349" s="1" t="s">
        <v>11390</v>
      </c>
      <c r="E3349" s="2">
        <v>37516.0</v>
      </c>
      <c r="F3349" s="1" t="s">
        <v>101</v>
      </c>
      <c r="G3349" s="1" t="s">
        <v>31</v>
      </c>
      <c r="H3349" s="1" t="s">
        <v>32</v>
      </c>
      <c r="I3349" s="3">
        <f>+2250566690825</f>
        <v>2250566690825</v>
      </c>
      <c r="J3349" s="3">
        <f>+2250546506740</f>
        <v>2250546506740</v>
      </c>
      <c r="K3349" s="1" t="s">
        <v>19</v>
      </c>
      <c r="L3349" s="4" t="s">
        <v>11391</v>
      </c>
    </row>
    <row r="3350">
      <c r="A3350" s="1" t="s">
        <v>12</v>
      </c>
      <c r="B3350" s="1" t="s">
        <v>11392</v>
      </c>
      <c r="C3350" s="1" t="s">
        <v>11393</v>
      </c>
      <c r="D3350" s="1" t="s">
        <v>11394</v>
      </c>
      <c r="E3350" s="2">
        <v>38986.0</v>
      </c>
      <c r="F3350" s="1" t="s">
        <v>16</v>
      </c>
      <c r="G3350" s="1" t="s">
        <v>25</v>
      </c>
      <c r="H3350" s="1" t="s">
        <v>18</v>
      </c>
      <c r="I3350" s="3">
        <f>+2250101671975</f>
        <v>2250101671975</v>
      </c>
      <c r="J3350" s="3">
        <f>+2250759938458</f>
        <v>2250759938458</v>
      </c>
      <c r="K3350" s="1" t="s">
        <v>19</v>
      </c>
      <c r="L3350" s="4" t="s">
        <v>11395</v>
      </c>
    </row>
    <row r="3351">
      <c r="A3351" s="1" t="s">
        <v>12</v>
      </c>
      <c r="B3351" s="1" t="s">
        <v>11396</v>
      </c>
      <c r="C3351" s="1" t="s">
        <v>11397</v>
      </c>
      <c r="D3351" s="1" t="s">
        <v>6680</v>
      </c>
      <c r="E3351" s="2">
        <v>37622.0</v>
      </c>
      <c r="F3351" s="1" t="s">
        <v>53</v>
      </c>
      <c r="G3351" s="1" t="s">
        <v>25</v>
      </c>
      <c r="H3351" s="1" t="s">
        <v>18</v>
      </c>
      <c r="I3351" s="3">
        <f>+2250565113120</f>
        <v>2250565113120</v>
      </c>
      <c r="J3351" s="3">
        <f>+2250566089190</f>
        <v>2250566089190</v>
      </c>
      <c r="K3351" s="1" t="s">
        <v>19</v>
      </c>
      <c r="L3351" s="4" t="s">
        <v>11398</v>
      </c>
    </row>
    <row r="3352">
      <c r="A3352" s="1" t="s">
        <v>12</v>
      </c>
      <c r="B3352" s="1" t="s">
        <v>11399</v>
      </c>
      <c r="C3352" s="1" t="s">
        <v>11397</v>
      </c>
      <c r="D3352" s="1" t="s">
        <v>11400</v>
      </c>
      <c r="E3352" s="2">
        <v>37708.0</v>
      </c>
      <c r="F3352" s="1" t="s">
        <v>48</v>
      </c>
      <c r="G3352" s="1" t="s">
        <v>76</v>
      </c>
      <c r="H3352" s="1" t="s">
        <v>32</v>
      </c>
      <c r="I3352" s="3">
        <f>+2250501435623</f>
        <v>2250501435623</v>
      </c>
      <c r="J3352" s="3">
        <f>+2250747202153</f>
        <v>2250747202153</v>
      </c>
      <c r="K3352" s="1" t="s">
        <v>19</v>
      </c>
      <c r="L3352" s="4" t="s">
        <v>11401</v>
      </c>
    </row>
    <row r="3353">
      <c r="A3353" s="1" t="s">
        <v>12</v>
      </c>
      <c r="B3353" s="1" t="s">
        <v>11402</v>
      </c>
      <c r="C3353" s="1" t="s">
        <v>11403</v>
      </c>
      <c r="D3353" s="1" t="s">
        <v>11404</v>
      </c>
      <c r="E3353" s="5">
        <v>38279.0</v>
      </c>
      <c r="F3353" s="1" t="s">
        <v>138</v>
      </c>
      <c r="G3353" s="1" t="s">
        <v>76</v>
      </c>
      <c r="H3353" s="1" t="s">
        <v>32</v>
      </c>
      <c r="I3353" s="3">
        <f>+2250505832766</f>
        <v>2250505832766</v>
      </c>
      <c r="J3353" s="3">
        <f>+2250505541744</f>
        <v>2250505541744</v>
      </c>
      <c r="K3353" s="1" t="s">
        <v>19</v>
      </c>
      <c r="L3353" s="4" t="s">
        <v>11405</v>
      </c>
    </row>
    <row r="3354">
      <c r="A3354" s="1" t="s">
        <v>12</v>
      </c>
      <c r="B3354" s="1" t="s">
        <v>11406</v>
      </c>
      <c r="C3354" s="1" t="s">
        <v>11407</v>
      </c>
      <c r="D3354" s="1" t="s">
        <v>11408</v>
      </c>
      <c r="E3354" s="2">
        <v>37791.0</v>
      </c>
      <c r="F3354" s="1" t="s">
        <v>92</v>
      </c>
      <c r="G3354" s="1" t="s">
        <v>82</v>
      </c>
      <c r="H3354" s="1" t="s">
        <v>18</v>
      </c>
      <c r="I3354" s="3">
        <f>+2250788083631</f>
        <v>2250788083631</v>
      </c>
      <c r="J3354" s="3">
        <f>+2250707977996</f>
        <v>2250707977996</v>
      </c>
      <c r="K3354" s="1" t="s">
        <v>19</v>
      </c>
      <c r="L3354" s="4" t="s">
        <v>11409</v>
      </c>
    </row>
    <row r="3355">
      <c r="A3355" s="1" t="s">
        <v>12</v>
      </c>
      <c r="B3355" s="1" t="s">
        <v>11410</v>
      </c>
      <c r="C3355" s="1" t="s">
        <v>11411</v>
      </c>
      <c r="D3355" s="1" t="s">
        <v>11412</v>
      </c>
      <c r="E3355" s="2">
        <v>37380.0</v>
      </c>
      <c r="F3355" s="1" t="s">
        <v>30</v>
      </c>
      <c r="G3355" s="1" t="s">
        <v>31</v>
      </c>
      <c r="H3355" s="1" t="s">
        <v>32</v>
      </c>
      <c r="I3355" s="3">
        <f>+2250701620597</f>
        <v>2250701620597</v>
      </c>
      <c r="J3355" s="3">
        <f>+2250141288006</f>
        <v>2250141288006</v>
      </c>
      <c r="K3355" s="1" t="s">
        <v>19</v>
      </c>
      <c r="L3355" s="4" t="s">
        <v>11413</v>
      </c>
    </row>
    <row r="3356">
      <c r="A3356" s="1" t="s">
        <v>12</v>
      </c>
      <c r="B3356" s="1" t="s">
        <v>11414</v>
      </c>
      <c r="C3356" s="1" t="s">
        <v>11415</v>
      </c>
      <c r="D3356" s="1" t="s">
        <v>11416</v>
      </c>
      <c r="E3356" s="2">
        <v>38661.0</v>
      </c>
      <c r="F3356" s="1" t="s">
        <v>70</v>
      </c>
      <c r="G3356" s="1" t="s">
        <v>76</v>
      </c>
      <c r="H3356" s="1" t="s">
        <v>32</v>
      </c>
      <c r="I3356" s="3">
        <f>+2250556751839</f>
        <v>2250556751839</v>
      </c>
      <c r="J3356" s="3">
        <f>+2250787545451</f>
        <v>2250787545451</v>
      </c>
      <c r="K3356" s="1" t="s">
        <v>19</v>
      </c>
      <c r="L3356" s="4" t="s">
        <v>11417</v>
      </c>
    </row>
    <row r="3357">
      <c r="A3357" s="1" t="s">
        <v>12</v>
      </c>
      <c r="B3357" s="1" t="s">
        <v>11418</v>
      </c>
      <c r="C3357" s="1" t="s">
        <v>11419</v>
      </c>
      <c r="D3357" s="1" t="s">
        <v>11420</v>
      </c>
      <c r="E3357" s="2">
        <v>38130.0</v>
      </c>
      <c r="F3357" s="1" t="s">
        <v>62</v>
      </c>
      <c r="G3357" s="1" t="s">
        <v>25</v>
      </c>
      <c r="H3357" s="1" t="s">
        <v>18</v>
      </c>
      <c r="I3357" s="3">
        <f>+2250504357335</f>
        <v>2250504357335</v>
      </c>
      <c r="J3357" s="3">
        <f>+22507575354</f>
        <v>22507575354</v>
      </c>
      <c r="K3357" s="1" t="s">
        <v>19</v>
      </c>
      <c r="L3357" s="4" t="s">
        <v>11421</v>
      </c>
    </row>
    <row r="3358">
      <c r="A3358" s="1" t="s">
        <v>12</v>
      </c>
      <c r="B3358" s="1" t="s">
        <v>11422</v>
      </c>
      <c r="C3358" s="1" t="s">
        <v>11419</v>
      </c>
      <c r="D3358" s="1" t="s">
        <v>11423</v>
      </c>
      <c r="E3358" s="2">
        <v>37776.0</v>
      </c>
      <c r="F3358" s="1" t="s">
        <v>16</v>
      </c>
      <c r="G3358" s="1" t="s">
        <v>25</v>
      </c>
      <c r="H3358" s="1" t="s">
        <v>18</v>
      </c>
      <c r="I3358" s="3">
        <f>+2250141338504</f>
        <v>2250141338504</v>
      </c>
      <c r="J3358" s="3">
        <f>+2250708899275</f>
        <v>2250708899275</v>
      </c>
      <c r="K3358" s="1" t="s">
        <v>19</v>
      </c>
      <c r="L3358" s="4" t="s">
        <v>11424</v>
      </c>
    </row>
    <row r="3359">
      <c r="A3359" s="1" t="s">
        <v>12</v>
      </c>
      <c r="B3359" s="1" t="s">
        <v>11425</v>
      </c>
      <c r="C3359" s="1" t="s">
        <v>11419</v>
      </c>
      <c r="D3359" s="1" t="s">
        <v>11426</v>
      </c>
      <c r="E3359" s="2">
        <v>37811.0</v>
      </c>
      <c r="F3359" s="1" t="s">
        <v>62</v>
      </c>
      <c r="G3359" s="1" t="s">
        <v>25</v>
      </c>
      <c r="H3359" s="1" t="s">
        <v>18</v>
      </c>
      <c r="I3359" s="3">
        <f>+2250141180019</f>
        <v>2250141180019</v>
      </c>
      <c r="J3359" s="3">
        <f>+2250708713807</f>
        <v>2250708713807</v>
      </c>
      <c r="K3359" s="1" t="s">
        <v>19</v>
      </c>
      <c r="L3359" s="4" t="s">
        <v>11427</v>
      </c>
    </row>
    <row r="3360">
      <c r="A3360" s="1" t="s">
        <v>12</v>
      </c>
      <c r="B3360" s="1" t="s">
        <v>11428</v>
      </c>
      <c r="C3360" s="1" t="s">
        <v>11429</v>
      </c>
      <c r="D3360" s="1" t="s">
        <v>11430</v>
      </c>
      <c r="E3360" s="2">
        <v>38043.0</v>
      </c>
      <c r="F3360" s="1" t="s">
        <v>30</v>
      </c>
      <c r="G3360" s="1" t="s">
        <v>31</v>
      </c>
      <c r="H3360" s="1" t="s">
        <v>32</v>
      </c>
      <c r="I3360" s="3">
        <f>+225055651577</f>
        <v>225055651577</v>
      </c>
      <c r="J3360" s="3">
        <f>+2250505134455</f>
        <v>2250505134455</v>
      </c>
      <c r="K3360" s="1" t="s">
        <v>19</v>
      </c>
      <c r="L3360" s="4" t="s">
        <v>11431</v>
      </c>
    </row>
    <row r="3361">
      <c r="A3361" s="1" t="s">
        <v>12</v>
      </c>
      <c r="B3361" s="1" t="s">
        <v>11432</v>
      </c>
      <c r="C3361" s="1" t="s">
        <v>11433</v>
      </c>
      <c r="D3361" s="1" t="s">
        <v>11434</v>
      </c>
      <c r="E3361" s="2">
        <v>37784.0</v>
      </c>
      <c r="F3361" s="1" t="s">
        <v>16</v>
      </c>
      <c r="G3361" s="1" t="s">
        <v>25</v>
      </c>
      <c r="H3361" s="1" t="s">
        <v>18</v>
      </c>
      <c r="I3361" s="3">
        <f>+2250103339057</f>
        <v>2250103339057</v>
      </c>
      <c r="J3361" s="3">
        <f>+2250504142425</f>
        <v>2250504142425</v>
      </c>
      <c r="K3361" s="1" t="s">
        <v>19</v>
      </c>
      <c r="L3361" s="4" t="s">
        <v>11435</v>
      </c>
    </row>
    <row r="3362">
      <c r="A3362" s="1" t="s">
        <v>12</v>
      </c>
      <c r="B3362" s="1" t="s">
        <v>11436</v>
      </c>
      <c r="C3362" s="1" t="s">
        <v>11437</v>
      </c>
      <c r="D3362" s="1" t="s">
        <v>11438</v>
      </c>
      <c r="E3362" s="2">
        <v>38455.0</v>
      </c>
      <c r="F3362" s="1" t="s">
        <v>138</v>
      </c>
      <c r="G3362" s="1" t="s">
        <v>76</v>
      </c>
      <c r="H3362" s="1" t="s">
        <v>32</v>
      </c>
      <c r="I3362" s="3">
        <f>+2250749807891</f>
        <v>2250749807891</v>
      </c>
      <c r="J3362" s="3">
        <f>+2250707395221</f>
        <v>2250707395221</v>
      </c>
      <c r="K3362" s="1" t="s">
        <v>19</v>
      </c>
      <c r="L3362" s="4" t="s">
        <v>11439</v>
      </c>
    </row>
    <row r="3363">
      <c r="A3363" s="1" t="s">
        <v>12</v>
      </c>
      <c r="B3363" s="1" t="s">
        <v>11440</v>
      </c>
      <c r="C3363" s="1" t="s">
        <v>11441</v>
      </c>
      <c r="D3363" s="1" t="s">
        <v>11442</v>
      </c>
      <c r="E3363" s="5">
        <v>37540.0</v>
      </c>
      <c r="F3363" s="1" t="s">
        <v>48</v>
      </c>
      <c r="G3363" s="1" t="s">
        <v>31</v>
      </c>
      <c r="H3363" s="1" t="s">
        <v>32</v>
      </c>
      <c r="I3363" s="3">
        <f>+2250768294845</f>
        <v>2250768294845</v>
      </c>
      <c r="J3363" s="3">
        <f>+2250707681410</f>
        <v>2250707681410</v>
      </c>
      <c r="K3363" s="1" t="s">
        <v>19</v>
      </c>
      <c r="L3363" s="4" t="s">
        <v>11443</v>
      </c>
    </row>
    <row r="3364">
      <c r="A3364" s="1" t="s">
        <v>12</v>
      </c>
      <c r="B3364" s="1" t="s">
        <v>11444</v>
      </c>
      <c r="C3364" s="1" t="s">
        <v>11445</v>
      </c>
      <c r="D3364" s="1" t="s">
        <v>11446</v>
      </c>
      <c r="E3364" s="5">
        <v>37935.0</v>
      </c>
      <c r="F3364" s="1" t="s">
        <v>30</v>
      </c>
      <c r="G3364" s="1" t="s">
        <v>76</v>
      </c>
      <c r="H3364" s="1" t="s">
        <v>32</v>
      </c>
      <c r="I3364" s="3">
        <f>+2250151914593</f>
        <v>2250151914593</v>
      </c>
      <c r="J3364" s="3">
        <f>+2250103090372</f>
        <v>2250103090372</v>
      </c>
      <c r="K3364" s="1" t="s">
        <v>19</v>
      </c>
      <c r="L3364" s="4" t="s">
        <v>11447</v>
      </c>
    </row>
    <row r="3365">
      <c r="A3365" s="1" t="s">
        <v>12</v>
      </c>
      <c r="B3365" s="1" t="s">
        <v>11448</v>
      </c>
      <c r="C3365" s="1" t="s">
        <v>11449</v>
      </c>
      <c r="D3365" s="1" t="s">
        <v>11450</v>
      </c>
      <c r="E3365" s="2">
        <v>37798.0</v>
      </c>
      <c r="F3365" s="1" t="s">
        <v>16</v>
      </c>
      <c r="G3365" s="1" t="s">
        <v>17</v>
      </c>
      <c r="H3365" s="1" t="s">
        <v>18</v>
      </c>
      <c r="I3365" s="3">
        <f>+2250777525428</f>
        <v>2250777525428</v>
      </c>
      <c r="J3365" s="3">
        <f>+2250707500933</f>
        <v>2250707500933</v>
      </c>
      <c r="K3365" s="1" t="s">
        <v>19</v>
      </c>
      <c r="L3365" s="4" t="s">
        <v>11451</v>
      </c>
    </row>
    <row r="3366">
      <c r="A3366" s="1" t="s">
        <v>12</v>
      </c>
      <c r="B3366" s="1" t="s">
        <v>11452</v>
      </c>
      <c r="C3366" s="1" t="s">
        <v>11453</v>
      </c>
      <c r="D3366" s="1" t="s">
        <v>11454</v>
      </c>
      <c r="E3366" s="2">
        <v>38503.0</v>
      </c>
      <c r="F3366" s="1" t="s">
        <v>24</v>
      </c>
      <c r="G3366" s="1" t="s">
        <v>17</v>
      </c>
      <c r="H3366" s="1" t="s">
        <v>18</v>
      </c>
      <c r="I3366" s="3">
        <f>+2250160808621</f>
        <v>2250160808621</v>
      </c>
      <c r="J3366" s="3">
        <f>+2250505907356</f>
        <v>2250505907356</v>
      </c>
      <c r="K3366" s="1" t="s">
        <v>19</v>
      </c>
      <c r="L3366" s="4" t="s">
        <v>11455</v>
      </c>
    </row>
    <row r="3367">
      <c r="A3367" s="1" t="s">
        <v>12</v>
      </c>
      <c r="B3367" s="1" t="s">
        <v>11456</v>
      </c>
      <c r="C3367" s="1" t="s">
        <v>11457</v>
      </c>
      <c r="D3367" s="1" t="s">
        <v>11458</v>
      </c>
      <c r="E3367" s="2">
        <v>38119.0</v>
      </c>
      <c r="F3367" s="1" t="s">
        <v>53</v>
      </c>
      <c r="G3367" s="1" t="s">
        <v>25</v>
      </c>
      <c r="H3367" s="1" t="s">
        <v>18</v>
      </c>
      <c r="I3367" s="3">
        <f>+2250502231114</f>
        <v>2250502231114</v>
      </c>
      <c r="J3367" s="3">
        <f>+2250101758230</f>
        <v>2250101758230</v>
      </c>
      <c r="K3367" s="1" t="s">
        <v>19</v>
      </c>
      <c r="L3367" s="4" t="s">
        <v>11459</v>
      </c>
    </row>
    <row r="3368">
      <c r="A3368" s="1" t="s">
        <v>12</v>
      </c>
      <c r="B3368" s="1" t="s">
        <v>11460</v>
      </c>
      <c r="C3368" s="1" t="s">
        <v>11461</v>
      </c>
      <c r="D3368" s="1" t="s">
        <v>11462</v>
      </c>
      <c r="E3368" s="5">
        <v>37935.0</v>
      </c>
      <c r="F3368" s="1" t="s">
        <v>62</v>
      </c>
      <c r="G3368" s="1" t="s">
        <v>17</v>
      </c>
      <c r="H3368" s="1" t="s">
        <v>18</v>
      </c>
      <c r="I3368" s="3">
        <f>+2250702143843</f>
        <v>2250702143843</v>
      </c>
      <c r="J3368" s="3">
        <f>+2250505141548</f>
        <v>2250505141548</v>
      </c>
      <c r="K3368" s="1" t="s">
        <v>19</v>
      </c>
      <c r="L3368" s="4" t="s">
        <v>11463</v>
      </c>
    </row>
    <row r="3369">
      <c r="A3369" s="1" t="s">
        <v>12</v>
      </c>
      <c r="B3369" s="1" t="s">
        <v>11464</v>
      </c>
      <c r="C3369" s="1" t="s">
        <v>11465</v>
      </c>
      <c r="D3369" s="1" t="s">
        <v>2669</v>
      </c>
      <c r="E3369" s="2">
        <v>37653.0</v>
      </c>
      <c r="F3369" s="1" t="s">
        <v>155</v>
      </c>
      <c r="G3369" s="1" t="s">
        <v>31</v>
      </c>
      <c r="H3369" s="1" t="s">
        <v>32</v>
      </c>
      <c r="I3369" s="3">
        <f>+2250747536208</f>
        <v>2250747536208</v>
      </c>
      <c r="J3369" s="3">
        <f>+2250747038130</f>
        <v>2250747038130</v>
      </c>
      <c r="K3369" s="1" t="s">
        <v>19</v>
      </c>
      <c r="L3369" s="4" t="s">
        <v>11466</v>
      </c>
    </row>
    <row r="3370">
      <c r="A3370" s="1" t="s">
        <v>12</v>
      </c>
      <c r="B3370" s="1" t="s">
        <v>11467</v>
      </c>
      <c r="C3370" s="1" t="s">
        <v>11468</v>
      </c>
      <c r="D3370" s="1" t="s">
        <v>11469</v>
      </c>
      <c r="E3370" s="5">
        <v>38715.0</v>
      </c>
      <c r="F3370" s="1" t="s">
        <v>24</v>
      </c>
      <c r="G3370" s="1" t="s">
        <v>82</v>
      </c>
      <c r="H3370" s="1" t="s">
        <v>18</v>
      </c>
      <c r="I3370" s="3">
        <f>+2250574448881</f>
        <v>2250574448881</v>
      </c>
      <c r="J3370" s="3">
        <f>+2250564503299</f>
        <v>2250564503299</v>
      </c>
      <c r="K3370" s="1" t="s">
        <v>19</v>
      </c>
      <c r="L3370" s="4" t="s">
        <v>11470</v>
      </c>
    </row>
    <row r="3371">
      <c r="A3371" s="1" t="s">
        <v>12</v>
      </c>
      <c r="B3371" s="1" t="s">
        <v>11471</v>
      </c>
      <c r="C3371" s="1" t="s">
        <v>11468</v>
      </c>
      <c r="D3371" s="1" t="s">
        <v>11472</v>
      </c>
      <c r="E3371" s="2">
        <v>38833.0</v>
      </c>
      <c r="F3371" s="1" t="s">
        <v>53</v>
      </c>
      <c r="G3371" s="1" t="s">
        <v>25</v>
      </c>
      <c r="H3371" s="1" t="s">
        <v>18</v>
      </c>
      <c r="I3371" s="3">
        <f>+2250160911191</f>
        <v>2250160911191</v>
      </c>
      <c r="J3371" s="3">
        <f>+2250709108489</f>
        <v>2250709108489</v>
      </c>
      <c r="K3371" s="1" t="s">
        <v>19</v>
      </c>
      <c r="L3371" s="4" t="s">
        <v>11473</v>
      </c>
    </row>
    <row r="3372">
      <c r="A3372" s="1" t="s">
        <v>12</v>
      </c>
      <c r="B3372" s="1" t="s">
        <v>11474</v>
      </c>
      <c r="C3372" s="1" t="s">
        <v>11468</v>
      </c>
      <c r="D3372" s="1" t="s">
        <v>11475</v>
      </c>
      <c r="E3372" s="5">
        <v>38641.0</v>
      </c>
      <c r="F3372" s="1" t="s">
        <v>62</v>
      </c>
      <c r="G3372" s="1" t="s">
        <v>25</v>
      </c>
      <c r="H3372" s="1" t="s">
        <v>18</v>
      </c>
      <c r="I3372" s="3">
        <f>+2250713357005</f>
        <v>2250713357005</v>
      </c>
      <c r="J3372" s="3">
        <f>+2250707332703</f>
        <v>2250707332703</v>
      </c>
      <c r="K3372" s="1" t="s">
        <v>19</v>
      </c>
      <c r="L3372" s="4" t="s">
        <v>11476</v>
      </c>
    </row>
    <row r="3373">
      <c r="A3373" s="1" t="s">
        <v>12</v>
      </c>
      <c r="B3373" s="1" t="s">
        <v>11477</v>
      </c>
      <c r="C3373" s="1" t="s">
        <v>11468</v>
      </c>
      <c r="D3373" s="1" t="s">
        <v>11478</v>
      </c>
      <c r="E3373" s="2">
        <v>37303.0</v>
      </c>
      <c r="F3373" s="1" t="s">
        <v>16</v>
      </c>
      <c r="G3373" s="1" t="s">
        <v>25</v>
      </c>
      <c r="H3373" s="1" t="s">
        <v>18</v>
      </c>
      <c r="I3373" s="3">
        <f>+2250703931341</f>
        <v>2250703931341</v>
      </c>
      <c r="J3373" s="3">
        <f>+2250708107150</f>
        <v>2250708107150</v>
      </c>
      <c r="K3373" s="1" t="s">
        <v>19</v>
      </c>
      <c r="L3373" s="4" t="s">
        <v>11479</v>
      </c>
    </row>
    <row r="3374">
      <c r="A3374" s="1" t="s">
        <v>12</v>
      </c>
      <c r="B3374" s="1" t="s">
        <v>11480</v>
      </c>
      <c r="C3374" s="1" t="s">
        <v>11481</v>
      </c>
      <c r="D3374" s="1" t="s">
        <v>11482</v>
      </c>
      <c r="E3374" s="2">
        <v>39089.0</v>
      </c>
      <c r="F3374" s="1" t="s">
        <v>101</v>
      </c>
      <c r="G3374" s="1" t="s">
        <v>76</v>
      </c>
      <c r="H3374" s="1" t="s">
        <v>32</v>
      </c>
      <c r="I3374" s="3">
        <f>+2250586082157</f>
        <v>2250586082157</v>
      </c>
      <c r="J3374" s="3">
        <f>+2250585362084</f>
        <v>2250585362084</v>
      </c>
      <c r="K3374" s="1" t="s">
        <v>19</v>
      </c>
      <c r="L3374" s="4" t="s">
        <v>11483</v>
      </c>
    </row>
    <row r="3375">
      <c r="A3375" s="1" t="s">
        <v>12</v>
      </c>
      <c r="B3375" s="1" t="s">
        <v>11484</v>
      </c>
      <c r="C3375" s="1" t="s">
        <v>11485</v>
      </c>
      <c r="D3375" s="1" t="s">
        <v>11486</v>
      </c>
      <c r="E3375" s="2">
        <v>38406.0</v>
      </c>
      <c r="F3375" s="1" t="s">
        <v>92</v>
      </c>
      <c r="G3375" s="1" t="s">
        <v>76</v>
      </c>
      <c r="H3375" s="1" t="s">
        <v>32</v>
      </c>
      <c r="I3375" s="3">
        <f>+2250565633225</f>
        <v>2250565633225</v>
      </c>
      <c r="J3375" s="3">
        <f>+2250505009440</f>
        <v>2250505009440</v>
      </c>
      <c r="K3375" s="1" t="s">
        <v>19</v>
      </c>
      <c r="L3375" s="4" t="s">
        <v>11487</v>
      </c>
    </row>
    <row r="3376">
      <c r="A3376" s="1" t="s">
        <v>12</v>
      </c>
      <c r="B3376" s="1" t="s">
        <v>11488</v>
      </c>
      <c r="C3376" s="1" t="s">
        <v>11489</v>
      </c>
      <c r="D3376" s="1" t="s">
        <v>11490</v>
      </c>
      <c r="E3376" s="5">
        <v>37943.0</v>
      </c>
      <c r="F3376" s="1" t="s">
        <v>24</v>
      </c>
      <c r="G3376" s="1" t="s">
        <v>25</v>
      </c>
      <c r="H3376" s="1" t="s">
        <v>18</v>
      </c>
      <c r="I3376" s="3">
        <f t="shared" ref="I3376:J3376" si="113">+2250143509473</f>
        <v>2250143509473</v>
      </c>
      <c r="J3376" s="3">
        <f t="shared" si="113"/>
        <v>2250143509473</v>
      </c>
      <c r="K3376" s="1" t="s">
        <v>19</v>
      </c>
      <c r="L3376" s="4" t="s">
        <v>11491</v>
      </c>
    </row>
    <row r="3377">
      <c r="A3377" s="1" t="s">
        <v>12</v>
      </c>
      <c r="B3377" s="1" t="s">
        <v>11492</v>
      </c>
      <c r="C3377" s="1" t="s">
        <v>11489</v>
      </c>
      <c r="D3377" s="1" t="s">
        <v>11493</v>
      </c>
      <c r="E3377" s="2">
        <v>36766.0</v>
      </c>
      <c r="F3377" s="1" t="s">
        <v>30</v>
      </c>
      <c r="G3377" s="1" t="s">
        <v>76</v>
      </c>
      <c r="H3377" s="1" t="s">
        <v>32</v>
      </c>
      <c r="I3377" s="3">
        <f>+2250758433862</f>
        <v>2250758433862</v>
      </c>
      <c r="J3377" s="3">
        <f>+2250701065672</f>
        <v>2250701065672</v>
      </c>
      <c r="K3377" s="1" t="s">
        <v>19</v>
      </c>
      <c r="L3377" s="4" t="s">
        <v>11494</v>
      </c>
    </row>
    <row r="3378">
      <c r="A3378" s="1" t="s">
        <v>12</v>
      </c>
      <c r="B3378" s="1" t="s">
        <v>11495</v>
      </c>
      <c r="C3378" s="1" t="s">
        <v>11496</v>
      </c>
      <c r="D3378" s="1" t="s">
        <v>11497</v>
      </c>
      <c r="E3378" s="2">
        <v>37786.0</v>
      </c>
      <c r="F3378" s="1" t="s">
        <v>101</v>
      </c>
      <c r="G3378" s="1" t="s">
        <v>31</v>
      </c>
      <c r="H3378" s="1" t="s">
        <v>32</v>
      </c>
      <c r="I3378" s="3">
        <f>+2250554785868</f>
        <v>2250554785868</v>
      </c>
      <c r="J3378" s="3">
        <f>+2250504929271</f>
        <v>2250504929271</v>
      </c>
      <c r="K3378" s="1" t="s">
        <v>19</v>
      </c>
      <c r="L3378" s="4" t="s">
        <v>11498</v>
      </c>
    </row>
    <row r="3379">
      <c r="A3379" s="1" t="s">
        <v>12</v>
      </c>
      <c r="B3379" s="1" t="s">
        <v>11499</v>
      </c>
      <c r="C3379" s="1" t="s">
        <v>11500</v>
      </c>
      <c r="D3379" s="1" t="s">
        <v>11501</v>
      </c>
      <c r="E3379" s="2">
        <v>37034.0</v>
      </c>
      <c r="F3379" s="1" t="s">
        <v>53</v>
      </c>
      <c r="G3379" s="1" t="s">
        <v>25</v>
      </c>
      <c r="H3379" s="1" t="s">
        <v>18</v>
      </c>
      <c r="I3379" s="3">
        <f>+2250788108685</f>
        <v>2250788108685</v>
      </c>
      <c r="J3379" s="3">
        <f>+2250709654194</f>
        <v>2250709654194</v>
      </c>
      <c r="K3379" s="1" t="s">
        <v>19</v>
      </c>
      <c r="L3379" s="4" t="s">
        <v>11502</v>
      </c>
    </row>
    <row r="3380">
      <c r="A3380" s="1" t="s">
        <v>12</v>
      </c>
      <c r="B3380" s="1" t="s">
        <v>11503</v>
      </c>
      <c r="C3380" s="1" t="s">
        <v>11500</v>
      </c>
      <c r="D3380" s="1" t="s">
        <v>11504</v>
      </c>
      <c r="E3380" s="2">
        <v>37197.0</v>
      </c>
      <c r="F3380" s="1" t="s">
        <v>138</v>
      </c>
      <c r="G3380" s="1" t="s">
        <v>31</v>
      </c>
      <c r="H3380" s="1" t="s">
        <v>32</v>
      </c>
      <c r="I3380" s="3">
        <f>+2250767426589</f>
        <v>2250767426589</v>
      </c>
      <c r="J3380" s="3">
        <f>+2250707444085</f>
        <v>2250707444085</v>
      </c>
      <c r="K3380" s="1" t="s">
        <v>19</v>
      </c>
      <c r="L3380" s="4" t="s">
        <v>11505</v>
      </c>
    </row>
    <row r="3381">
      <c r="A3381" s="1" t="s">
        <v>12</v>
      </c>
      <c r="B3381" s="1" t="s">
        <v>11506</v>
      </c>
      <c r="C3381" s="1" t="s">
        <v>11507</v>
      </c>
      <c r="D3381" s="1" t="s">
        <v>11508</v>
      </c>
      <c r="E3381" s="2">
        <v>35011.0</v>
      </c>
      <c r="F3381" s="1" t="s">
        <v>182</v>
      </c>
      <c r="G3381" s="1" t="s">
        <v>82</v>
      </c>
      <c r="H3381" s="1" t="s">
        <v>18</v>
      </c>
      <c r="I3381" s="3">
        <f>+2250777465760</f>
        <v>2250777465760</v>
      </c>
      <c r="J3381" s="3">
        <f>+2250707745031</f>
        <v>2250707745031</v>
      </c>
      <c r="K3381" s="1" t="s">
        <v>19</v>
      </c>
      <c r="L3381" s="4" t="s">
        <v>11509</v>
      </c>
    </row>
    <row r="3382">
      <c r="A3382" s="1" t="s">
        <v>12</v>
      </c>
      <c r="B3382" s="1" t="s">
        <v>11510</v>
      </c>
      <c r="C3382" s="1" t="s">
        <v>11511</v>
      </c>
      <c r="D3382" s="1" t="s">
        <v>11512</v>
      </c>
      <c r="E3382" s="2">
        <v>38126.0</v>
      </c>
      <c r="F3382" s="1" t="s">
        <v>351</v>
      </c>
      <c r="G3382" s="1" t="s">
        <v>31</v>
      </c>
      <c r="H3382" s="1" t="s">
        <v>32</v>
      </c>
      <c r="I3382" s="3">
        <f>+2250586595649</f>
        <v>2250586595649</v>
      </c>
      <c r="J3382" s="3">
        <f>+2250707842835</f>
        <v>2250707842835</v>
      </c>
      <c r="K3382" s="1" t="s">
        <v>19</v>
      </c>
      <c r="L3382" s="4" t="s">
        <v>11513</v>
      </c>
    </row>
    <row r="3383">
      <c r="A3383" s="1" t="s">
        <v>12</v>
      </c>
      <c r="B3383" s="1" t="s">
        <v>11514</v>
      </c>
      <c r="C3383" s="1" t="s">
        <v>11515</v>
      </c>
      <c r="D3383" s="1" t="s">
        <v>11516</v>
      </c>
      <c r="E3383" s="2">
        <v>37847.0</v>
      </c>
      <c r="F3383" s="1" t="s">
        <v>75</v>
      </c>
      <c r="G3383" s="1" t="s">
        <v>76</v>
      </c>
      <c r="H3383" s="1" t="s">
        <v>32</v>
      </c>
      <c r="I3383" s="3">
        <f>+2250506242886</f>
        <v>2250506242886</v>
      </c>
      <c r="J3383" s="3">
        <f>+2250564672747</f>
        <v>2250564672747</v>
      </c>
      <c r="K3383" s="1" t="s">
        <v>19</v>
      </c>
      <c r="L3383" s="4" t="s">
        <v>11517</v>
      </c>
    </row>
    <row r="3384">
      <c r="A3384" s="1" t="s">
        <v>12</v>
      </c>
      <c r="B3384" s="1" t="s">
        <v>11518</v>
      </c>
      <c r="C3384" s="1" t="s">
        <v>11519</v>
      </c>
      <c r="D3384" s="1" t="s">
        <v>1853</v>
      </c>
      <c r="E3384" s="2">
        <v>36678.0</v>
      </c>
      <c r="F3384" s="1" t="s">
        <v>138</v>
      </c>
      <c r="G3384" s="1" t="s">
        <v>31</v>
      </c>
      <c r="H3384" s="1" t="s">
        <v>32</v>
      </c>
      <c r="I3384" s="3">
        <f>+2250140612977</f>
        <v>2250140612977</v>
      </c>
      <c r="J3384" s="3">
        <f>+2250707692699</f>
        <v>2250707692699</v>
      </c>
      <c r="K3384" s="1" t="s">
        <v>19</v>
      </c>
      <c r="L3384" s="4" t="s">
        <v>11520</v>
      </c>
    </row>
    <row r="3385">
      <c r="A3385" s="1" t="s">
        <v>12</v>
      </c>
      <c r="B3385" s="1" t="s">
        <v>11521</v>
      </c>
      <c r="C3385" s="1" t="s">
        <v>11522</v>
      </c>
      <c r="D3385" s="1" t="s">
        <v>11523</v>
      </c>
      <c r="E3385" s="2">
        <v>37008.0</v>
      </c>
      <c r="F3385" s="1" t="s">
        <v>62</v>
      </c>
      <c r="G3385" s="1" t="s">
        <v>17</v>
      </c>
      <c r="H3385" s="1" t="s">
        <v>18</v>
      </c>
      <c r="I3385" s="3">
        <f>+2250768682240</f>
        <v>2250768682240</v>
      </c>
      <c r="J3385" s="3">
        <f>+2250505958656</f>
        <v>2250505958656</v>
      </c>
      <c r="K3385" s="1" t="s">
        <v>19</v>
      </c>
      <c r="L3385" s="4" t="s">
        <v>11524</v>
      </c>
    </row>
    <row r="3386">
      <c r="A3386" s="1" t="s">
        <v>12</v>
      </c>
      <c r="B3386" s="1" t="s">
        <v>11525</v>
      </c>
      <c r="C3386" s="1" t="s">
        <v>11526</v>
      </c>
      <c r="D3386" s="1" t="s">
        <v>11527</v>
      </c>
      <c r="E3386" s="2">
        <v>37043.0</v>
      </c>
      <c r="F3386" s="1" t="s">
        <v>62</v>
      </c>
      <c r="G3386" s="1" t="s">
        <v>17</v>
      </c>
      <c r="H3386" s="1" t="s">
        <v>18</v>
      </c>
      <c r="I3386" s="3">
        <f>+2250747792762</f>
        <v>2250747792762</v>
      </c>
      <c r="J3386" s="3">
        <f>+2250101331585</f>
        <v>2250101331585</v>
      </c>
      <c r="K3386" s="1" t="s">
        <v>19</v>
      </c>
      <c r="L3386" s="4" t="s">
        <v>11528</v>
      </c>
    </row>
    <row r="3387">
      <c r="A3387" s="1" t="s">
        <v>12</v>
      </c>
      <c r="B3387" s="1" t="s">
        <v>11529</v>
      </c>
      <c r="C3387" s="1" t="s">
        <v>11530</v>
      </c>
      <c r="D3387" s="1" t="s">
        <v>11531</v>
      </c>
      <c r="E3387" s="2">
        <v>36374.0</v>
      </c>
      <c r="F3387" s="1" t="s">
        <v>586</v>
      </c>
      <c r="G3387" s="1" t="s">
        <v>82</v>
      </c>
      <c r="H3387" s="1" t="s">
        <v>18</v>
      </c>
      <c r="I3387" s="3">
        <f>+2250759042365</f>
        <v>2250759042365</v>
      </c>
      <c r="J3387" s="3">
        <f>+2250707739129</f>
        <v>2250707739129</v>
      </c>
      <c r="K3387" s="1" t="s">
        <v>19</v>
      </c>
      <c r="L3387" s="4" t="s">
        <v>11532</v>
      </c>
    </row>
    <row r="3388">
      <c r="A3388" s="1" t="s">
        <v>12</v>
      </c>
      <c r="B3388" s="1" t="s">
        <v>11533</v>
      </c>
      <c r="C3388" s="1" t="s">
        <v>11534</v>
      </c>
      <c r="D3388" s="1" t="s">
        <v>11535</v>
      </c>
      <c r="E3388" s="2">
        <v>37453.0</v>
      </c>
      <c r="F3388" s="1" t="s">
        <v>92</v>
      </c>
      <c r="G3388" s="1" t="s">
        <v>31</v>
      </c>
      <c r="H3388" s="1" t="s">
        <v>32</v>
      </c>
      <c r="I3388" s="3">
        <f>+2250775524636</f>
        <v>2250775524636</v>
      </c>
      <c r="J3388" s="3">
        <f>+2250142271742</f>
        <v>2250142271742</v>
      </c>
      <c r="K3388" s="1" t="s">
        <v>19</v>
      </c>
      <c r="L3388" s="4" t="s">
        <v>11536</v>
      </c>
    </row>
    <row r="3389">
      <c r="A3389" s="1" t="s">
        <v>12</v>
      </c>
      <c r="B3389" s="1" t="s">
        <v>11537</v>
      </c>
      <c r="C3389" s="1" t="s">
        <v>11538</v>
      </c>
      <c r="D3389" s="1" t="s">
        <v>11539</v>
      </c>
      <c r="E3389" s="2">
        <v>37793.0</v>
      </c>
      <c r="F3389" s="1" t="s">
        <v>101</v>
      </c>
      <c r="G3389" s="1" t="s">
        <v>31</v>
      </c>
      <c r="H3389" s="1" t="s">
        <v>32</v>
      </c>
      <c r="I3389" s="3">
        <f t="shared" ref="I3389:J3389" si="114">+2250143986000</f>
        <v>2250143986000</v>
      </c>
      <c r="J3389" s="3">
        <f t="shared" si="114"/>
        <v>2250143986000</v>
      </c>
      <c r="K3389" s="1" t="s">
        <v>19</v>
      </c>
      <c r="L3389" s="4" t="s">
        <v>11540</v>
      </c>
    </row>
    <row r="3390">
      <c r="A3390" s="1" t="s">
        <v>12</v>
      </c>
      <c r="B3390" s="1" t="s">
        <v>11541</v>
      </c>
      <c r="C3390" s="1" t="s">
        <v>11542</v>
      </c>
      <c r="D3390" s="1" t="s">
        <v>11543</v>
      </c>
      <c r="E3390" s="2">
        <v>38128.0</v>
      </c>
      <c r="F3390" s="1" t="s">
        <v>48</v>
      </c>
      <c r="G3390" s="1" t="s">
        <v>76</v>
      </c>
      <c r="H3390" s="1" t="s">
        <v>32</v>
      </c>
      <c r="I3390" s="3">
        <f>+2250170171634</f>
        <v>2250170171634</v>
      </c>
      <c r="J3390" s="3">
        <f>+2250767493569</f>
        <v>2250767493569</v>
      </c>
      <c r="K3390" s="1" t="s">
        <v>19</v>
      </c>
      <c r="L3390" s="4" t="s">
        <v>11544</v>
      </c>
    </row>
    <row r="3391">
      <c r="A3391" s="1" t="s">
        <v>12</v>
      </c>
      <c r="B3391" s="1" t="s">
        <v>11545</v>
      </c>
      <c r="C3391" s="1" t="s">
        <v>11546</v>
      </c>
      <c r="D3391" s="1" t="s">
        <v>11547</v>
      </c>
      <c r="E3391" s="5">
        <v>38305.0</v>
      </c>
      <c r="F3391" s="1" t="s">
        <v>48</v>
      </c>
      <c r="G3391" s="1" t="s">
        <v>76</v>
      </c>
      <c r="H3391" s="1" t="s">
        <v>32</v>
      </c>
      <c r="I3391" s="3">
        <f>+2250797553000</f>
        <v>2250797553000</v>
      </c>
      <c r="J3391" s="3">
        <f>+2250707300515</f>
        <v>2250707300515</v>
      </c>
      <c r="K3391" s="1" t="s">
        <v>19</v>
      </c>
      <c r="L3391" s="4" t="s">
        <v>11548</v>
      </c>
    </row>
    <row r="3392">
      <c r="A3392" s="1" t="s">
        <v>12</v>
      </c>
      <c r="B3392" s="1" t="s">
        <v>11549</v>
      </c>
      <c r="C3392" s="1" t="s">
        <v>11550</v>
      </c>
      <c r="D3392" s="1" t="s">
        <v>11551</v>
      </c>
      <c r="E3392" s="2">
        <v>38107.0</v>
      </c>
      <c r="F3392" s="1" t="s">
        <v>62</v>
      </c>
      <c r="G3392" s="1" t="s">
        <v>17</v>
      </c>
      <c r="H3392" s="1" t="s">
        <v>18</v>
      </c>
      <c r="I3392" s="3">
        <f>+2250506939509</f>
        <v>2250506939509</v>
      </c>
      <c r="J3392" s="3">
        <f>+2250505469113</f>
        <v>2250505469113</v>
      </c>
      <c r="K3392" s="1" t="s">
        <v>19</v>
      </c>
      <c r="L3392" s="4" t="s">
        <v>11552</v>
      </c>
    </row>
    <row r="3393">
      <c r="A3393" s="1" t="s">
        <v>12</v>
      </c>
      <c r="B3393" s="1" t="s">
        <v>11553</v>
      </c>
      <c r="C3393" s="1" t="s">
        <v>11550</v>
      </c>
      <c r="D3393" s="1" t="s">
        <v>178</v>
      </c>
      <c r="E3393" s="2">
        <v>37070.0</v>
      </c>
      <c r="F3393" s="1" t="s">
        <v>570</v>
      </c>
      <c r="G3393" s="1" t="s">
        <v>82</v>
      </c>
      <c r="H3393" s="1" t="s">
        <v>18</v>
      </c>
      <c r="I3393" s="3">
        <f>+2250769199689</f>
        <v>2250769199689</v>
      </c>
      <c r="J3393" s="3">
        <f>+2250741085877</f>
        <v>2250741085877</v>
      </c>
      <c r="K3393" s="1" t="s">
        <v>19</v>
      </c>
      <c r="L3393" s="4" t="s">
        <v>11554</v>
      </c>
    </row>
    <row r="3394">
      <c r="A3394" s="1" t="s">
        <v>12</v>
      </c>
      <c r="B3394" s="1" t="s">
        <v>11555</v>
      </c>
      <c r="C3394" s="1" t="s">
        <v>11556</v>
      </c>
      <c r="D3394" s="1" t="s">
        <v>1622</v>
      </c>
      <c r="E3394" s="5">
        <v>37184.0</v>
      </c>
      <c r="F3394" s="1" t="s">
        <v>30</v>
      </c>
      <c r="G3394" s="1" t="s">
        <v>76</v>
      </c>
      <c r="H3394" s="1" t="s">
        <v>32</v>
      </c>
      <c r="I3394" s="3">
        <f>+2250798045804</f>
        <v>2250798045804</v>
      </c>
      <c r="J3394" s="3">
        <f>+2250707597392</f>
        <v>2250707597392</v>
      </c>
      <c r="K3394" s="1" t="s">
        <v>19</v>
      </c>
      <c r="L3394" s="4" t="s">
        <v>11557</v>
      </c>
    </row>
    <row r="3395">
      <c r="A3395" s="1" t="s">
        <v>12</v>
      </c>
      <c r="B3395" s="1" t="s">
        <v>11558</v>
      </c>
      <c r="C3395" s="1" t="s">
        <v>11556</v>
      </c>
      <c r="D3395" s="1" t="s">
        <v>2686</v>
      </c>
      <c r="E3395" s="2">
        <v>38093.0</v>
      </c>
      <c r="F3395" s="1" t="s">
        <v>155</v>
      </c>
      <c r="G3395" s="1" t="s">
        <v>82</v>
      </c>
      <c r="H3395" s="1" t="s">
        <v>18</v>
      </c>
      <c r="I3395" s="3">
        <f>+2250758394288</f>
        <v>2250758394288</v>
      </c>
      <c r="J3395" s="3">
        <f>+2250708200027</f>
        <v>2250708200027</v>
      </c>
      <c r="K3395" s="1" t="s">
        <v>19</v>
      </c>
      <c r="L3395" s="4" t="s">
        <v>11559</v>
      </c>
    </row>
    <row r="3396">
      <c r="A3396" s="1" t="s">
        <v>12</v>
      </c>
      <c r="B3396" s="1" t="s">
        <v>11560</v>
      </c>
      <c r="C3396" s="1" t="s">
        <v>11556</v>
      </c>
      <c r="D3396" s="1" t="s">
        <v>11561</v>
      </c>
      <c r="E3396" s="2">
        <v>38450.0</v>
      </c>
      <c r="F3396" s="1" t="s">
        <v>16</v>
      </c>
      <c r="G3396" s="1" t="s">
        <v>25</v>
      </c>
      <c r="H3396" s="1" t="s">
        <v>18</v>
      </c>
      <c r="I3396" s="3">
        <f>+2250505909925</f>
        <v>2250505909925</v>
      </c>
      <c r="J3396" s="3">
        <f>+2250506187927</f>
        <v>2250506187927</v>
      </c>
      <c r="K3396" s="1" t="s">
        <v>19</v>
      </c>
      <c r="L3396" s="4" t="s">
        <v>11562</v>
      </c>
    </row>
    <row r="3397">
      <c r="A3397" s="1" t="s">
        <v>12</v>
      </c>
      <c r="B3397" s="1" t="s">
        <v>11563</v>
      </c>
      <c r="C3397" s="1" t="s">
        <v>11556</v>
      </c>
      <c r="D3397" s="1" t="s">
        <v>11564</v>
      </c>
      <c r="E3397" s="2">
        <v>38115.0</v>
      </c>
      <c r="F3397" s="1" t="s">
        <v>138</v>
      </c>
      <c r="G3397" s="1" t="s">
        <v>31</v>
      </c>
      <c r="H3397" s="1" t="s">
        <v>32</v>
      </c>
      <c r="I3397" s="3">
        <f>+2250709215211</f>
        <v>2250709215211</v>
      </c>
      <c r="J3397" s="3">
        <f>+2250758692275</f>
        <v>2250758692275</v>
      </c>
      <c r="K3397" s="1" t="s">
        <v>19</v>
      </c>
      <c r="L3397" s="4" t="s">
        <v>11565</v>
      </c>
    </row>
    <row r="3398">
      <c r="A3398" s="1" t="s">
        <v>12</v>
      </c>
      <c r="B3398" s="1" t="s">
        <v>11566</v>
      </c>
      <c r="C3398" s="1" t="s">
        <v>11556</v>
      </c>
      <c r="D3398" s="1" t="s">
        <v>2627</v>
      </c>
      <c r="E3398" s="2">
        <v>38115.0</v>
      </c>
      <c r="F3398" s="1" t="s">
        <v>62</v>
      </c>
      <c r="G3398" s="1" t="s">
        <v>17</v>
      </c>
      <c r="H3398" s="1" t="s">
        <v>18</v>
      </c>
      <c r="I3398" s="3">
        <f>+2250767409688</f>
        <v>2250767409688</v>
      </c>
      <c r="J3398" s="3">
        <f>+2250757074853</f>
        <v>2250757074853</v>
      </c>
      <c r="K3398" s="1" t="s">
        <v>19</v>
      </c>
      <c r="L3398" s="4" t="s">
        <v>11567</v>
      </c>
    </row>
    <row r="3399">
      <c r="A3399" s="1" t="s">
        <v>12</v>
      </c>
      <c r="B3399" s="1" t="s">
        <v>11568</v>
      </c>
      <c r="C3399" s="1" t="s">
        <v>11556</v>
      </c>
      <c r="D3399" s="1" t="s">
        <v>5187</v>
      </c>
      <c r="E3399" s="5">
        <v>38312.0</v>
      </c>
      <c r="F3399" s="1" t="s">
        <v>16</v>
      </c>
      <c r="G3399" s="1" t="s">
        <v>25</v>
      </c>
      <c r="H3399" s="1" t="s">
        <v>18</v>
      </c>
      <c r="I3399" s="3">
        <f>+2250703065802</f>
        <v>2250703065802</v>
      </c>
      <c r="J3399" s="3">
        <f>+2250575234044</f>
        <v>2250575234044</v>
      </c>
      <c r="K3399" s="1" t="s">
        <v>19</v>
      </c>
      <c r="L3399" s="4" t="s">
        <v>11569</v>
      </c>
    </row>
    <row r="3400">
      <c r="A3400" s="1" t="s">
        <v>12</v>
      </c>
      <c r="B3400" s="1" t="s">
        <v>11570</v>
      </c>
      <c r="C3400" s="1" t="s">
        <v>11556</v>
      </c>
      <c r="D3400" s="1" t="s">
        <v>11571</v>
      </c>
      <c r="E3400" s="5">
        <v>37539.0</v>
      </c>
      <c r="F3400" s="1" t="s">
        <v>53</v>
      </c>
      <c r="G3400" s="1" t="s">
        <v>17</v>
      </c>
      <c r="H3400" s="1" t="s">
        <v>18</v>
      </c>
      <c r="I3400" s="3">
        <f t="shared" ref="I3400:J3400" si="115">+2250140530644</f>
        <v>2250140530644</v>
      </c>
      <c r="J3400" s="3">
        <f t="shared" si="115"/>
        <v>2250140530644</v>
      </c>
      <c r="K3400" s="1" t="s">
        <v>19</v>
      </c>
      <c r="L3400" s="4" t="s">
        <v>11572</v>
      </c>
    </row>
    <row r="3401">
      <c r="A3401" s="1" t="s">
        <v>12</v>
      </c>
      <c r="B3401" s="1" t="s">
        <v>11573</v>
      </c>
      <c r="C3401" s="1" t="s">
        <v>11556</v>
      </c>
      <c r="D3401" s="1" t="s">
        <v>962</v>
      </c>
      <c r="E3401" s="2">
        <v>37707.0</v>
      </c>
      <c r="F3401" s="1" t="s">
        <v>48</v>
      </c>
      <c r="G3401" s="1" t="s">
        <v>76</v>
      </c>
      <c r="H3401" s="1" t="s">
        <v>32</v>
      </c>
      <c r="I3401" s="3">
        <f>+2250787327050</f>
        <v>2250787327050</v>
      </c>
      <c r="J3401" s="3">
        <f>+2250708000748</f>
        <v>2250708000748</v>
      </c>
      <c r="K3401" s="1" t="s">
        <v>19</v>
      </c>
      <c r="L3401" s="4" t="s">
        <v>11574</v>
      </c>
    </row>
    <row r="3402">
      <c r="A3402" s="1" t="s">
        <v>12</v>
      </c>
      <c r="B3402" s="1" t="s">
        <v>11575</v>
      </c>
      <c r="C3402" s="1" t="s">
        <v>11556</v>
      </c>
      <c r="D3402" s="1" t="s">
        <v>11576</v>
      </c>
      <c r="E3402" s="2">
        <v>38520.0</v>
      </c>
      <c r="F3402" s="1" t="s">
        <v>167</v>
      </c>
      <c r="G3402" s="1" t="s">
        <v>25</v>
      </c>
      <c r="H3402" s="1" t="s">
        <v>18</v>
      </c>
      <c r="I3402" s="3">
        <f>+2250709302483</f>
        <v>2250709302483</v>
      </c>
      <c r="J3402" s="3">
        <f>+2250747621574</f>
        <v>2250747621574</v>
      </c>
      <c r="K3402" s="1" t="s">
        <v>19</v>
      </c>
      <c r="L3402" s="4" t="s">
        <v>11577</v>
      </c>
    </row>
    <row r="3403">
      <c r="A3403" s="1" t="s">
        <v>12</v>
      </c>
      <c r="B3403" s="1" t="s">
        <v>11578</v>
      </c>
      <c r="C3403" s="1" t="s">
        <v>11556</v>
      </c>
      <c r="D3403" s="1" t="s">
        <v>1053</v>
      </c>
      <c r="E3403" s="2">
        <v>36938.0</v>
      </c>
      <c r="F3403" s="1" t="s">
        <v>62</v>
      </c>
      <c r="G3403" s="1" t="s">
        <v>25</v>
      </c>
      <c r="H3403" s="1" t="s">
        <v>18</v>
      </c>
      <c r="I3403" s="3">
        <f>+2250141327717</f>
        <v>2250141327717</v>
      </c>
      <c r="J3403" s="3">
        <f>+2250103441444</f>
        <v>2250103441444</v>
      </c>
      <c r="K3403" s="1" t="s">
        <v>19</v>
      </c>
      <c r="L3403" s="4" t="s">
        <v>11579</v>
      </c>
    </row>
    <row r="3404">
      <c r="A3404" s="1" t="s">
        <v>12</v>
      </c>
      <c r="B3404" s="1" t="s">
        <v>11580</v>
      </c>
      <c r="C3404" s="1" t="s">
        <v>11556</v>
      </c>
      <c r="D3404" s="1" t="s">
        <v>11581</v>
      </c>
      <c r="E3404" s="5">
        <v>37539.0</v>
      </c>
      <c r="F3404" s="1" t="s">
        <v>24</v>
      </c>
      <c r="G3404" s="1" t="s">
        <v>17</v>
      </c>
      <c r="H3404" s="1" t="s">
        <v>18</v>
      </c>
      <c r="I3404" s="3">
        <f>+2250759448282</f>
        <v>2250759448282</v>
      </c>
      <c r="J3404" s="3">
        <f>+2250757081088</f>
        <v>2250757081088</v>
      </c>
      <c r="K3404" s="1" t="s">
        <v>19</v>
      </c>
      <c r="L3404" s="4" t="s">
        <v>11582</v>
      </c>
    </row>
    <row r="3405">
      <c r="A3405" s="1" t="s">
        <v>12</v>
      </c>
      <c r="B3405" s="1" t="s">
        <v>11583</v>
      </c>
      <c r="C3405" s="1" t="s">
        <v>11556</v>
      </c>
      <c r="D3405" s="1" t="s">
        <v>2734</v>
      </c>
      <c r="E3405" s="2">
        <v>36386.0</v>
      </c>
      <c r="F3405" s="1" t="s">
        <v>62</v>
      </c>
      <c r="G3405" s="1" t="s">
        <v>17</v>
      </c>
      <c r="H3405" s="1" t="s">
        <v>18</v>
      </c>
      <c r="I3405" s="3">
        <f>+2250799731604</f>
        <v>2250799731604</v>
      </c>
      <c r="J3405" s="3">
        <f>+2250505389182</f>
        <v>2250505389182</v>
      </c>
      <c r="K3405" s="1" t="s">
        <v>19</v>
      </c>
      <c r="L3405" s="4" t="s">
        <v>11584</v>
      </c>
    </row>
    <row r="3406">
      <c r="A3406" s="1" t="s">
        <v>12</v>
      </c>
      <c r="B3406" s="1" t="s">
        <v>11585</v>
      </c>
      <c r="C3406" s="1" t="s">
        <v>11556</v>
      </c>
      <c r="D3406" s="1" t="s">
        <v>11586</v>
      </c>
      <c r="E3406" s="2">
        <v>38105.0</v>
      </c>
      <c r="F3406" s="1" t="s">
        <v>62</v>
      </c>
      <c r="G3406" s="1" t="s">
        <v>17</v>
      </c>
      <c r="H3406" s="1" t="s">
        <v>18</v>
      </c>
      <c r="I3406" s="3">
        <f>+2250584801960</f>
        <v>2250584801960</v>
      </c>
      <c r="J3406" s="3">
        <f>+2250102062009</f>
        <v>2250102062009</v>
      </c>
      <c r="K3406" s="1" t="s">
        <v>19</v>
      </c>
      <c r="L3406" s="4" t="s">
        <v>11587</v>
      </c>
    </row>
    <row r="3407">
      <c r="A3407" s="1" t="s">
        <v>12</v>
      </c>
      <c r="B3407" s="1" t="s">
        <v>11588</v>
      </c>
      <c r="C3407" s="1" t="s">
        <v>11556</v>
      </c>
      <c r="D3407" s="1" t="s">
        <v>178</v>
      </c>
      <c r="E3407" s="2">
        <v>36325.0</v>
      </c>
      <c r="F3407" s="1" t="s">
        <v>155</v>
      </c>
      <c r="G3407" s="1" t="s">
        <v>31</v>
      </c>
      <c r="H3407" s="1" t="s">
        <v>32</v>
      </c>
      <c r="I3407" s="3">
        <f>+2250546590280</f>
        <v>2250546590280</v>
      </c>
      <c r="J3407" s="3">
        <f>+2250747304710</f>
        <v>2250747304710</v>
      </c>
      <c r="K3407" s="1" t="s">
        <v>19</v>
      </c>
      <c r="L3407" s="4" t="s">
        <v>11589</v>
      </c>
    </row>
    <row r="3408">
      <c r="A3408" s="1" t="s">
        <v>12</v>
      </c>
      <c r="B3408" s="1" t="s">
        <v>11590</v>
      </c>
      <c r="C3408" s="1" t="s">
        <v>11556</v>
      </c>
      <c r="D3408" s="1" t="s">
        <v>11591</v>
      </c>
      <c r="E3408" s="2">
        <v>38002.0</v>
      </c>
      <c r="F3408" s="1" t="s">
        <v>75</v>
      </c>
      <c r="G3408" s="1" t="s">
        <v>82</v>
      </c>
      <c r="H3408" s="1" t="s">
        <v>18</v>
      </c>
      <c r="I3408" s="3">
        <f>+2250575101295</f>
        <v>2250575101295</v>
      </c>
      <c r="J3408" s="3">
        <f>+2250505955446</f>
        <v>2250505955446</v>
      </c>
      <c r="K3408" s="1" t="s">
        <v>19</v>
      </c>
      <c r="L3408" s="4" t="s">
        <v>11592</v>
      </c>
    </row>
    <row r="3409">
      <c r="A3409" s="1" t="s">
        <v>12</v>
      </c>
      <c r="B3409" s="1" t="s">
        <v>11593</v>
      </c>
      <c r="C3409" s="1" t="s">
        <v>11556</v>
      </c>
      <c r="D3409" s="1" t="s">
        <v>11594</v>
      </c>
      <c r="E3409" s="2">
        <v>37837.0</v>
      </c>
      <c r="F3409" s="1" t="s">
        <v>167</v>
      </c>
      <c r="G3409" s="1" t="s">
        <v>17</v>
      </c>
      <c r="H3409" s="1" t="s">
        <v>18</v>
      </c>
      <c r="I3409" s="3">
        <f>+2250768436548</f>
        <v>2250768436548</v>
      </c>
      <c r="J3409" s="3">
        <f>+2250789507538</f>
        <v>2250789507538</v>
      </c>
      <c r="K3409" s="1" t="s">
        <v>19</v>
      </c>
      <c r="L3409" s="4" t="s">
        <v>11595</v>
      </c>
    </row>
    <row r="3410">
      <c r="A3410" s="1" t="s">
        <v>12</v>
      </c>
      <c r="B3410" s="1" t="s">
        <v>11596</v>
      </c>
      <c r="C3410" s="1" t="s">
        <v>11556</v>
      </c>
      <c r="D3410" s="1" t="s">
        <v>11597</v>
      </c>
      <c r="E3410" s="2">
        <v>37536.0</v>
      </c>
      <c r="F3410" s="1" t="s">
        <v>16</v>
      </c>
      <c r="G3410" s="1" t="s">
        <v>17</v>
      </c>
      <c r="H3410" s="1" t="s">
        <v>18</v>
      </c>
      <c r="I3410" s="3">
        <f>+2250787119294</f>
        <v>2250787119294</v>
      </c>
      <c r="J3410" s="3">
        <f>+2250708107394</f>
        <v>2250708107394</v>
      </c>
      <c r="K3410" s="1" t="s">
        <v>19</v>
      </c>
      <c r="L3410" s="4" t="s">
        <v>11598</v>
      </c>
    </row>
    <row r="3411">
      <c r="A3411" s="1" t="s">
        <v>12</v>
      </c>
      <c r="B3411" s="1" t="s">
        <v>11599</v>
      </c>
      <c r="C3411" s="1" t="s">
        <v>11556</v>
      </c>
      <c r="D3411" s="1" t="s">
        <v>11600</v>
      </c>
      <c r="E3411" s="5">
        <v>37907.0</v>
      </c>
      <c r="F3411" s="1" t="s">
        <v>62</v>
      </c>
      <c r="G3411" s="1" t="s">
        <v>25</v>
      </c>
      <c r="H3411" s="1" t="s">
        <v>18</v>
      </c>
      <c r="I3411" s="3">
        <f>+2250700848256</f>
        <v>2250700848256</v>
      </c>
      <c r="J3411" s="3">
        <f>+2250554113502</f>
        <v>2250554113502</v>
      </c>
      <c r="K3411" s="1" t="s">
        <v>19</v>
      </c>
      <c r="L3411" s="4" t="s">
        <v>11601</v>
      </c>
    </row>
    <row r="3412">
      <c r="A3412" s="1" t="s">
        <v>12</v>
      </c>
      <c r="B3412" s="1" t="s">
        <v>11602</v>
      </c>
      <c r="C3412" s="1" t="s">
        <v>11556</v>
      </c>
      <c r="D3412" s="1" t="s">
        <v>11603</v>
      </c>
      <c r="E3412" s="2">
        <v>38222.0</v>
      </c>
      <c r="F3412" s="1" t="s">
        <v>92</v>
      </c>
      <c r="G3412" s="1" t="s">
        <v>76</v>
      </c>
      <c r="H3412" s="1" t="s">
        <v>32</v>
      </c>
      <c r="I3412" s="3">
        <f>+2250506656371</f>
        <v>2250506656371</v>
      </c>
      <c r="J3412" s="3">
        <f>+2250707411643</f>
        <v>2250707411643</v>
      </c>
      <c r="K3412" s="1" t="s">
        <v>19</v>
      </c>
      <c r="L3412" s="4" t="s">
        <v>11604</v>
      </c>
    </row>
    <row r="3413">
      <c r="A3413" s="1" t="s">
        <v>12</v>
      </c>
      <c r="B3413" s="1" t="s">
        <v>11605</v>
      </c>
      <c r="C3413" s="1" t="s">
        <v>11556</v>
      </c>
      <c r="D3413" s="1" t="s">
        <v>11606</v>
      </c>
      <c r="E3413" s="2">
        <v>37745.0</v>
      </c>
      <c r="F3413" s="1" t="s">
        <v>62</v>
      </c>
      <c r="G3413" s="1" t="s">
        <v>17</v>
      </c>
      <c r="H3413" s="1" t="s">
        <v>18</v>
      </c>
      <c r="I3413" s="3">
        <f>+2250500522403</f>
        <v>2250500522403</v>
      </c>
      <c r="J3413" s="3">
        <f>+2250170334232</f>
        <v>2250170334232</v>
      </c>
      <c r="K3413" s="1" t="s">
        <v>19</v>
      </c>
      <c r="L3413" s="4" t="s">
        <v>11607</v>
      </c>
    </row>
    <row r="3414">
      <c r="A3414" s="1" t="s">
        <v>12</v>
      </c>
      <c r="B3414" s="1" t="s">
        <v>11608</v>
      </c>
      <c r="C3414" s="1" t="s">
        <v>11556</v>
      </c>
      <c r="D3414" s="1" t="s">
        <v>11609</v>
      </c>
      <c r="E3414" s="2">
        <v>38012.0</v>
      </c>
      <c r="F3414" s="1" t="s">
        <v>92</v>
      </c>
      <c r="G3414" s="1" t="s">
        <v>76</v>
      </c>
      <c r="H3414" s="1" t="s">
        <v>32</v>
      </c>
      <c r="I3414" s="3">
        <f t="shared" ref="I3414:J3414" si="116">+2250707671227</f>
        <v>2250707671227</v>
      </c>
      <c r="J3414" s="3">
        <f t="shared" si="116"/>
        <v>2250707671227</v>
      </c>
      <c r="K3414" s="1" t="s">
        <v>19</v>
      </c>
      <c r="L3414" s="4" t="s">
        <v>11610</v>
      </c>
    </row>
    <row r="3415">
      <c r="A3415" s="1" t="s">
        <v>12</v>
      </c>
      <c r="B3415" s="1" t="s">
        <v>11611</v>
      </c>
      <c r="C3415" s="1" t="s">
        <v>11556</v>
      </c>
      <c r="D3415" s="1" t="s">
        <v>11612</v>
      </c>
      <c r="E3415" s="2">
        <v>36713.0</v>
      </c>
      <c r="F3415" s="1" t="s">
        <v>92</v>
      </c>
      <c r="G3415" s="1" t="s">
        <v>31</v>
      </c>
      <c r="H3415" s="1" t="s">
        <v>32</v>
      </c>
      <c r="I3415" s="3">
        <f>+2250705516419</f>
        <v>2250705516419</v>
      </c>
      <c r="J3415" s="3">
        <f>+2250708189911</f>
        <v>2250708189911</v>
      </c>
      <c r="K3415" s="1" t="s">
        <v>19</v>
      </c>
      <c r="L3415" s="4" t="s">
        <v>11613</v>
      </c>
    </row>
    <row r="3416">
      <c r="A3416" s="1" t="s">
        <v>12</v>
      </c>
      <c r="B3416" s="1" t="s">
        <v>11614</v>
      </c>
      <c r="C3416" s="1" t="s">
        <v>11556</v>
      </c>
      <c r="D3416" s="1" t="s">
        <v>11615</v>
      </c>
      <c r="E3416" s="5">
        <v>37979.0</v>
      </c>
      <c r="F3416" s="1" t="s">
        <v>155</v>
      </c>
      <c r="G3416" s="1" t="s">
        <v>31</v>
      </c>
      <c r="H3416" s="1" t="s">
        <v>32</v>
      </c>
      <c r="I3416" s="3">
        <f>+2250788245162</f>
        <v>2250788245162</v>
      </c>
      <c r="J3416" s="3">
        <f>+2250708539252</f>
        <v>2250708539252</v>
      </c>
      <c r="K3416" s="1" t="s">
        <v>19</v>
      </c>
      <c r="L3416" s="4" t="s">
        <v>11616</v>
      </c>
    </row>
    <row r="3417">
      <c r="A3417" s="1" t="s">
        <v>12</v>
      </c>
      <c r="B3417" s="1" t="s">
        <v>11617</v>
      </c>
      <c r="C3417" s="1" t="s">
        <v>11556</v>
      </c>
      <c r="D3417" s="1" t="s">
        <v>11618</v>
      </c>
      <c r="E3417" s="2">
        <v>38061.0</v>
      </c>
      <c r="F3417" s="1" t="s">
        <v>48</v>
      </c>
      <c r="G3417" s="1" t="s">
        <v>76</v>
      </c>
      <c r="H3417" s="1" t="s">
        <v>32</v>
      </c>
      <c r="I3417" s="3">
        <f>+2250594168963</f>
        <v>2250594168963</v>
      </c>
      <c r="J3417" s="3">
        <f>+2250544342525</f>
        <v>2250544342525</v>
      </c>
      <c r="K3417" s="1" t="s">
        <v>19</v>
      </c>
      <c r="L3417" s="4" t="s">
        <v>11619</v>
      </c>
    </row>
    <row r="3418">
      <c r="A3418" s="1" t="s">
        <v>12</v>
      </c>
      <c r="B3418" s="1" t="s">
        <v>11620</v>
      </c>
      <c r="C3418" s="1" t="s">
        <v>11556</v>
      </c>
      <c r="D3418" s="1" t="s">
        <v>11621</v>
      </c>
      <c r="E3418" s="2">
        <v>38078.0</v>
      </c>
      <c r="F3418" s="1" t="s">
        <v>75</v>
      </c>
      <c r="G3418" s="1" t="s">
        <v>31</v>
      </c>
      <c r="H3418" s="1" t="s">
        <v>32</v>
      </c>
      <c r="I3418" s="3">
        <f>+2250779013467</f>
        <v>2250779013467</v>
      </c>
      <c r="J3418" s="3">
        <f>+2250709362542</f>
        <v>2250709362542</v>
      </c>
      <c r="K3418" s="1" t="s">
        <v>19</v>
      </c>
      <c r="L3418" s="4" t="s">
        <v>11622</v>
      </c>
    </row>
    <row r="3419">
      <c r="A3419" s="1" t="s">
        <v>12</v>
      </c>
      <c r="B3419" s="1" t="s">
        <v>11623</v>
      </c>
      <c r="C3419" s="1" t="s">
        <v>11556</v>
      </c>
      <c r="D3419" s="1" t="s">
        <v>11624</v>
      </c>
      <c r="E3419" s="2">
        <v>44110.0</v>
      </c>
      <c r="F3419" s="1" t="s">
        <v>62</v>
      </c>
      <c r="G3419" s="1" t="s">
        <v>17</v>
      </c>
      <c r="H3419" s="1" t="s">
        <v>18</v>
      </c>
      <c r="I3419" s="3">
        <f>+2250152244947</f>
        <v>2250152244947</v>
      </c>
      <c r="J3419" s="3">
        <f>+2250759242514</f>
        <v>2250759242514</v>
      </c>
      <c r="K3419" s="1" t="s">
        <v>19</v>
      </c>
      <c r="L3419" s="4" t="s">
        <v>11625</v>
      </c>
    </row>
    <row r="3420">
      <c r="A3420" s="1" t="s">
        <v>12</v>
      </c>
      <c r="B3420" s="1" t="s">
        <v>11626</v>
      </c>
      <c r="C3420" s="1" t="s">
        <v>11556</v>
      </c>
      <c r="D3420" s="1" t="s">
        <v>11627</v>
      </c>
      <c r="E3420" s="5">
        <v>37975.0</v>
      </c>
      <c r="F3420" s="1" t="s">
        <v>167</v>
      </c>
      <c r="G3420" s="1" t="s">
        <v>17</v>
      </c>
      <c r="H3420" s="1" t="s">
        <v>18</v>
      </c>
      <c r="I3420" s="3">
        <f>+2250574980206</f>
        <v>2250574980206</v>
      </c>
      <c r="J3420" s="3">
        <f>+2250102757921</f>
        <v>2250102757921</v>
      </c>
      <c r="K3420" s="1" t="s">
        <v>19</v>
      </c>
      <c r="L3420" s="4" t="s">
        <v>11628</v>
      </c>
    </row>
    <row r="3421">
      <c r="A3421" s="1" t="s">
        <v>12</v>
      </c>
      <c r="B3421" s="1" t="s">
        <v>11629</v>
      </c>
      <c r="C3421" s="1" t="s">
        <v>11556</v>
      </c>
      <c r="D3421" s="1" t="s">
        <v>11630</v>
      </c>
      <c r="E3421" s="2">
        <v>37833.0</v>
      </c>
      <c r="F3421" s="1" t="s">
        <v>182</v>
      </c>
      <c r="G3421" s="1" t="s">
        <v>82</v>
      </c>
      <c r="H3421" s="1" t="s">
        <v>18</v>
      </c>
      <c r="I3421" s="3">
        <f>+2250747423104</f>
        <v>2250747423104</v>
      </c>
      <c r="J3421" s="3">
        <f>+2250707809208</f>
        <v>2250707809208</v>
      </c>
      <c r="K3421" s="1" t="s">
        <v>19</v>
      </c>
      <c r="L3421" s="4" t="s">
        <v>11631</v>
      </c>
    </row>
    <row r="3422">
      <c r="A3422" s="1" t="s">
        <v>12</v>
      </c>
      <c r="B3422" s="1" t="s">
        <v>11632</v>
      </c>
      <c r="C3422" s="1" t="s">
        <v>11556</v>
      </c>
      <c r="D3422" s="1" t="s">
        <v>11633</v>
      </c>
      <c r="E3422" s="2">
        <v>35833.0</v>
      </c>
      <c r="F3422" s="1" t="s">
        <v>92</v>
      </c>
      <c r="G3422" s="1" t="s">
        <v>82</v>
      </c>
      <c r="H3422" s="1" t="s">
        <v>18</v>
      </c>
      <c r="I3422" s="3">
        <f>+2250788467466</f>
        <v>2250788467466</v>
      </c>
      <c r="J3422" s="3">
        <f>+2250707073888</f>
        <v>2250707073888</v>
      </c>
      <c r="K3422" s="1" t="s">
        <v>19</v>
      </c>
      <c r="L3422" s="4" t="s">
        <v>11634</v>
      </c>
    </row>
    <row r="3423">
      <c r="A3423" s="1" t="s">
        <v>12</v>
      </c>
      <c r="B3423" s="1" t="s">
        <v>11635</v>
      </c>
      <c r="C3423" s="1" t="s">
        <v>11556</v>
      </c>
      <c r="D3423" s="1" t="s">
        <v>2852</v>
      </c>
      <c r="E3423" s="2">
        <v>37431.0</v>
      </c>
      <c r="F3423" s="1" t="s">
        <v>16</v>
      </c>
      <c r="G3423" s="1" t="s">
        <v>17</v>
      </c>
      <c r="H3423" s="1" t="s">
        <v>18</v>
      </c>
      <c r="I3423" s="3">
        <f>+2250503560818</f>
        <v>2250503560818</v>
      </c>
      <c r="J3423" s="3">
        <f>+2250777057167</f>
        <v>2250777057167</v>
      </c>
      <c r="K3423" s="1" t="s">
        <v>19</v>
      </c>
      <c r="L3423" s="4" t="s">
        <v>11636</v>
      </c>
    </row>
    <row r="3424">
      <c r="A3424" s="1" t="s">
        <v>12</v>
      </c>
      <c r="B3424" s="1" t="s">
        <v>11637</v>
      </c>
      <c r="C3424" s="1" t="s">
        <v>11556</v>
      </c>
      <c r="D3424" s="1" t="s">
        <v>11638</v>
      </c>
      <c r="E3424" s="2">
        <v>38786.0</v>
      </c>
      <c r="F3424" s="1" t="s">
        <v>16</v>
      </c>
      <c r="G3424" s="1" t="s">
        <v>25</v>
      </c>
      <c r="H3424" s="1" t="s">
        <v>18</v>
      </c>
      <c r="I3424" s="3">
        <f>+2250702788851</f>
        <v>2250702788851</v>
      </c>
      <c r="J3424" s="3">
        <f>+2250777135565</f>
        <v>2250777135565</v>
      </c>
      <c r="K3424" s="1" t="s">
        <v>19</v>
      </c>
      <c r="L3424" s="4" t="s">
        <v>11639</v>
      </c>
    </row>
    <row r="3425">
      <c r="A3425" s="1" t="s">
        <v>12</v>
      </c>
      <c r="B3425" s="1" t="s">
        <v>11640</v>
      </c>
      <c r="C3425" s="1" t="s">
        <v>11556</v>
      </c>
      <c r="D3425" s="1" t="s">
        <v>11641</v>
      </c>
      <c r="E3425" s="5">
        <v>37616.0</v>
      </c>
      <c r="F3425" s="1" t="s">
        <v>16</v>
      </c>
      <c r="G3425" s="1" t="s">
        <v>25</v>
      </c>
      <c r="H3425" s="1" t="s">
        <v>18</v>
      </c>
      <c r="I3425" s="3">
        <f>+2250705322871</f>
        <v>2250705322871</v>
      </c>
      <c r="J3425" s="3">
        <f>+2250708281530</f>
        <v>2250708281530</v>
      </c>
      <c r="K3425" s="1" t="s">
        <v>19</v>
      </c>
      <c r="L3425" s="4" t="s">
        <v>11642</v>
      </c>
    </row>
    <row r="3426">
      <c r="A3426" s="1" t="s">
        <v>12</v>
      </c>
      <c r="B3426" s="1" t="s">
        <v>11643</v>
      </c>
      <c r="C3426" s="1" t="s">
        <v>11556</v>
      </c>
      <c r="D3426" s="1" t="s">
        <v>11644</v>
      </c>
      <c r="E3426" s="2">
        <v>37663.0</v>
      </c>
      <c r="F3426" s="1" t="s">
        <v>138</v>
      </c>
      <c r="G3426" s="1" t="s">
        <v>31</v>
      </c>
      <c r="H3426" s="1" t="s">
        <v>32</v>
      </c>
      <c r="I3426" s="3">
        <f>+2250709878472</f>
        <v>2250709878472</v>
      </c>
      <c r="J3426" s="3">
        <f>+2250707790801</f>
        <v>2250707790801</v>
      </c>
      <c r="K3426" s="1" t="s">
        <v>19</v>
      </c>
      <c r="L3426" s="4" t="s">
        <v>11645</v>
      </c>
    </row>
    <row r="3427">
      <c r="A3427" s="1" t="s">
        <v>12</v>
      </c>
      <c r="B3427" s="1" t="s">
        <v>11646</v>
      </c>
      <c r="C3427" s="1" t="s">
        <v>11556</v>
      </c>
      <c r="D3427" s="1" t="s">
        <v>11647</v>
      </c>
      <c r="E3427" s="2">
        <v>37964.0</v>
      </c>
      <c r="F3427" s="1" t="s">
        <v>155</v>
      </c>
      <c r="G3427" s="1" t="s">
        <v>31</v>
      </c>
      <c r="H3427" s="1" t="s">
        <v>32</v>
      </c>
      <c r="I3427" s="3">
        <f>+2250711663547</f>
        <v>2250711663547</v>
      </c>
      <c r="J3427" s="3">
        <f>+2250707811577</f>
        <v>2250707811577</v>
      </c>
      <c r="K3427" s="1" t="s">
        <v>19</v>
      </c>
      <c r="L3427" s="4" t="s">
        <v>11648</v>
      </c>
    </row>
    <row r="3428">
      <c r="A3428" s="1" t="s">
        <v>12</v>
      </c>
      <c r="B3428" s="1" t="s">
        <v>11649</v>
      </c>
      <c r="C3428" s="1" t="s">
        <v>11556</v>
      </c>
      <c r="D3428" s="1" t="s">
        <v>11650</v>
      </c>
      <c r="E3428" s="2">
        <v>38608.0</v>
      </c>
      <c r="F3428" s="1" t="s">
        <v>53</v>
      </c>
      <c r="G3428" s="1" t="s">
        <v>25</v>
      </c>
      <c r="H3428" s="1" t="s">
        <v>18</v>
      </c>
      <c r="I3428" s="3">
        <f t="shared" ref="I3428:J3428" si="117">+2250102589932</f>
        <v>2250102589932</v>
      </c>
      <c r="J3428" s="3">
        <f t="shared" si="117"/>
        <v>2250102589932</v>
      </c>
      <c r="K3428" s="1" t="s">
        <v>19</v>
      </c>
      <c r="L3428" s="4" t="s">
        <v>11651</v>
      </c>
    </row>
    <row r="3429">
      <c r="A3429" s="1" t="s">
        <v>12</v>
      </c>
      <c r="B3429" s="1" t="s">
        <v>11652</v>
      </c>
      <c r="C3429" s="1" t="s">
        <v>11556</v>
      </c>
      <c r="D3429" s="1" t="s">
        <v>11653</v>
      </c>
      <c r="E3429" s="5">
        <v>37220.0</v>
      </c>
      <c r="F3429" s="1" t="s">
        <v>101</v>
      </c>
      <c r="G3429" s="1" t="s">
        <v>31</v>
      </c>
      <c r="H3429" s="1" t="s">
        <v>32</v>
      </c>
      <c r="I3429" s="3">
        <f>+2250789106897</f>
        <v>2250789106897</v>
      </c>
      <c r="J3429" s="3">
        <f>+2250778658722</f>
        <v>2250778658722</v>
      </c>
      <c r="K3429" s="1" t="s">
        <v>19</v>
      </c>
      <c r="L3429" s="4" t="s">
        <v>11654</v>
      </c>
    </row>
    <row r="3430">
      <c r="A3430" s="1" t="s">
        <v>12</v>
      </c>
      <c r="B3430" s="1" t="s">
        <v>11655</v>
      </c>
      <c r="C3430" s="1" t="s">
        <v>11656</v>
      </c>
      <c r="D3430" s="1" t="s">
        <v>11657</v>
      </c>
      <c r="E3430" s="5">
        <v>37950.0</v>
      </c>
      <c r="F3430" s="1" t="s">
        <v>16</v>
      </c>
      <c r="G3430" s="1" t="s">
        <v>25</v>
      </c>
      <c r="H3430" s="1" t="s">
        <v>18</v>
      </c>
      <c r="I3430" s="3">
        <f t="shared" ref="I3430:J3430" si="118">+2250707584969</f>
        <v>2250707584969</v>
      </c>
      <c r="J3430" s="3">
        <f t="shared" si="118"/>
        <v>2250707584969</v>
      </c>
      <c r="K3430" s="1" t="s">
        <v>19</v>
      </c>
      <c r="L3430" s="4" t="s">
        <v>11658</v>
      </c>
    </row>
    <row r="3431">
      <c r="A3431" s="1" t="s">
        <v>12</v>
      </c>
      <c r="B3431" s="1" t="s">
        <v>11659</v>
      </c>
      <c r="C3431" s="1" t="s">
        <v>11660</v>
      </c>
      <c r="D3431" s="1" t="s">
        <v>11661</v>
      </c>
      <c r="E3431" s="5">
        <v>36524.0</v>
      </c>
      <c r="F3431" s="1" t="s">
        <v>62</v>
      </c>
      <c r="G3431" s="1" t="s">
        <v>17</v>
      </c>
      <c r="H3431" s="1" t="s">
        <v>18</v>
      </c>
      <c r="I3431" s="3">
        <f>+2250554825471</f>
        <v>2250554825471</v>
      </c>
      <c r="J3431" s="3">
        <f>+2250101502855</f>
        <v>2250101502855</v>
      </c>
      <c r="K3431" s="1" t="s">
        <v>19</v>
      </c>
      <c r="L3431" s="4" t="s">
        <v>11662</v>
      </c>
    </row>
    <row r="3432">
      <c r="A3432" s="1" t="s">
        <v>12</v>
      </c>
      <c r="B3432" s="1" t="s">
        <v>11663</v>
      </c>
      <c r="C3432" s="1" t="s">
        <v>11660</v>
      </c>
      <c r="D3432" s="1" t="s">
        <v>11664</v>
      </c>
      <c r="E3432" s="5">
        <v>37937.0</v>
      </c>
      <c r="F3432" s="1" t="s">
        <v>53</v>
      </c>
      <c r="G3432" s="1" t="s">
        <v>25</v>
      </c>
      <c r="H3432" s="1" t="s">
        <v>18</v>
      </c>
      <c r="I3432" s="3">
        <f>+2250595233446</f>
        <v>2250595233446</v>
      </c>
      <c r="J3432" s="3">
        <f>+22505053056</f>
        <v>22505053056</v>
      </c>
      <c r="K3432" s="1" t="s">
        <v>19</v>
      </c>
      <c r="L3432" s="4" t="s">
        <v>11665</v>
      </c>
    </row>
    <row r="3433">
      <c r="A3433" s="1" t="s">
        <v>12</v>
      </c>
      <c r="B3433" s="1" t="s">
        <v>11666</v>
      </c>
      <c r="C3433" s="1" t="s">
        <v>11660</v>
      </c>
      <c r="D3433" s="1" t="s">
        <v>11667</v>
      </c>
      <c r="E3433" s="2">
        <v>38132.0</v>
      </c>
      <c r="F3433" s="1" t="s">
        <v>62</v>
      </c>
      <c r="G3433" s="1" t="s">
        <v>17</v>
      </c>
      <c r="H3433" s="1" t="s">
        <v>18</v>
      </c>
      <c r="I3433" s="3">
        <f>+2250711092379</f>
        <v>2250711092379</v>
      </c>
      <c r="J3433" s="3">
        <f>+2250768890458</f>
        <v>2250768890458</v>
      </c>
      <c r="K3433" s="1" t="s">
        <v>19</v>
      </c>
      <c r="L3433" s="4" t="s">
        <v>11668</v>
      </c>
    </row>
    <row r="3434">
      <c r="A3434" s="1" t="s">
        <v>12</v>
      </c>
      <c r="B3434" s="1" t="s">
        <v>11669</v>
      </c>
      <c r="C3434" s="1" t="s">
        <v>11660</v>
      </c>
      <c r="D3434" s="1" t="s">
        <v>11670</v>
      </c>
      <c r="E3434" s="2">
        <v>37272.0</v>
      </c>
      <c r="F3434" s="1" t="s">
        <v>101</v>
      </c>
      <c r="G3434" s="1" t="s">
        <v>31</v>
      </c>
      <c r="H3434" s="1" t="s">
        <v>32</v>
      </c>
      <c r="I3434" s="3">
        <f>+2250171669718</f>
        <v>2250171669718</v>
      </c>
      <c r="J3434" s="3">
        <f>+2250758930307</f>
        <v>2250758930307</v>
      </c>
      <c r="K3434" s="1" t="s">
        <v>19</v>
      </c>
      <c r="L3434" s="4" t="s">
        <v>11671</v>
      </c>
    </row>
    <row r="3435">
      <c r="A3435" s="1" t="s">
        <v>12</v>
      </c>
      <c r="B3435" s="1" t="s">
        <v>11672</v>
      </c>
      <c r="C3435" s="1" t="s">
        <v>11660</v>
      </c>
      <c r="D3435" s="1" t="s">
        <v>11673</v>
      </c>
      <c r="E3435" s="2">
        <v>36933.0</v>
      </c>
      <c r="F3435" s="1" t="s">
        <v>101</v>
      </c>
      <c r="G3435" s="1" t="s">
        <v>31</v>
      </c>
      <c r="H3435" s="1" t="s">
        <v>32</v>
      </c>
      <c r="I3435" s="3">
        <f>+2250702171074</f>
        <v>2250702171074</v>
      </c>
      <c r="J3435" s="3">
        <f>+2250707278232</f>
        <v>2250707278232</v>
      </c>
      <c r="K3435" s="1" t="s">
        <v>19</v>
      </c>
      <c r="L3435" s="4" t="s">
        <v>11674</v>
      </c>
    </row>
    <row r="3436">
      <c r="A3436" s="1" t="s">
        <v>12</v>
      </c>
      <c r="B3436" s="1" t="s">
        <v>11675</v>
      </c>
      <c r="C3436" s="1" t="s">
        <v>11660</v>
      </c>
      <c r="D3436" s="1" t="s">
        <v>11676</v>
      </c>
      <c r="E3436" s="2">
        <v>36198.0</v>
      </c>
      <c r="F3436" s="1" t="s">
        <v>167</v>
      </c>
      <c r="G3436" s="1" t="s">
        <v>17</v>
      </c>
      <c r="H3436" s="1" t="s">
        <v>18</v>
      </c>
      <c r="I3436" s="3">
        <f>+2250173308645</f>
        <v>2250173308645</v>
      </c>
      <c r="J3436" s="3">
        <f>+2250544053053</f>
        <v>2250544053053</v>
      </c>
      <c r="K3436" s="1" t="s">
        <v>19</v>
      </c>
      <c r="L3436" s="4" t="s">
        <v>11677</v>
      </c>
    </row>
    <row r="3437">
      <c r="A3437" s="1" t="s">
        <v>12</v>
      </c>
      <c r="B3437" s="1" t="s">
        <v>11678</v>
      </c>
      <c r="C3437" s="1" t="s">
        <v>11660</v>
      </c>
      <c r="D3437" s="1" t="s">
        <v>11679</v>
      </c>
      <c r="E3437" s="5">
        <v>36845.0</v>
      </c>
      <c r="F3437" s="1" t="s">
        <v>16</v>
      </c>
      <c r="G3437" s="1" t="s">
        <v>17</v>
      </c>
      <c r="H3437" s="1" t="s">
        <v>18</v>
      </c>
      <c r="I3437" s="3">
        <f>+2250706744467</f>
        <v>2250706744467</v>
      </c>
      <c r="J3437" s="3">
        <f>+2250707417638</f>
        <v>2250707417638</v>
      </c>
      <c r="K3437" s="1" t="s">
        <v>19</v>
      </c>
      <c r="L3437" s="4" t="s">
        <v>11680</v>
      </c>
    </row>
    <row r="3438">
      <c r="A3438" s="1" t="s">
        <v>12</v>
      </c>
      <c r="B3438" s="1" t="s">
        <v>11681</v>
      </c>
      <c r="C3438" s="1" t="s">
        <v>11660</v>
      </c>
      <c r="D3438" s="1" t="s">
        <v>11682</v>
      </c>
      <c r="E3438" s="5">
        <v>37620.0</v>
      </c>
      <c r="F3438" s="1" t="s">
        <v>62</v>
      </c>
      <c r="G3438" s="1" t="s">
        <v>17</v>
      </c>
      <c r="H3438" s="1" t="s">
        <v>18</v>
      </c>
      <c r="I3438" s="3">
        <f>+2250584023959</f>
        <v>2250584023959</v>
      </c>
      <c r="J3438" s="3">
        <f>+2250101315839</f>
        <v>2250101315839</v>
      </c>
      <c r="K3438" s="1" t="s">
        <v>19</v>
      </c>
      <c r="L3438" s="4" t="s">
        <v>11683</v>
      </c>
    </row>
    <row r="3439">
      <c r="A3439" s="1" t="s">
        <v>12</v>
      </c>
      <c r="B3439" s="1" t="s">
        <v>11684</v>
      </c>
      <c r="C3439" s="1" t="s">
        <v>11660</v>
      </c>
      <c r="D3439" s="1" t="s">
        <v>11685</v>
      </c>
      <c r="E3439" s="2">
        <v>37395.0</v>
      </c>
      <c r="F3439" s="1" t="s">
        <v>16</v>
      </c>
      <c r="G3439" s="1" t="s">
        <v>17</v>
      </c>
      <c r="H3439" s="1" t="s">
        <v>18</v>
      </c>
      <c r="I3439" s="3">
        <f>+2250777033928</f>
        <v>2250777033928</v>
      </c>
      <c r="J3439" s="3">
        <f>+2250101964696</f>
        <v>2250101964696</v>
      </c>
      <c r="K3439" s="1" t="s">
        <v>19</v>
      </c>
      <c r="L3439" s="4" t="s">
        <v>11686</v>
      </c>
    </row>
    <row r="3440">
      <c r="A3440" s="1" t="s">
        <v>12</v>
      </c>
      <c r="B3440" s="1" t="s">
        <v>11687</v>
      </c>
      <c r="C3440" s="1" t="s">
        <v>11660</v>
      </c>
      <c r="D3440" s="1" t="s">
        <v>11688</v>
      </c>
      <c r="E3440" s="5">
        <v>39038.0</v>
      </c>
      <c r="F3440" s="1" t="s">
        <v>101</v>
      </c>
      <c r="G3440" s="1" t="s">
        <v>31</v>
      </c>
      <c r="H3440" s="1" t="s">
        <v>32</v>
      </c>
      <c r="I3440" s="3">
        <f>+2250702398912</f>
        <v>2250702398912</v>
      </c>
      <c r="J3440" s="3">
        <f>+2250102554488</f>
        <v>2250102554488</v>
      </c>
      <c r="K3440" s="1" t="s">
        <v>19</v>
      </c>
      <c r="L3440" s="4" t="s">
        <v>11689</v>
      </c>
    </row>
    <row r="3441">
      <c r="A3441" s="1" t="s">
        <v>12</v>
      </c>
      <c r="B3441" s="1" t="s">
        <v>11690</v>
      </c>
      <c r="C3441" s="1" t="s">
        <v>11660</v>
      </c>
      <c r="D3441" s="1" t="s">
        <v>11691</v>
      </c>
      <c r="E3441" s="2">
        <v>38027.0</v>
      </c>
      <c r="F3441" s="1" t="s">
        <v>92</v>
      </c>
      <c r="G3441" s="1" t="s">
        <v>76</v>
      </c>
      <c r="H3441" s="1" t="s">
        <v>32</v>
      </c>
      <c r="I3441" s="3">
        <f>+2250769440212</f>
        <v>2250769440212</v>
      </c>
      <c r="J3441" s="3">
        <f>+2250757914051</f>
        <v>2250757914051</v>
      </c>
      <c r="K3441" s="1" t="s">
        <v>19</v>
      </c>
      <c r="L3441" s="4" t="s">
        <v>11692</v>
      </c>
    </row>
    <row r="3442">
      <c r="A3442" s="1" t="s">
        <v>12</v>
      </c>
      <c r="B3442" s="1" t="s">
        <v>11693</v>
      </c>
      <c r="C3442" s="1" t="s">
        <v>11660</v>
      </c>
      <c r="D3442" s="1" t="s">
        <v>11694</v>
      </c>
      <c r="E3442" s="5">
        <v>35021.0</v>
      </c>
      <c r="F3442" s="1" t="s">
        <v>24</v>
      </c>
      <c r="G3442" s="1" t="s">
        <v>82</v>
      </c>
      <c r="H3442" s="1" t="s">
        <v>18</v>
      </c>
      <c r="I3442" s="3">
        <f>+2250545217658</f>
        <v>2250545217658</v>
      </c>
      <c r="J3442" s="3">
        <f>+2250544246696</f>
        <v>2250544246696</v>
      </c>
      <c r="K3442" s="1" t="s">
        <v>19</v>
      </c>
      <c r="L3442" s="4" t="s">
        <v>11695</v>
      </c>
    </row>
    <row r="3443">
      <c r="A3443" s="1" t="s">
        <v>12</v>
      </c>
      <c r="B3443" s="1" t="s">
        <v>11696</v>
      </c>
      <c r="C3443" s="1" t="s">
        <v>11660</v>
      </c>
      <c r="D3443" s="1" t="s">
        <v>11697</v>
      </c>
      <c r="E3443" s="2">
        <v>37824.0</v>
      </c>
      <c r="F3443" s="1" t="s">
        <v>62</v>
      </c>
      <c r="G3443" s="1" t="s">
        <v>25</v>
      </c>
      <c r="H3443" s="1" t="s">
        <v>18</v>
      </c>
      <c r="I3443" s="3">
        <f>+2250768814707</f>
        <v>2250768814707</v>
      </c>
      <c r="J3443" s="3">
        <f>+2250544083042</f>
        <v>2250544083042</v>
      </c>
      <c r="K3443" s="1" t="s">
        <v>19</v>
      </c>
      <c r="L3443" s="4" t="s">
        <v>11698</v>
      </c>
    </row>
    <row r="3444">
      <c r="A3444" s="1" t="s">
        <v>12</v>
      </c>
      <c r="B3444" s="1" t="s">
        <v>11699</v>
      </c>
      <c r="C3444" s="1" t="s">
        <v>11660</v>
      </c>
      <c r="D3444" s="1" t="s">
        <v>11700</v>
      </c>
      <c r="E3444" s="2">
        <v>38039.0</v>
      </c>
      <c r="F3444" s="1" t="s">
        <v>586</v>
      </c>
      <c r="G3444" s="1" t="s">
        <v>82</v>
      </c>
      <c r="H3444" s="1" t="s">
        <v>18</v>
      </c>
      <c r="I3444" s="3">
        <f>+2250171626016</f>
        <v>2250171626016</v>
      </c>
      <c r="J3444" s="3">
        <f>+2250707141926</f>
        <v>2250707141926</v>
      </c>
      <c r="K3444" s="1" t="s">
        <v>19</v>
      </c>
      <c r="L3444" s="4" t="s">
        <v>11701</v>
      </c>
    </row>
    <row r="3445">
      <c r="A3445" s="1" t="s">
        <v>12</v>
      </c>
      <c r="B3445" s="1" t="s">
        <v>11702</v>
      </c>
      <c r="C3445" s="1" t="s">
        <v>11703</v>
      </c>
      <c r="D3445" s="1" t="s">
        <v>1622</v>
      </c>
      <c r="E3445" s="2">
        <v>37457.0</v>
      </c>
      <c r="F3445" s="1" t="s">
        <v>16</v>
      </c>
      <c r="G3445" s="1" t="s">
        <v>17</v>
      </c>
      <c r="H3445" s="1" t="s">
        <v>18</v>
      </c>
      <c r="I3445" s="3">
        <f>+2250709116943</f>
        <v>2250709116943</v>
      </c>
      <c r="J3445" s="3">
        <f>+2250779801366</f>
        <v>2250779801366</v>
      </c>
      <c r="K3445" s="1" t="s">
        <v>19</v>
      </c>
      <c r="L3445" s="4" t="s">
        <v>11704</v>
      </c>
    </row>
    <row r="3446">
      <c r="A3446" s="1" t="s">
        <v>12</v>
      </c>
      <c r="B3446" s="1" t="s">
        <v>11705</v>
      </c>
      <c r="C3446" s="1" t="s">
        <v>11703</v>
      </c>
      <c r="D3446" s="1" t="s">
        <v>11706</v>
      </c>
      <c r="E3446" s="2">
        <v>38979.0</v>
      </c>
      <c r="F3446" s="1" t="s">
        <v>48</v>
      </c>
      <c r="G3446" s="1" t="s">
        <v>76</v>
      </c>
      <c r="H3446" s="1" t="s">
        <v>32</v>
      </c>
      <c r="I3446" s="3">
        <f>+2250767661417</f>
        <v>2250767661417</v>
      </c>
      <c r="J3446" s="3">
        <f>+2250707690517</f>
        <v>2250707690517</v>
      </c>
      <c r="K3446" s="1" t="s">
        <v>19</v>
      </c>
      <c r="L3446" s="4" t="s">
        <v>11707</v>
      </c>
    </row>
    <row r="3447">
      <c r="A3447" s="1" t="s">
        <v>12</v>
      </c>
      <c r="B3447" s="1" t="s">
        <v>11708</v>
      </c>
      <c r="C3447" s="1" t="s">
        <v>11703</v>
      </c>
      <c r="D3447" s="1" t="s">
        <v>2627</v>
      </c>
      <c r="E3447" s="2">
        <v>37343.0</v>
      </c>
      <c r="F3447" s="1" t="s">
        <v>48</v>
      </c>
      <c r="G3447" s="1" t="s">
        <v>76</v>
      </c>
      <c r="H3447" s="1" t="s">
        <v>32</v>
      </c>
      <c r="I3447" s="3">
        <f>+2250757622953</f>
        <v>2250757622953</v>
      </c>
      <c r="J3447" s="3">
        <f>+2250708346652</f>
        <v>2250708346652</v>
      </c>
      <c r="K3447" s="1" t="s">
        <v>19</v>
      </c>
      <c r="L3447" s="4" t="s">
        <v>11709</v>
      </c>
    </row>
    <row r="3448">
      <c r="A3448" s="1" t="s">
        <v>12</v>
      </c>
      <c r="B3448" s="1" t="s">
        <v>11710</v>
      </c>
      <c r="C3448" s="1" t="s">
        <v>11703</v>
      </c>
      <c r="D3448" s="1" t="s">
        <v>3276</v>
      </c>
      <c r="E3448" s="2">
        <v>37718.0</v>
      </c>
      <c r="F3448" s="1" t="s">
        <v>53</v>
      </c>
      <c r="G3448" s="1" t="s">
        <v>25</v>
      </c>
      <c r="H3448" s="1" t="s">
        <v>18</v>
      </c>
      <c r="I3448" s="3">
        <f>+2250768207710</f>
        <v>2250768207710</v>
      </c>
      <c r="J3448" s="3">
        <f>+2250707608311</f>
        <v>2250707608311</v>
      </c>
      <c r="K3448" s="1" t="s">
        <v>19</v>
      </c>
      <c r="L3448" s="4" t="s">
        <v>11711</v>
      </c>
    </row>
    <row r="3449">
      <c r="A3449" s="1" t="s">
        <v>12</v>
      </c>
      <c r="B3449" s="1" t="s">
        <v>11712</v>
      </c>
      <c r="C3449" s="1" t="s">
        <v>11703</v>
      </c>
      <c r="D3449" s="1" t="s">
        <v>5358</v>
      </c>
      <c r="E3449" s="2">
        <v>38023.0</v>
      </c>
      <c r="F3449" s="1" t="s">
        <v>75</v>
      </c>
      <c r="G3449" s="1" t="s">
        <v>31</v>
      </c>
      <c r="H3449" s="1" t="s">
        <v>32</v>
      </c>
      <c r="I3449" s="3">
        <f>+2250142241854</f>
        <v>2250142241854</v>
      </c>
      <c r="J3449" s="3">
        <f>+2250708938838</f>
        <v>2250708938838</v>
      </c>
      <c r="K3449" s="1" t="s">
        <v>19</v>
      </c>
      <c r="L3449" s="4" t="s">
        <v>11713</v>
      </c>
    </row>
    <row r="3450">
      <c r="A3450" s="1" t="s">
        <v>12</v>
      </c>
      <c r="B3450" s="1" t="s">
        <v>11714</v>
      </c>
      <c r="C3450" s="1" t="s">
        <v>11703</v>
      </c>
      <c r="D3450" s="1" t="s">
        <v>860</v>
      </c>
      <c r="E3450" s="5">
        <v>37225.0</v>
      </c>
      <c r="F3450" s="1" t="s">
        <v>16</v>
      </c>
      <c r="G3450" s="1" t="s">
        <v>17</v>
      </c>
      <c r="H3450" s="1" t="s">
        <v>18</v>
      </c>
      <c r="I3450" s="3">
        <f>+2250747681500</f>
        <v>2250747681500</v>
      </c>
      <c r="J3450" s="3">
        <f>+2250707387777</f>
        <v>2250707387777</v>
      </c>
      <c r="K3450" s="1" t="s">
        <v>19</v>
      </c>
      <c r="L3450" s="4" t="s">
        <v>11715</v>
      </c>
    </row>
    <row r="3451">
      <c r="A3451" s="1" t="s">
        <v>12</v>
      </c>
      <c r="B3451" s="1" t="s">
        <v>11716</v>
      </c>
      <c r="C3451" s="1" t="s">
        <v>11703</v>
      </c>
      <c r="D3451" s="1" t="s">
        <v>11717</v>
      </c>
      <c r="E3451" s="2">
        <v>38402.0</v>
      </c>
      <c r="F3451" s="1" t="s">
        <v>138</v>
      </c>
      <c r="G3451" s="1" t="s">
        <v>31</v>
      </c>
      <c r="H3451" s="1" t="s">
        <v>32</v>
      </c>
      <c r="I3451" s="3">
        <f>+2250708634701</f>
        <v>2250708634701</v>
      </c>
      <c r="J3451" s="3">
        <f>+2250789359671</f>
        <v>2250789359671</v>
      </c>
      <c r="K3451" s="1" t="s">
        <v>19</v>
      </c>
      <c r="L3451" s="4" t="s">
        <v>11718</v>
      </c>
    </row>
    <row r="3452">
      <c r="A3452" s="1" t="s">
        <v>12</v>
      </c>
      <c r="B3452" s="1" t="s">
        <v>11719</v>
      </c>
      <c r="C3452" s="1" t="s">
        <v>11703</v>
      </c>
      <c r="D3452" s="1" t="s">
        <v>11720</v>
      </c>
      <c r="E3452" s="2">
        <v>37654.0</v>
      </c>
      <c r="F3452" s="1" t="s">
        <v>62</v>
      </c>
      <c r="G3452" s="1" t="s">
        <v>17</v>
      </c>
      <c r="H3452" s="1" t="s">
        <v>18</v>
      </c>
      <c r="I3452" s="3">
        <f>+225016059554</f>
        <v>225016059554</v>
      </c>
      <c r="J3452" s="3">
        <f>+2250160595514</f>
        <v>2250160595514</v>
      </c>
      <c r="K3452" s="1" t="s">
        <v>19</v>
      </c>
      <c r="L3452" s="4" t="s">
        <v>11721</v>
      </c>
    </row>
    <row r="3453">
      <c r="A3453" s="1" t="s">
        <v>12</v>
      </c>
      <c r="B3453" s="1" t="s">
        <v>11722</v>
      </c>
      <c r="C3453" s="1" t="s">
        <v>11703</v>
      </c>
      <c r="D3453" s="1" t="s">
        <v>1052</v>
      </c>
      <c r="E3453" s="2">
        <v>37707.0</v>
      </c>
      <c r="F3453" s="1" t="s">
        <v>48</v>
      </c>
      <c r="G3453" s="1" t="s">
        <v>31</v>
      </c>
      <c r="H3453" s="1" t="s">
        <v>32</v>
      </c>
      <c r="I3453" s="3">
        <f>+2250564442362</f>
        <v>2250564442362</v>
      </c>
      <c r="J3453" s="3">
        <f>+2250505584912</f>
        <v>2250505584912</v>
      </c>
      <c r="K3453" s="1" t="s">
        <v>19</v>
      </c>
      <c r="L3453" s="4" t="s">
        <v>11723</v>
      </c>
    </row>
    <row r="3454">
      <c r="A3454" s="1" t="s">
        <v>12</v>
      </c>
      <c r="B3454" s="1" t="s">
        <v>11724</v>
      </c>
      <c r="C3454" s="1" t="s">
        <v>11703</v>
      </c>
      <c r="D3454" s="1" t="s">
        <v>1053</v>
      </c>
      <c r="E3454" s="2">
        <v>38127.0</v>
      </c>
      <c r="F3454" s="1" t="s">
        <v>62</v>
      </c>
      <c r="G3454" s="1" t="s">
        <v>17</v>
      </c>
      <c r="H3454" s="1" t="s">
        <v>18</v>
      </c>
      <c r="I3454" s="3">
        <f>+2250564084179</f>
        <v>2250564084179</v>
      </c>
      <c r="J3454" s="3">
        <f>+2250545844743</f>
        <v>2250545844743</v>
      </c>
      <c r="K3454" s="1" t="s">
        <v>19</v>
      </c>
      <c r="L3454" s="4" t="s">
        <v>11725</v>
      </c>
    </row>
    <row r="3455">
      <c r="A3455" s="1" t="s">
        <v>12</v>
      </c>
      <c r="B3455" s="1" t="s">
        <v>11726</v>
      </c>
      <c r="C3455" s="1" t="s">
        <v>11703</v>
      </c>
      <c r="D3455" s="1" t="s">
        <v>10178</v>
      </c>
      <c r="E3455" s="5">
        <v>37552.0</v>
      </c>
      <c r="F3455" s="1" t="s">
        <v>62</v>
      </c>
      <c r="G3455" s="1" t="s">
        <v>25</v>
      </c>
      <c r="H3455" s="1" t="s">
        <v>18</v>
      </c>
      <c r="I3455" s="3">
        <f>+2250102450378</f>
        <v>2250102450378</v>
      </c>
      <c r="J3455" s="3">
        <f>+2250140139208</f>
        <v>2250140139208</v>
      </c>
      <c r="K3455" s="1" t="s">
        <v>19</v>
      </c>
      <c r="L3455" s="4" t="s">
        <v>11727</v>
      </c>
    </row>
    <row r="3456">
      <c r="A3456" s="1" t="s">
        <v>12</v>
      </c>
      <c r="B3456" s="1" t="s">
        <v>11728</v>
      </c>
      <c r="C3456" s="1" t="s">
        <v>11703</v>
      </c>
      <c r="D3456" s="1" t="s">
        <v>1656</v>
      </c>
      <c r="E3456" s="2">
        <v>38242.0</v>
      </c>
      <c r="F3456" s="1" t="s">
        <v>16</v>
      </c>
      <c r="G3456" s="1" t="s">
        <v>25</v>
      </c>
      <c r="H3456" s="1" t="s">
        <v>18</v>
      </c>
      <c r="I3456" s="3">
        <f>+2250172493387</f>
        <v>2250172493387</v>
      </c>
      <c r="J3456" s="3">
        <f>+2250505603332</f>
        <v>2250505603332</v>
      </c>
      <c r="K3456" s="1" t="s">
        <v>19</v>
      </c>
      <c r="L3456" s="4" t="s">
        <v>11729</v>
      </c>
    </row>
    <row r="3457">
      <c r="A3457" s="1" t="s">
        <v>12</v>
      </c>
      <c r="B3457" s="1" t="s">
        <v>11730</v>
      </c>
      <c r="C3457" s="1" t="s">
        <v>11703</v>
      </c>
      <c r="D3457" s="1" t="s">
        <v>1656</v>
      </c>
      <c r="E3457" s="2">
        <v>37651.0</v>
      </c>
      <c r="F3457" s="1" t="s">
        <v>16</v>
      </c>
      <c r="G3457" s="1" t="s">
        <v>17</v>
      </c>
      <c r="H3457" s="1" t="s">
        <v>18</v>
      </c>
      <c r="I3457" s="3">
        <f>+2250779787145</f>
        <v>2250779787145</v>
      </c>
      <c r="J3457" s="3">
        <f>+2250707900046</f>
        <v>2250707900046</v>
      </c>
      <c r="K3457" s="1" t="s">
        <v>19</v>
      </c>
      <c r="L3457" s="4" t="s">
        <v>11731</v>
      </c>
    </row>
    <row r="3458">
      <c r="A3458" s="1" t="s">
        <v>12</v>
      </c>
      <c r="B3458" s="1" t="s">
        <v>11732</v>
      </c>
      <c r="C3458" s="1" t="s">
        <v>11703</v>
      </c>
      <c r="D3458" s="1" t="s">
        <v>1656</v>
      </c>
      <c r="E3458" s="2">
        <v>36389.0</v>
      </c>
      <c r="F3458" s="1" t="s">
        <v>62</v>
      </c>
      <c r="G3458" s="1" t="s">
        <v>17</v>
      </c>
      <c r="H3458" s="1" t="s">
        <v>18</v>
      </c>
      <c r="I3458" s="3">
        <f>+2250789636786</f>
        <v>2250789636786</v>
      </c>
      <c r="J3458" s="3">
        <f>+2250709733015</f>
        <v>2250709733015</v>
      </c>
      <c r="K3458" s="1" t="s">
        <v>19</v>
      </c>
      <c r="L3458" s="4" t="s">
        <v>11733</v>
      </c>
    </row>
    <row r="3459">
      <c r="A3459" s="1" t="s">
        <v>12</v>
      </c>
      <c r="B3459" s="1" t="s">
        <v>11734</v>
      </c>
      <c r="C3459" s="1" t="s">
        <v>11703</v>
      </c>
      <c r="D3459" s="1" t="s">
        <v>11735</v>
      </c>
      <c r="E3459" s="2">
        <v>37388.0</v>
      </c>
      <c r="F3459" s="1" t="s">
        <v>53</v>
      </c>
      <c r="G3459" s="1" t="s">
        <v>25</v>
      </c>
      <c r="H3459" s="1" t="s">
        <v>18</v>
      </c>
      <c r="I3459" s="3">
        <f>+2250141323107</f>
        <v>2250141323107</v>
      </c>
      <c r="J3459" s="3">
        <f>+2250102590062</f>
        <v>2250102590062</v>
      </c>
      <c r="K3459" s="1" t="s">
        <v>19</v>
      </c>
      <c r="L3459" s="4" t="s">
        <v>11736</v>
      </c>
    </row>
    <row r="3460">
      <c r="A3460" s="1" t="s">
        <v>12</v>
      </c>
      <c r="B3460" s="1" t="s">
        <v>11737</v>
      </c>
      <c r="C3460" s="1" t="s">
        <v>11703</v>
      </c>
      <c r="D3460" s="1" t="s">
        <v>11738</v>
      </c>
      <c r="E3460" s="2">
        <v>38496.0</v>
      </c>
      <c r="F3460" s="1" t="s">
        <v>87</v>
      </c>
      <c r="G3460" s="1" t="s">
        <v>76</v>
      </c>
      <c r="H3460" s="1" t="s">
        <v>32</v>
      </c>
      <c r="I3460" s="3">
        <f>+2250798148337</f>
        <v>2250798148337</v>
      </c>
      <c r="J3460" s="3">
        <f>+2250102407481</f>
        <v>2250102407481</v>
      </c>
      <c r="K3460" s="1" t="s">
        <v>19</v>
      </c>
      <c r="L3460" s="4" t="s">
        <v>11739</v>
      </c>
    </row>
    <row r="3461">
      <c r="A3461" s="1" t="s">
        <v>12</v>
      </c>
      <c r="B3461" s="1" t="s">
        <v>11740</v>
      </c>
      <c r="C3461" s="1" t="s">
        <v>11703</v>
      </c>
      <c r="D3461" s="1" t="s">
        <v>11741</v>
      </c>
      <c r="E3461" s="2">
        <v>38722.0</v>
      </c>
      <c r="F3461" s="1" t="s">
        <v>48</v>
      </c>
      <c r="G3461" s="1" t="s">
        <v>76</v>
      </c>
      <c r="H3461" s="1" t="s">
        <v>32</v>
      </c>
      <c r="I3461" s="3">
        <f>+2250545727836</f>
        <v>2250545727836</v>
      </c>
      <c r="J3461" s="3">
        <f>+2250505669210</f>
        <v>2250505669210</v>
      </c>
      <c r="K3461" s="1" t="s">
        <v>19</v>
      </c>
      <c r="L3461" s="4" t="s">
        <v>11742</v>
      </c>
    </row>
    <row r="3462">
      <c r="A3462" s="1" t="s">
        <v>12</v>
      </c>
      <c r="B3462" s="1" t="s">
        <v>11743</v>
      </c>
      <c r="C3462" s="1" t="s">
        <v>11703</v>
      </c>
      <c r="D3462" s="1" t="s">
        <v>11744</v>
      </c>
      <c r="E3462" s="2">
        <v>37700.0</v>
      </c>
      <c r="F3462" s="1" t="s">
        <v>101</v>
      </c>
      <c r="G3462" s="1" t="s">
        <v>31</v>
      </c>
      <c r="H3462" s="1" t="s">
        <v>32</v>
      </c>
      <c r="I3462" s="3">
        <f>+2250779581302</f>
        <v>2250779581302</v>
      </c>
      <c r="J3462" s="3">
        <f>+2250708151671</f>
        <v>2250708151671</v>
      </c>
      <c r="K3462" s="1" t="s">
        <v>19</v>
      </c>
      <c r="L3462" s="4" t="s">
        <v>11745</v>
      </c>
    </row>
    <row r="3463">
      <c r="A3463" s="1" t="s">
        <v>12</v>
      </c>
      <c r="B3463" s="1" t="s">
        <v>11746</v>
      </c>
      <c r="C3463" s="1" t="s">
        <v>11703</v>
      </c>
      <c r="D3463" s="1" t="s">
        <v>178</v>
      </c>
      <c r="E3463" s="2">
        <v>38432.0</v>
      </c>
      <c r="F3463" s="1" t="s">
        <v>167</v>
      </c>
      <c r="G3463" s="1" t="s">
        <v>17</v>
      </c>
      <c r="H3463" s="1" t="s">
        <v>18</v>
      </c>
      <c r="I3463" s="3">
        <f>+2250789742267</f>
        <v>2250789742267</v>
      </c>
      <c r="J3463" s="3">
        <f>+2250171534772</f>
        <v>2250171534772</v>
      </c>
      <c r="K3463" s="1" t="s">
        <v>19</v>
      </c>
      <c r="L3463" s="4" t="s">
        <v>11747</v>
      </c>
    </row>
    <row r="3464">
      <c r="A3464" s="1" t="s">
        <v>12</v>
      </c>
      <c r="B3464" s="1" t="s">
        <v>11748</v>
      </c>
      <c r="C3464" s="1" t="s">
        <v>11703</v>
      </c>
      <c r="D3464" s="1" t="s">
        <v>178</v>
      </c>
      <c r="E3464" s="2">
        <v>37567.0</v>
      </c>
      <c r="F3464" s="1" t="s">
        <v>62</v>
      </c>
      <c r="G3464" s="1" t="s">
        <v>17</v>
      </c>
      <c r="H3464" s="1" t="s">
        <v>18</v>
      </c>
      <c r="I3464" s="3">
        <f>+2250151987627</f>
        <v>2250151987627</v>
      </c>
      <c r="J3464" s="3">
        <f>+2250704051152</f>
        <v>2250704051152</v>
      </c>
      <c r="K3464" s="1" t="s">
        <v>19</v>
      </c>
      <c r="L3464" s="4" t="s">
        <v>11749</v>
      </c>
    </row>
    <row r="3465">
      <c r="A3465" s="1" t="s">
        <v>12</v>
      </c>
      <c r="B3465" s="1" t="s">
        <v>11750</v>
      </c>
      <c r="C3465" s="1" t="s">
        <v>11703</v>
      </c>
      <c r="D3465" s="1" t="s">
        <v>11751</v>
      </c>
      <c r="E3465" s="2">
        <v>36897.0</v>
      </c>
      <c r="F3465" s="1" t="s">
        <v>75</v>
      </c>
      <c r="G3465" s="1" t="s">
        <v>31</v>
      </c>
      <c r="H3465" s="1" t="s">
        <v>32</v>
      </c>
      <c r="I3465" s="3">
        <f>+2250777245434</f>
        <v>2250777245434</v>
      </c>
      <c r="J3465" s="3">
        <f>+2250707021513</f>
        <v>2250707021513</v>
      </c>
      <c r="K3465" s="1" t="s">
        <v>19</v>
      </c>
      <c r="L3465" s="4" t="s">
        <v>11752</v>
      </c>
    </row>
    <row r="3466">
      <c r="A3466" s="1" t="s">
        <v>12</v>
      </c>
      <c r="B3466" s="1" t="s">
        <v>11753</v>
      </c>
      <c r="C3466" s="1" t="s">
        <v>11703</v>
      </c>
      <c r="D3466" s="1" t="s">
        <v>4032</v>
      </c>
      <c r="E3466" s="2">
        <v>37124.0</v>
      </c>
      <c r="F3466" s="1" t="s">
        <v>62</v>
      </c>
      <c r="G3466" s="1" t="s">
        <v>17</v>
      </c>
      <c r="H3466" s="1" t="s">
        <v>18</v>
      </c>
      <c r="I3466" s="3">
        <f>+2250586562453</f>
        <v>2250586562453</v>
      </c>
      <c r="J3466" s="3">
        <f>+2250757782910</f>
        <v>2250757782910</v>
      </c>
      <c r="K3466" s="1" t="s">
        <v>19</v>
      </c>
      <c r="L3466" s="4" t="s">
        <v>11754</v>
      </c>
    </row>
    <row r="3467">
      <c r="A3467" s="1" t="s">
        <v>12</v>
      </c>
      <c r="B3467" s="1" t="s">
        <v>11755</v>
      </c>
      <c r="C3467" s="1" t="s">
        <v>11703</v>
      </c>
      <c r="D3467" s="1" t="s">
        <v>8269</v>
      </c>
      <c r="E3467" s="2">
        <v>37068.0</v>
      </c>
      <c r="F3467" s="1" t="s">
        <v>37</v>
      </c>
      <c r="G3467" s="1" t="s">
        <v>82</v>
      </c>
      <c r="H3467" s="1" t="s">
        <v>18</v>
      </c>
      <c r="I3467" s="3">
        <f>+2250779640759</f>
        <v>2250779640759</v>
      </c>
      <c r="J3467" s="3">
        <f>+2250140813303</f>
        <v>2250140813303</v>
      </c>
      <c r="K3467" s="1" t="s">
        <v>19</v>
      </c>
      <c r="L3467" s="4" t="s">
        <v>11756</v>
      </c>
    </row>
    <row r="3468">
      <c r="A3468" s="1" t="s">
        <v>12</v>
      </c>
      <c r="B3468" s="1" t="s">
        <v>11757</v>
      </c>
      <c r="C3468" s="1" t="s">
        <v>11703</v>
      </c>
      <c r="D3468" s="1" t="s">
        <v>6415</v>
      </c>
      <c r="E3468" s="2">
        <v>38767.0</v>
      </c>
      <c r="F3468" s="1" t="s">
        <v>75</v>
      </c>
      <c r="G3468" s="1" t="s">
        <v>31</v>
      </c>
      <c r="H3468" s="1" t="s">
        <v>32</v>
      </c>
      <c r="I3468" s="3">
        <f>+2250769306484</f>
        <v>2250769306484</v>
      </c>
      <c r="J3468" s="3">
        <f>+2250506420030</f>
        <v>2250506420030</v>
      </c>
      <c r="K3468" s="1" t="s">
        <v>19</v>
      </c>
      <c r="L3468" s="4" t="s">
        <v>11758</v>
      </c>
    </row>
    <row r="3469">
      <c r="A3469" s="1" t="s">
        <v>12</v>
      </c>
      <c r="B3469" s="1" t="s">
        <v>11759</v>
      </c>
      <c r="C3469" s="1" t="s">
        <v>11703</v>
      </c>
      <c r="D3469" s="1" t="s">
        <v>1843</v>
      </c>
      <c r="E3469" s="2">
        <v>37307.0</v>
      </c>
      <c r="F3469" s="1" t="s">
        <v>53</v>
      </c>
      <c r="G3469" s="1" t="s">
        <v>17</v>
      </c>
      <c r="H3469" s="1" t="s">
        <v>18</v>
      </c>
      <c r="I3469" s="3">
        <f>+2250768160055</f>
        <v>2250768160055</v>
      </c>
      <c r="J3469" s="3">
        <f>+2250506357363</f>
        <v>2250506357363</v>
      </c>
      <c r="K3469" s="1" t="s">
        <v>19</v>
      </c>
      <c r="L3469" s="4" t="s">
        <v>11760</v>
      </c>
    </row>
    <row r="3470">
      <c r="A3470" s="1" t="s">
        <v>12</v>
      </c>
      <c r="B3470" s="1" t="s">
        <v>11761</v>
      </c>
      <c r="C3470" s="1" t="s">
        <v>11703</v>
      </c>
      <c r="D3470" s="1" t="s">
        <v>11762</v>
      </c>
      <c r="E3470" s="2">
        <v>37813.0</v>
      </c>
      <c r="F3470" s="1" t="s">
        <v>92</v>
      </c>
      <c r="G3470" s="1" t="s">
        <v>76</v>
      </c>
      <c r="H3470" s="1" t="s">
        <v>32</v>
      </c>
      <c r="I3470" s="3">
        <f>+2250704854849</f>
        <v>2250704854849</v>
      </c>
      <c r="J3470" s="3">
        <f>+2250778687922</f>
        <v>2250778687922</v>
      </c>
      <c r="K3470" s="1" t="s">
        <v>19</v>
      </c>
      <c r="L3470" s="4" t="s">
        <v>11763</v>
      </c>
    </row>
    <row r="3471">
      <c r="A3471" s="1" t="s">
        <v>12</v>
      </c>
      <c r="B3471" s="1" t="s">
        <v>11764</v>
      </c>
      <c r="C3471" s="1" t="s">
        <v>11703</v>
      </c>
      <c r="D3471" s="1" t="s">
        <v>11765</v>
      </c>
      <c r="E3471" s="2">
        <v>37495.0</v>
      </c>
      <c r="F3471" s="1" t="s">
        <v>62</v>
      </c>
      <c r="G3471" s="1" t="s">
        <v>17</v>
      </c>
      <c r="H3471" s="1" t="s">
        <v>18</v>
      </c>
      <c r="I3471" s="3">
        <f>+2250171534772</f>
        <v>2250171534772</v>
      </c>
      <c r="J3471" s="3">
        <f>+2250789744267</f>
        <v>2250789744267</v>
      </c>
      <c r="K3471" s="1" t="s">
        <v>19</v>
      </c>
      <c r="L3471" s="4" t="s">
        <v>11766</v>
      </c>
    </row>
    <row r="3472">
      <c r="A3472" s="1" t="s">
        <v>12</v>
      </c>
      <c r="B3472" s="1" t="s">
        <v>11767</v>
      </c>
      <c r="C3472" s="1" t="s">
        <v>11703</v>
      </c>
      <c r="D3472" s="1" t="s">
        <v>11768</v>
      </c>
      <c r="E3472" s="2">
        <v>38329.0</v>
      </c>
      <c r="F3472" s="1" t="s">
        <v>16</v>
      </c>
      <c r="G3472" s="1" t="s">
        <v>25</v>
      </c>
      <c r="H3472" s="1" t="s">
        <v>18</v>
      </c>
      <c r="I3472" s="3">
        <f>+2250797475059</f>
        <v>2250797475059</v>
      </c>
      <c r="J3472" s="3">
        <f>+2250709478070</f>
        <v>2250709478070</v>
      </c>
      <c r="K3472" s="1" t="s">
        <v>19</v>
      </c>
      <c r="L3472" s="4" t="s">
        <v>11769</v>
      </c>
    </row>
    <row r="3473">
      <c r="A3473" s="1" t="s">
        <v>12</v>
      </c>
      <c r="B3473" s="1" t="s">
        <v>11770</v>
      </c>
      <c r="C3473" s="1" t="s">
        <v>11703</v>
      </c>
      <c r="D3473" s="1" t="s">
        <v>1774</v>
      </c>
      <c r="E3473" s="2">
        <v>37628.0</v>
      </c>
      <c r="F3473" s="1" t="s">
        <v>48</v>
      </c>
      <c r="G3473" s="1" t="s">
        <v>76</v>
      </c>
      <c r="H3473" s="1" t="s">
        <v>32</v>
      </c>
      <c r="I3473" s="3">
        <f>+2250797911520</f>
        <v>2250797911520</v>
      </c>
      <c r="J3473" s="3">
        <f>+2250707421124</f>
        <v>2250707421124</v>
      </c>
      <c r="K3473" s="1" t="s">
        <v>19</v>
      </c>
      <c r="L3473" s="4" t="s">
        <v>11771</v>
      </c>
    </row>
    <row r="3474">
      <c r="A3474" s="1" t="s">
        <v>12</v>
      </c>
      <c r="B3474" s="1" t="s">
        <v>11772</v>
      </c>
      <c r="C3474" s="1" t="s">
        <v>11703</v>
      </c>
      <c r="D3474" s="1" t="s">
        <v>11773</v>
      </c>
      <c r="E3474" s="5">
        <v>37907.0</v>
      </c>
      <c r="F3474" s="1" t="s">
        <v>48</v>
      </c>
      <c r="G3474" s="1" t="s">
        <v>76</v>
      </c>
      <c r="H3474" s="1" t="s">
        <v>32</v>
      </c>
      <c r="I3474" s="3">
        <f>+2250788013016</f>
        <v>2250788013016</v>
      </c>
      <c r="J3474" s="3">
        <f>+2250707361605</f>
        <v>2250707361605</v>
      </c>
      <c r="K3474" s="1" t="s">
        <v>19</v>
      </c>
      <c r="L3474" s="4" t="s">
        <v>11774</v>
      </c>
    </row>
    <row r="3475">
      <c r="A3475" s="1" t="s">
        <v>12</v>
      </c>
      <c r="B3475" s="1" t="s">
        <v>11775</v>
      </c>
      <c r="C3475" s="1" t="s">
        <v>11703</v>
      </c>
      <c r="D3475" s="1" t="s">
        <v>11776</v>
      </c>
      <c r="E3475" s="2">
        <v>37772.0</v>
      </c>
      <c r="F3475" s="1" t="s">
        <v>16</v>
      </c>
      <c r="G3475" s="1" t="s">
        <v>17</v>
      </c>
      <c r="H3475" s="1" t="s">
        <v>18</v>
      </c>
      <c r="I3475" s="3">
        <f>+2250779235995</f>
        <v>2250779235995</v>
      </c>
      <c r="J3475" s="3">
        <f>+2250505339410</f>
        <v>2250505339410</v>
      </c>
      <c r="K3475" s="1" t="s">
        <v>19</v>
      </c>
      <c r="L3475" s="4" t="s">
        <v>11777</v>
      </c>
    </row>
    <row r="3476">
      <c r="A3476" s="1" t="s">
        <v>12</v>
      </c>
      <c r="B3476" s="1" t="s">
        <v>11778</v>
      </c>
      <c r="C3476" s="1" t="s">
        <v>11703</v>
      </c>
      <c r="D3476" s="1" t="s">
        <v>11779</v>
      </c>
      <c r="E3476" s="2">
        <v>36307.0</v>
      </c>
      <c r="F3476" s="1" t="s">
        <v>62</v>
      </c>
      <c r="G3476" s="1" t="s">
        <v>17</v>
      </c>
      <c r="H3476" s="1" t="s">
        <v>18</v>
      </c>
      <c r="I3476" s="3">
        <f>+2250767101263</f>
        <v>2250767101263</v>
      </c>
      <c r="J3476" s="3">
        <f>+2250788661095</f>
        <v>2250788661095</v>
      </c>
      <c r="K3476" s="1" t="s">
        <v>19</v>
      </c>
      <c r="L3476" s="4" t="s">
        <v>11780</v>
      </c>
    </row>
    <row r="3477">
      <c r="A3477" s="1" t="s">
        <v>12</v>
      </c>
      <c r="B3477" s="1" t="s">
        <v>11781</v>
      </c>
      <c r="C3477" s="1" t="s">
        <v>11703</v>
      </c>
      <c r="D3477" s="1" t="s">
        <v>2814</v>
      </c>
      <c r="E3477" s="2">
        <v>36573.0</v>
      </c>
      <c r="F3477" s="1" t="s">
        <v>92</v>
      </c>
      <c r="G3477" s="1" t="s">
        <v>82</v>
      </c>
      <c r="H3477" s="1" t="s">
        <v>18</v>
      </c>
      <c r="I3477" s="3">
        <f>+2250788589913</f>
        <v>2250788589913</v>
      </c>
      <c r="J3477" s="3">
        <f>+2250709541956</f>
        <v>2250709541956</v>
      </c>
      <c r="K3477" s="1" t="s">
        <v>19</v>
      </c>
      <c r="L3477" s="4" t="s">
        <v>11782</v>
      </c>
    </row>
    <row r="3478">
      <c r="A3478" s="1" t="s">
        <v>12</v>
      </c>
      <c r="B3478" s="1" t="s">
        <v>11783</v>
      </c>
      <c r="C3478" s="1" t="s">
        <v>11703</v>
      </c>
      <c r="D3478" s="1" t="s">
        <v>3603</v>
      </c>
      <c r="E3478" s="5">
        <v>38338.0</v>
      </c>
      <c r="F3478" s="1" t="s">
        <v>53</v>
      </c>
      <c r="G3478" s="1" t="s">
        <v>25</v>
      </c>
      <c r="H3478" s="1" t="s">
        <v>18</v>
      </c>
      <c r="I3478" s="3">
        <f>+2250759496397</f>
        <v>2250759496397</v>
      </c>
      <c r="J3478" s="3">
        <f>+2250708894884</f>
        <v>2250708894884</v>
      </c>
      <c r="K3478" s="1" t="s">
        <v>19</v>
      </c>
      <c r="L3478" s="4" t="s">
        <v>11784</v>
      </c>
    </row>
    <row r="3479">
      <c r="A3479" s="1" t="s">
        <v>12</v>
      </c>
      <c r="B3479" s="1" t="s">
        <v>11785</v>
      </c>
      <c r="C3479" s="1" t="s">
        <v>11703</v>
      </c>
      <c r="D3479" s="1" t="s">
        <v>11786</v>
      </c>
      <c r="E3479" s="2">
        <v>38501.0</v>
      </c>
      <c r="F3479" s="1" t="s">
        <v>75</v>
      </c>
      <c r="G3479" s="1" t="s">
        <v>76</v>
      </c>
      <c r="H3479" s="1" t="s">
        <v>32</v>
      </c>
      <c r="I3479" s="3">
        <f>+2250576687951</f>
        <v>2250576687951</v>
      </c>
      <c r="J3479" s="3">
        <f>+2250709126709</f>
        <v>2250709126709</v>
      </c>
      <c r="K3479" s="1" t="s">
        <v>19</v>
      </c>
      <c r="L3479" s="4" t="s">
        <v>11787</v>
      </c>
    </row>
    <row r="3480">
      <c r="A3480" s="1" t="s">
        <v>12</v>
      </c>
      <c r="B3480" s="1" t="s">
        <v>11788</v>
      </c>
      <c r="C3480" s="1" t="s">
        <v>11703</v>
      </c>
      <c r="D3480" s="1" t="s">
        <v>3393</v>
      </c>
      <c r="E3480" s="2">
        <v>38071.0</v>
      </c>
      <c r="F3480" s="1" t="s">
        <v>351</v>
      </c>
      <c r="G3480" s="1" t="s">
        <v>31</v>
      </c>
      <c r="H3480" s="1" t="s">
        <v>32</v>
      </c>
      <c r="I3480" s="3">
        <f>+2250595046803</f>
        <v>2250595046803</v>
      </c>
      <c r="J3480" s="3">
        <f>+2250707083504</f>
        <v>2250707083504</v>
      </c>
      <c r="K3480" s="1" t="s">
        <v>19</v>
      </c>
      <c r="L3480" s="4" t="s">
        <v>11789</v>
      </c>
    </row>
    <row r="3481">
      <c r="A3481" s="1" t="s">
        <v>12</v>
      </c>
      <c r="B3481" s="1" t="s">
        <v>11790</v>
      </c>
      <c r="C3481" s="1" t="s">
        <v>11703</v>
      </c>
      <c r="D3481" s="1" t="s">
        <v>11791</v>
      </c>
      <c r="E3481" s="5">
        <v>37610.0</v>
      </c>
      <c r="F3481" s="1" t="s">
        <v>48</v>
      </c>
      <c r="G3481" s="1" t="s">
        <v>31</v>
      </c>
      <c r="H3481" s="1" t="s">
        <v>32</v>
      </c>
      <c r="I3481" s="3">
        <f>+2250152791758</f>
        <v>2250152791758</v>
      </c>
      <c r="J3481" s="3">
        <f>+2250103621656</f>
        <v>2250103621656</v>
      </c>
      <c r="K3481" s="1" t="s">
        <v>19</v>
      </c>
      <c r="L3481" s="4" t="s">
        <v>11792</v>
      </c>
    </row>
    <row r="3482">
      <c r="A3482" s="1" t="s">
        <v>12</v>
      </c>
      <c r="B3482" s="1" t="s">
        <v>11793</v>
      </c>
      <c r="C3482" s="1" t="s">
        <v>11703</v>
      </c>
      <c r="D3482" s="1" t="s">
        <v>1740</v>
      </c>
      <c r="E3482" s="2">
        <v>36598.0</v>
      </c>
      <c r="F3482" s="1" t="s">
        <v>351</v>
      </c>
      <c r="G3482" s="1" t="s">
        <v>31</v>
      </c>
      <c r="H3482" s="1" t="s">
        <v>32</v>
      </c>
      <c r="I3482" s="3">
        <f>+2250103401917</f>
        <v>2250103401917</v>
      </c>
      <c r="J3482" s="3">
        <f>+2250708265069</f>
        <v>2250708265069</v>
      </c>
      <c r="K3482" s="1" t="s">
        <v>19</v>
      </c>
      <c r="L3482" s="4" t="s">
        <v>11794</v>
      </c>
    </row>
    <row r="3483">
      <c r="A3483" s="1" t="s">
        <v>12</v>
      </c>
      <c r="B3483" s="1" t="s">
        <v>11795</v>
      </c>
      <c r="C3483" s="1" t="s">
        <v>11703</v>
      </c>
      <c r="D3483" s="1" t="s">
        <v>11796</v>
      </c>
      <c r="E3483" s="5">
        <v>37206.0</v>
      </c>
      <c r="F3483" s="1" t="s">
        <v>62</v>
      </c>
      <c r="G3483" s="1" t="s">
        <v>25</v>
      </c>
      <c r="H3483" s="1" t="s">
        <v>18</v>
      </c>
      <c r="I3483" s="3">
        <f>+2250585222350</f>
        <v>2250585222350</v>
      </c>
      <c r="J3483" s="3">
        <f>+2250554879746</f>
        <v>2250554879746</v>
      </c>
      <c r="K3483" s="1" t="s">
        <v>19</v>
      </c>
      <c r="L3483" s="4" t="s">
        <v>11797</v>
      </c>
    </row>
    <row r="3484">
      <c r="A3484" s="1" t="s">
        <v>12</v>
      </c>
      <c r="B3484" s="1" t="s">
        <v>11798</v>
      </c>
      <c r="C3484" s="1" t="s">
        <v>11703</v>
      </c>
      <c r="D3484" s="1" t="s">
        <v>11799</v>
      </c>
      <c r="E3484" s="2">
        <v>38513.0</v>
      </c>
      <c r="F3484" s="1" t="s">
        <v>62</v>
      </c>
      <c r="G3484" s="1" t="s">
        <v>25</v>
      </c>
      <c r="H3484" s="1" t="s">
        <v>18</v>
      </c>
      <c r="I3484" s="3">
        <f>+2250143604769</f>
        <v>2250143604769</v>
      </c>
      <c r="J3484" s="3">
        <f>+2250777944193</f>
        <v>2250777944193</v>
      </c>
      <c r="K3484" s="1" t="s">
        <v>19</v>
      </c>
      <c r="L3484" s="4" t="s">
        <v>11800</v>
      </c>
    </row>
    <row r="3485">
      <c r="A3485" s="1" t="s">
        <v>12</v>
      </c>
      <c r="B3485" s="1" t="s">
        <v>11801</v>
      </c>
      <c r="C3485" s="1" t="s">
        <v>11703</v>
      </c>
      <c r="D3485" s="1" t="s">
        <v>2852</v>
      </c>
      <c r="E3485" s="2">
        <v>36350.0</v>
      </c>
      <c r="F3485" s="1" t="s">
        <v>167</v>
      </c>
      <c r="G3485" s="1" t="s">
        <v>17</v>
      </c>
      <c r="H3485" s="1" t="s">
        <v>18</v>
      </c>
      <c r="I3485" s="3">
        <f>+2250502484945</f>
        <v>2250502484945</v>
      </c>
      <c r="J3485" s="3">
        <f>+2250545826221</f>
        <v>2250545826221</v>
      </c>
      <c r="K3485" s="1" t="s">
        <v>19</v>
      </c>
      <c r="L3485" s="4" t="s">
        <v>11802</v>
      </c>
    </row>
    <row r="3486">
      <c r="A3486" s="1" t="s">
        <v>12</v>
      </c>
      <c r="B3486" s="1" t="s">
        <v>11803</v>
      </c>
      <c r="C3486" s="1" t="s">
        <v>11703</v>
      </c>
      <c r="D3486" s="1" t="s">
        <v>3440</v>
      </c>
      <c r="E3486" s="2">
        <v>38605.0</v>
      </c>
      <c r="F3486" s="1" t="s">
        <v>62</v>
      </c>
      <c r="G3486" s="1" t="s">
        <v>25</v>
      </c>
      <c r="H3486" s="1" t="s">
        <v>18</v>
      </c>
      <c r="I3486" s="3">
        <f>+2250585085894</f>
        <v>2250585085894</v>
      </c>
      <c r="J3486" s="3">
        <f>+2250779453008</f>
        <v>2250779453008</v>
      </c>
      <c r="K3486" s="1" t="s">
        <v>19</v>
      </c>
      <c r="L3486" s="4" t="s">
        <v>11804</v>
      </c>
    </row>
    <row r="3487">
      <c r="A3487" s="1" t="s">
        <v>12</v>
      </c>
      <c r="B3487" s="1" t="s">
        <v>11805</v>
      </c>
      <c r="C3487" s="1" t="s">
        <v>11703</v>
      </c>
      <c r="D3487" s="1" t="s">
        <v>11806</v>
      </c>
      <c r="E3487" s="2">
        <v>38447.0</v>
      </c>
      <c r="F3487" s="1" t="s">
        <v>62</v>
      </c>
      <c r="G3487" s="1" t="s">
        <v>17</v>
      </c>
      <c r="H3487" s="1" t="s">
        <v>18</v>
      </c>
      <c r="I3487" s="3">
        <f>+2250758077662</f>
        <v>2250758077662</v>
      </c>
      <c r="J3487" s="3">
        <f>+2250707598814</f>
        <v>2250707598814</v>
      </c>
      <c r="K3487" s="1" t="s">
        <v>19</v>
      </c>
      <c r="L3487" s="4" t="s">
        <v>11807</v>
      </c>
    </row>
    <row r="3488">
      <c r="A3488" s="1" t="s">
        <v>12</v>
      </c>
      <c r="B3488" s="1" t="s">
        <v>11808</v>
      </c>
      <c r="C3488" s="1" t="s">
        <v>11703</v>
      </c>
      <c r="D3488" s="1" t="s">
        <v>11809</v>
      </c>
      <c r="E3488" s="2">
        <v>38057.0</v>
      </c>
      <c r="F3488" s="1" t="s">
        <v>16</v>
      </c>
      <c r="G3488" s="1" t="s">
        <v>17</v>
      </c>
      <c r="H3488" s="1" t="s">
        <v>18</v>
      </c>
      <c r="I3488" s="3">
        <f>+2250747986630</f>
        <v>2250747986630</v>
      </c>
      <c r="J3488" s="3">
        <f>+22505/538158</f>
        <v>0.04181857373</v>
      </c>
      <c r="K3488" s="1" t="s">
        <v>19</v>
      </c>
      <c r="L3488" s="4" t="s">
        <v>11810</v>
      </c>
    </row>
    <row r="3489">
      <c r="A3489" s="1" t="s">
        <v>12</v>
      </c>
      <c r="B3489" s="1" t="s">
        <v>11811</v>
      </c>
      <c r="C3489" s="1" t="s">
        <v>11703</v>
      </c>
      <c r="D3489" s="1" t="s">
        <v>11812</v>
      </c>
      <c r="E3489" s="2">
        <v>37884.0</v>
      </c>
      <c r="F3489" s="1" t="s">
        <v>24</v>
      </c>
      <c r="G3489" s="1" t="s">
        <v>17</v>
      </c>
      <c r="H3489" s="1" t="s">
        <v>18</v>
      </c>
      <c r="I3489" s="3">
        <f>+2250779939063</f>
        <v>2250779939063</v>
      </c>
      <c r="J3489" s="3">
        <f>+2250779914435</f>
        <v>2250779914435</v>
      </c>
      <c r="K3489" s="1" t="s">
        <v>19</v>
      </c>
      <c r="L3489" s="4" t="s">
        <v>11813</v>
      </c>
    </row>
    <row r="3490">
      <c r="A3490" s="1" t="s">
        <v>12</v>
      </c>
      <c r="B3490" s="1" t="s">
        <v>11814</v>
      </c>
      <c r="C3490" s="1" t="s">
        <v>11703</v>
      </c>
      <c r="D3490" s="1" t="s">
        <v>6987</v>
      </c>
      <c r="E3490" s="2">
        <v>37378.0</v>
      </c>
      <c r="F3490" s="1" t="s">
        <v>155</v>
      </c>
      <c r="G3490" s="1" t="s">
        <v>31</v>
      </c>
      <c r="H3490" s="1" t="s">
        <v>32</v>
      </c>
      <c r="I3490" s="3">
        <f>+2250565142158</f>
        <v>2250565142158</v>
      </c>
      <c r="J3490" s="3">
        <f>+2250505750235</f>
        <v>2250505750235</v>
      </c>
      <c r="K3490" s="1" t="s">
        <v>19</v>
      </c>
      <c r="L3490" s="4" t="s">
        <v>11815</v>
      </c>
    </row>
    <row r="3491">
      <c r="A3491" s="1" t="s">
        <v>12</v>
      </c>
      <c r="B3491" s="1" t="s">
        <v>11816</v>
      </c>
      <c r="C3491" s="1" t="s">
        <v>11817</v>
      </c>
      <c r="D3491" s="1" t="s">
        <v>11818</v>
      </c>
      <c r="E3491" s="2">
        <v>37400.0</v>
      </c>
      <c r="F3491" s="1" t="s">
        <v>62</v>
      </c>
      <c r="G3491" s="1" t="s">
        <v>17</v>
      </c>
      <c r="H3491" s="1" t="s">
        <v>18</v>
      </c>
      <c r="I3491" s="3">
        <f>+2250798760134</f>
        <v>2250798760134</v>
      </c>
      <c r="J3491" s="3">
        <f>+2250708072432</f>
        <v>2250708072432</v>
      </c>
      <c r="K3491" s="1" t="s">
        <v>19</v>
      </c>
      <c r="L3491" s="4" t="s">
        <v>11819</v>
      </c>
    </row>
    <row r="3492">
      <c r="A3492" s="1" t="s">
        <v>12</v>
      </c>
      <c r="B3492" s="1" t="s">
        <v>11820</v>
      </c>
      <c r="C3492" s="1" t="s">
        <v>11821</v>
      </c>
      <c r="D3492" s="1" t="s">
        <v>11822</v>
      </c>
      <c r="E3492" s="2">
        <v>37445.0</v>
      </c>
      <c r="F3492" s="1" t="s">
        <v>53</v>
      </c>
      <c r="G3492" s="1" t="s">
        <v>25</v>
      </c>
      <c r="H3492" s="1" t="s">
        <v>18</v>
      </c>
      <c r="I3492" s="3">
        <f>+2250574328828</f>
        <v>2250574328828</v>
      </c>
      <c r="J3492" s="3">
        <f>+2250707106940</f>
        <v>2250707106940</v>
      </c>
      <c r="K3492" s="1" t="s">
        <v>19</v>
      </c>
      <c r="L3492" s="4" t="s">
        <v>11823</v>
      </c>
    </row>
    <row r="3493">
      <c r="A3493" s="1" t="s">
        <v>12</v>
      </c>
      <c r="B3493" s="1" t="s">
        <v>11824</v>
      </c>
      <c r="C3493" s="1" t="s">
        <v>11825</v>
      </c>
      <c r="D3493" s="1" t="s">
        <v>11826</v>
      </c>
      <c r="E3493" s="2">
        <v>37013.0</v>
      </c>
      <c r="F3493" s="1" t="s">
        <v>24</v>
      </c>
      <c r="G3493" s="1" t="s">
        <v>82</v>
      </c>
      <c r="H3493" s="1" t="s">
        <v>18</v>
      </c>
      <c r="I3493" s="3">
        <f>+2250757656139</f>
        <v>2250757656139</v>
      </c>
      <c r="J3493" s="3">
        <f>+2250708088235</f>
        <v>2250708088235</v>
      </c>
      <c r="K3493" s="1" t="s">
        <v>19</v>
      </c>
      <c r="L3493" s="4" t="s">
        <v>11827</v>
      </c>
    </row>
    <row r="3494">
      <c r="A3494" s="1" t="s">
        <v>12</v>
      </c>
      <c r="B3494" s="1" t="s">
        <v>11828</v>
      </c>
      <c r="C3494" s="1" t="s">
        <v>11825</v>
      </c>
      <c r="D3494" s="1" t="s">
        <v>11829</v>
      </c>
      <c r="E3494" s="2">
        <v>36926.0</v>
      </c>
      <c r="F3494" s="1" t="s">
        <v>16</v>
      </c>
      <c r="G3494" s="1" t="s">
        <v>25</v>
      </c>
      <c r="H3494" s="1" t="s">
        <v>18</v>
      </c>
      <c r="I3494" s="3">
        <f>+2250789611622</f>
        <v>2250789611622</v>
      </c>
      <c r="J3494" s="3">
        <f>+2250757116956</f>
        <v>2250757116956</v>
      </c>
      <c r="K3494" s="1" t="s">
        <v>19</v>
      </c>
      <c r="L3494" s="4" t="s">
        <v>11830</v>
      </c>
    </row>
    <row r="3495">
      <c r="A3495" s="1" t="s">
        <v>12</v>
      </c>
      <c r="B3495" s="1" t="s">
        <v>11831</v>
      </c>
      <c r="C3495" s="1" t="s">
        <v>11832</v>
      </c>
      <c r="D3495" s="1" t="s">
        <v>11833</v>
      </c>
      <c r="E3495" s="2">
        <v>37812.0</v>
      </c>
      <c r="F3495" s="1" t="s">
        <v>167</v>
      </c>
      <c r="G3495" s="1" t="s">
        <v>82</v>
      </c>
      <c r="H3495" s="1" t="s">
        <v>18</v>
      </c>
      <c r="I3495" s="3">
        <f>+2250172525386</f>
        <v>2250172525386</v>
      </c>
      <c r="J3495" s="3">
        <f>+2250709889657</f>
        <v>2250709889657</v>
      </c>
      <c r="K3495" s="1" t="s">
        <v>19</v>
      </c>
      <c r="L3495" s="4" t="s">
        <v>11834</v>
      </c>
    </row>
    <row r="3496">
      <c r="A3496" s="1" t="s">
        <v>12</v>
      </c>
      <c r="B3496" s="1" t="s">
        <v>11835</v>
      </c>
      <c r="C3496" s="1" t="s">
        <v>11836</v>
      </c>
      <c r="D3496" s="1" t="s">
        <v>11837</v>
      </c>
      <c r="E3496" s="2">
        <v>36654.0</v>
      </c>
      <c r="F3496" s="1" t="s">
        <v>53</v>
      </c>
      <c r="G3496" s="1" t="s">
        <v>25</v>
      </c>
      <c r="H3496" s="1" t="s">
        <v>18</v>
      </c>
      <c r="I3496" s="3">
        <f>+2250787490134</f>
        <v>2250787490134</v>
      </c>
      <c r="J3496" s="3">
        <f>+2250506323126</f>
        <v>2250506323126</v>
      </c>
      <c r="K3496" s="1" t="s">
        <v>19</v>
      </c>
      <c r="L3496" s="4" t="s">
        <v>11838</v>
      </c>
    </row>
    <row r="3497">
      <c r="A3497" s="1" t="s">
        <v>12</v>
      </c>
      <c r="B3497" s="1" t="s">
        <v>11839</v>
      </c>
      <c r="C3497" s="1" t="s">
        <v>11840</v>
      </c>
      <c r="D3497" s="1" t="s">
        <v>11841</v>
      </c>
      <c r="E3497" s="5">
        <v>36113.0</v>
      </c>
      <c r="F3497" s="1" t="s">
        <v>101</v>
      </c>
      <c r="G3497" s="1" t="s">
        <v>31</v>
      </c>
      <c r="H3497" s="1" t="s">
        <v>32</v>
      </c>
      <c r="I3497" s="3">
        <f>+2250544177401</f>
        <v>2250544177401</v>
      </c>
      <c r="J3497" s="3">
        <f>+2250708669546</f>
        <v>2250708669546</v>
      </c>
      <c r="K3497" s="1" t="s">
        <v>19</v>
      </c>
      <c r="L3497" s="4" t="s">
        <v>11842</v>
      </c>
    </row>
    <row r="3498">
      <c r="A3498" s="1" t="s">
        <v>12</v>
      </c>
      <c r="B3498" s="1" t="s">
        <v>11843</v>
      </c>
      <c r="C3498" s="1" t="s">
        <v>11844</v>
      </c>
      <c r="D3498" s="1" t="s">
        <v>11845</v>
      </c>
      <c r="E3498" s="5">
        <v>37194.0</v>
      </c>
      <c r="F3498" s="1" t="s">
        <v>586</v>
      </c>
      <c r="G3498" s="1" t="s">
        <v>82</v>
      </c>
      <c r="H3498" s="1" t="s">
        <v>18</v>
      </c>
      <c r="I3498" s="3">
        <f>+2250779173553</f>
        <v>2250779173553</v>
      </c>
      <c r="J3498" s="3">
        <f>+2250779061208</f>
        <v>2250779061208</v>
      </c>
      <c r="K3498" s="1" t="s">
        <v>19</v>
      </c>
      <c r="L3498" s="4" t="s">
        <v>11846</v>
      </c>
    </row>
    <row r="3499">
      <c r="A3499" s="1" t="s">
        <v>12</v>
      </c>
      <c r="B3499" s="1" t="s">
        <v>11847</v>
      </c>
      <c r="C3499" s="1" t="s">
        <v>11848</v>
      </c>
      <c r="D3499" s="1" t="s">
        <v>11849</v>
      </c>
      <c r="E3499" s="5">
        <v>36826.0</v>
      </c>
      <c r="F3499" s="1" t="s">
        <v>182</v>
      </c>
      <c r="G3499" s="1" t="s">
        <v>82</v>
      </c>
      <c r="H3499" s="1" t="s">
        <v>18</v>
      </c>
      <c r="I3499" s="3">
        <f>+2250789975554</f>
        <v>2250789975554</v>
      </c>
      <c r="J3499" s="3">
        <f>+2250707205120</f>
        <v>2250707205120</v>
      </c>
      <c r="K3499" s="1" t="s">
        <v>19</v>
      </c>
      <c r="L3499" s="4" t="s">
        <v>11850</v>
      </c>
    </row>
    <row r="3500">
      <c r="A3500" s="1" t="s">
        <v>12</v>
      </c>
      <c r="B3500" s="1" t="s">
        <v>11851</v>
      </c>
      <c r="C3500" s="1" t="s">
        <v>11852</v>
      </c>
      <c r="D3500" s="1" t="s">
        <v>11853</v>
      </c>
      <c r="E3500" s="2">
        <v>37884.0</v>
      </c>
      <c r="F3500" s="1" t="s">
        <v>155</v>
      </c>
      <c r="G3500" s="1" t="s">
        <v>82</v>
      </c>
      <c r="H3500" s="1" t="s">
        <v>18</v>
      </c>
      <c r="I3500" s="3">
        <f>+2250768964475</f>
        <v>2250768964475</v>
      </c>
      <c r="J3500" s="3">
        <f>+2250758011802</f>
        <v>2250758011802</v>
      </c>
      <c r="K3500" s="1" t="s">
        <v>19</v>
      </c>
      <c r="L3500" s="4" t="s">
        <v>11854</v>
      </c>
    </row>
    <row r="3501">
      <c r="A3501" s="1" t="s">
        <v>12</v>
      </c>
      <c r="B3501" s="1" t="s">
        <v>11855</v>
      </c>
      <c r="C3501" s="1" t="s">
        <v>11856</v>
      </c>
      <c r="D3501" s="1" t="s">
        <v>11857</v>
      </c>
      <c r="E3501" s="2">
        <v>37900.0</v>
      </c>
      <c r="F3501" s="1" t="s">
        <v>24</v>
      </c>
      <c r="G3501" s="1" t="s">
        <v>82</v>
      </c>
      <c r="H3501" s="1" t="s">
        <v>18</v>
      </c>
      <c r="I3501" s="3">
        <f>+2250507237030</f>
        <v>2250507237030</v>
      </c>
      <c r="J3501" s="3">
        <f>+2250546454371</f>
        <v>2250546454371</v>
      </c>
      <c r="K3501" s="1" t="s">
        <v>19</v>
      </c>
      <c r="L3501" s="4" t="s">
        <v>11858</v>
      </c>
    </row>
    <row r="3502">
      <c r="A3502" s="1" t="s">
        <v>12</v>
      </c>
      <c r="B3502" s="1" t="s">
        <v>11859</v>
      </c>
      <c r="C3502" s="1" t="s">
        <v>11856</v>
      </c>
      <c r="D3502" s="1" t="s">
        <v>11860</v>
      </c>
      <c r="E3502" s="2">
        <v>37734.0</v>
      </c>
      <c r="F3502" s="1" t="s">
        <v>101</v>
      </c>
      <c r="G3502" s="1" t="s">
        <v>76</v>
      </c>
      <c r="H3502" s="1" t="s">
        <v>32</v>
      </c>
      <c r="I3502" s="3">
        <f>+2250767125940</f>
        <v>2250767125940</v>
      </c>
      <c r="J3502" s="3">
        <f>+2250788610764</f>
        <v>2250788610764</v>
      </c>
      <c r="K3502" s="1" t="s">
        <v>19</v>
      </c>
      <c r="L3502" s="4" t="s">
        <v>11861</v>
      </c>
    </row>
    <row r="3503">
      <c r="A3503" s="1" t="s">
        <v>12</v>
      </c>
      <c r="B3503" s="1" t="s">
        <v>11862</v>
      </c>
      <c r="C3503" s="1" t="s">
        <v>11856</v>
      </c>
      <c r="D3503" s="1" t="s">
        <v>11863</v>
      </c>
      <c r="E3503" s="2">
        <v>37926.0</v>
      </c>
      <c r="F3503" s="1" t="s">
        <v>53</v>
      </c>
      <c r="G3503" s="1" t="s">
        <v>17</v>
      </c>
      <c r="H3503" s="1" t="s">
        <v>18</v>
      </c>
      <c r="I3503" s="3">
        <f>+2250748229749</f>
        <v>2250748229749</v>
      </c>
      <c r="J3503" s="3">
        <f>+2250709861139</f>
        <v>2250709861139</v>
      </c>
      <c r="K3503" s="1" t="s">
        <v>19</v>
      </c>
      <c r="L3503" s="4" t="s">
        <v>11864</v>
      </c>
    </row>
    <row r="3504">
      <c r="A3504" s="1" t="s">
        <v>12</v>
      </c>
      <c r="B3504" s="1" t="s">
        <v>11865</v>
      </c>
      <c r="C3504" s="1" t="s">
        <v>11866</v>
      </c>
      <c r="D3504" s="1" t="s">
        <v>11867</v>
      </c>
      <c r="E3504" s="5">
        <v>37546.0</v>
      </c>
      <c r="F3504" s="1" t="s">
        <v>48</v>
      </c>
      <c r="G3504" s="1" t="s">
        <v>76</v>
      </c>
      <c r="H3504" s="1" t="s">
        <v>32</v>
      </c>
      <c r="I3504" s="3">
        <f>+2250565409857</f>
        <v>2250565409857</v>
      </c>
      <c r="J3504" s="3">
        <f>+2250574077703</f>
        <v>2250574077703</v>
      </c>
      <c r="K3504" s="1" t="s">
        <v>19</v>
      </c>
      <c r="L3504" s="4" t="s">
        <v>11868</v>
      </c>
    </row>
    <row r="3505">
      <c r="A3505" s="1" t="s">
        <v>12</v>
      </c>
      <c r="B3505" s="1" t="s">
        <v>11869</v>
      </c>
      <c r="C3505" s="1" t="s">
        <v>11870</v>
      </c>
      <c r="D3505" s="1" t="s">
        <v>11871</v>
      </c>
      <c r="E3505" s="2">
        <v>37389.0</v>
      </c>
      <c r="F3505" s="1" t="s">
        <v>48</v>
      </c>
      <c r="G3505" s="1" t="s">
        <v>76</v>
      </c>
      <c r="H3505" s="1" t="s">
        <v>32</v>
      </c>
      <c r="I3505" s="3">
        <f>+2250102993551</f>
        <v>2250102993551</v>
      </c>
      <c r="J3505" s="3">
        <f>+2250702654816</f>
        <v>2250702654816</v>
      </c>
      <c r="K3505" s="1" t="s">
        <v>19</v>
      </c>
      <c r="L3505" s="4" t="s">
        <v>11872</v>
      </c>
    </row>
    <row r="3506">
      <c r="A3506" s="1" t="s">
        <v>12</v>
      </c>
      <c r="B3506" s="1" t="s">
        <v>11873</v>
      </c>
      <c r="C3506" s="1" t="s">
        <v>11874</v>
      </c>
      <c r="D3506" s="1" t="s">
        <v>11875</v>
      </c>
      <c r="E3506" s="2">
        <v>36662.0</v>
      </c>
      <c r="F3506" s="1" t="s">
        <v>351</v>
      </c>
      <c r="G3506" s="1" t="s">
        <v>31</v>
      </c>
      <c r="H3506" s="1" t="s">
        <v>32</v>
      </c>
      <c r="I3506" s="3">
        <f>+2250101404874</f>
        <v>2250101404874</v>
      </c>
      <c r="J3506" s="3">
        <f>+2250142373983</f>
        <v>2250142373983</v>
      </c>
      <c r="K3506" s="1" t="s">
        <v>19</v>
      </c>
      <c r="L3506" s="4" t="s">
        <v>11876</v>
      </c>
    </row>
    <row r="3507">
      <c r="A3507" s="1" t="s">
        <v>12</v>
      </c>
      <c r="B3507" s="1" t="s">
        <v>11877</v>
      </c>
      <c r="C3507" s="1" t="s">
        <v>11878</v>
      </c>
      <c r="D3507" s="1" t="s">
        <v>11879</v>
      </c>
      <c r="E3507" s="5">
        <v>38285.0</v>
      </c>
      <c r="F3507" s="1" t="s">
        <v>16</v>
      </c>
      <c r="G3507" s="1" t="s">
        <v>17</v>
      </c>
      <c r="H3507" s="1" t="s">
        <v>18</v>
      </c>
      <c r="I3507" s="3">
        <f>+2250150660617</f>
        <v>2250150660617</v>
      </c>
      <c r="J3507" s="3">
        <f>+2250101553217</f>
        <v>2250101553217</v>
      </c>
      <c r="K3507" s="1" t="s">
        <v>19</v>
      </c>
      <c r="L3507" s="4" t="s">
        <v>11880</v>
      </c>
    </row>
    <row r="3508">
      <c r="A3508" s="1" t="s">
        <v>12</v>
      </c>
      <c r="B3508" s="1" t="s">
        <v>11881</v>
      </c>
      <c r="C3508" s="1" t="s">
        <v>11878</v>
      </c>
      <c r="D3508" s="1" t="s">
        <v>11882</v>
      </c>
      <c r="E3508" s="2">
        <v>37148.0</v>
      </c>
      <c r="F3508" s="1" t="s">
        <v>16</v>
      </c>
      <c r="G3508" s="1" t="s">
        <v>82</v>
      </c>
      <c r="H3508" s="1" t="s">
        <v>18</v>
      </c>
      <c r="I3508" s="3">
        <f>+2250171218577</f>
        <v>2250171218577</v>
      </c>
      <c r="J3508" s="3">
        <f>+2250777350730</f>
        <v>2250777350730</v>
      </c>
      <c r="K3508" s="1" t="s">
        <v>19</v>
      </c>
      <c r="L3508" s="4" t="s">
        <v>11883</v>
      </c>
    </row>
    <row r="3509">
      <c r="A3509" s="1" t="s">
        <v>12</v>
      </c>
      <c r="B3509" s="1" t="s">
        <v>11884</v>
      </c>
      <c r="C3509" s="1" t="s">
        <v>11885</v>
      </c>
      <c r="D3509" s="1" t="s">
        <v>11886</v>
      </c>
      <c r="E3509" s="2">
        <v>37408.0</v>
      </c>
      <c r="F3509" s="1" t="s">
        <v>24</v>
      </c>
      <c r="G3509" s="1" t="s">
        <v>17</v>
      </c>
      <c r="H3509" s="1" t="s">
        <v>18</v>
      </c>
      <c r="I3509" s="3">
        <f>+2250710265099</f>
        <v>2250710265099</v>
      </c>
      <c r="J3509" s="3">
        <f>+2250747191135</f>
        <v>2250747191135</v>
      </c>
      <c r="K3509" s="1" t="s">
        <v>19</v>
      </c>
      <c r="L3509" s="4" t="s">
        <v>11887</v>
      </c>
    </row>
    <row r="3510">
      <c r="A3510" s="1" t="s">
        <v>12</v>
      </c>
      <c r="B3510" s="1" t="s">
        <v>11888</v>
      </c>
      <c r="C3510" s="1" t="s">
        <v>11889</v>
      </c>
      <c r="D3510" s="1" t="s">
        <v>11890</v>
      </c>
      <c r="E3510" s="2">
        <v>36649.0</v>
      </c>
      <c r="F3510" s="1" t="s">
        <v>570</v>
      </c>
      <c r="G3510" s="1" t="s">
        <v>82</v>
      </c>
      <c r="H3510" s="1" t="s">
        <v>18</v>
      </c>
      <c r="I3510" s="3">
        <f>+2250143113868</f>
        <v>2250143113868</v>
      </c>
      <c r="J3510" s="3">
        <f>+2250749407803</f>
        <v>2250749407803</v>
      </c>
      <c r="K3510" s="1" t="s">
        <v>19</v>
      </c>
      <c r="L3510" s="4" t="s">
        <v>11891</v>
      </c>
    </row>
    <row r="3511">
      <c r="A3511" s="1" t="s">
        <v>12</v>
      </c>
      <c r="B3511" s="1" t="s">
        <v>11892</v>
      </c>
      <c r="C3511" s="1" t="s">
        <v>11893</v>
      </c>
      <c r="D3511" s="1" t="s">
        <v>11894</v>
      </c>
      <c r="E3511" s="2">
        <v>37342.0</v>
      </c>
      <c r="F3511" s="1" t="s">
        <v>155</v>
      </c>
      <c r="G3511" s="1" t="s">
        <v>82</v>
      </c>
      <c r="H3511" s="1" t="s">
        <v>18</v>
      </c>
      <c r="I3511" s="3">
        <f>+2250152569057</f>
        <v>2250152569057</v>
      </c>
      <c r="J3511" s="3">
        <f>+2250707989710</f>
        <v>2250707989710</v>
      </c>
      <c r="K3511" s="1" t="s">
        <v>19</v>
      </c>
      <c r="L3511" s="4" t="s">
        <v>11895</v>
      </c>
    </row>
    <row r="3512">
      <c r="A3512" s="1" t="s">
        <v>12</v>
      </c>
      <c r="B3512" s="1" t="s">
        <v>11896</v>
      </c>
      <c r="C3512" s="1" t="s">
        <v>11897</v>
      </c>
      <c r="D3512" s="1" t="s">
        <v>11898</v>
      </c>
      <c r="E3512" s="2">
        <v>38403.0</v>
      </c>
      <c r="F3512" s="1" t="s">
        <v>53</v>
      </c>
      <c r="G3512" s="1" t="s">
        <v>25</v>
      </c>
      <c r="H3512" s="1" t="s">
        <v>18</v>
      </c>
      <c r="I3512" s="3">
        <f>+2250789409875</f>
        <v>2250789409875</v>
      </c>
      <c r="J3512" s="3">
        <f>+2250707833228</f>
        <v>2250707833228</v>
      </c>
      <c r="K3512" s="1" t="s">
        <v>19</v>
      </c>
      <c r="L3512" s="4" t="s">
        <v>11899</v>
      </c>
    </row>
    <row r="3513">
      <c r="A3513" s="1" t="s">
        <v>12</v>
      </c>
      <c r="B3513" s="1" t="s">
        <v>11900</v>
      </c>
      <c r="C3513" s="1" t="s">
        <v>11897</v>
      </c>
      <c r="D3513" s="1" t="s">
        <v>11901</v>
      </c>
      <c r="E3513" s="2">
        <v>37815.0</v>
      </c>
      <c r="F3513" s="1" t="s">
        <v>16</v>
      </c>
      <c r="G3513" s="1" t="s">
        <v>17</v>
      </c>
      <c r="H3513" s="1" t="s">
        <v>18</v>
      </c>
      <c r="I3513" s="3">
        <f>+2250799198172</f>
        <v>2250799198172</v>
      </c>
      <c r="J3513" s="3">
        <f>+2250707764840</f>
        <v>2250707764840</v>
      </c>
      <c r="K3513" s="1" t="s">
        <v>19</v>
      </c>
      <c r="L3513" s="4" t="s">
        <v>11902</v>
      </c>
    </row>
    <row r="3514">
      <c r="A3514" s="1" t="s">
        <v>12</v>
      </c>
      <c r="B3514" s="1" t="s">
        <v>11903</v>
      </c>
      <c r="C3514" s="1" t="s">
        <v>11904</v>
      </c>
      <c r="D3514" s="1" t="s">
        <v>11905</v>
      </c>
      <c r="E3514" s="2">
        <v>36728.0</v>
      </c>
      <c r="F3514" s="1" t="s">
        <v>75</v>
      </c>
      <c r="G3514" s="1" t="s">
        <v>31</v>
      </c>
      <c r="H3514" s="1" t="s">
        <v>32</v>
      </c>
      <c r="I3514" s="3">
        <f>+2250789593522</f>
        <v>2250789593522</v>
      </c>
      <c r="J3514" s="3">
        <f>+2250709516653</f>
        <v>2250709516653</v>
      </c>
      <c r="K3514" s="1" t="s">
        <v>19</v>
      </c>
      <c r="L3514" s="4" t="s">
        <v>11906</v>
      </c>
    </row>
    <row r="3515">
      <c r="A3515" s="1" t="s">
        <v>12</v>
      </c>
      <c r="B3515" s="1" t="s">
        <v>11907</v>
      </c>
      <c r="C3515" s="1" t="s">
        <v>11908</v>
      </c>
      <c r="D3515" s="1" t="s">
        <v>11909</v>
      </c>
      <c r="E3515" s="2">
        <v>37045.0</v>
      </c>
      <c r="F3515" s="1" t="s">
        <v>62</v>
      </c>
      <c r="G3515" s="1" t="s">
        <v>17</v>
      </c>
      <c r="H3515" s="1" t="s">
        <v>18</v>
      </c>
      <c r="I3515" s="3">
        <f>+2250759784791</f>
        <v>2250759784791</v>
      </c>
      <c r="J3515" s="3">
        <f>+2250709224564</f>
        <v>2250709224564</v>
      </c>
      <c r="K3515" s="1" t="s">
        <v>19</v>
      </c>
      <c r="L3515" s="4" t="s">
        <v>11910</v>
      </c>
    </row>
    <row r="3516">
      <c r="A3516" s="1" t="s">
        <v>12</v>
      </c>
      <c r="B3516" s="1" t="s">
        <v>11911</v>
      </c>
      <c r="C3516" s="1" t="s">
        <v>11912</v>
      </c>
      <c r="D3516" s="1" t="s">
        <v>11913</v>
      </c>
      <c r="E3516" s="2">
        <v>37806.0</v>
      </c>
      <c r="F3516" s="1" t="s">
        <v>48</v>
      </c>
      <c r="G3516" s="1" t="s">
        <v>82</v>
      </c>
      <c r="H3516" s="1" t="s">
        <v>18</v>
      </c>
      <c r="I3516" s="3">
        <f>+2250758795851</f>
        <v>2250758795851</v>
      </c>
      <c r="J3516" s="3">
        <f>+2250708479496</f>
        <v>2250708479496</v>
      </c>
      <c r="K3516" s="1" t="s">
        <v>19</v>
      </c>
      <c r="L3516" s="4" t="s">
        <v>11914</v>
      </c>
    </row>
    <row r="3517">
      <c r="A3517" s="1" t="s">
        <v>12</v>
      </c>
      <c r="B3517" s="1" t="s">
        <v>11915</v>
      </c>
      <c r="C3517" s="1" t="s">
        <v>11916</v>
      </c>
      <c r="D3517" s="1" t="s">
        <v>11917</v>
      </c>
      <c r="E3517" s="5">
        <v>38669.0</v>
      </c>
      <c r="F3517" s="1" t="s">
        <v>24</v>
      </c>
      <c r="G3517" s="1" t="s">
        <v>25</v>
      </c>
      <c r="H3517" s="1" t="s">
        <v>18</v>
      </c>
      <c r="I3517" s="3">
        <f>+2250555827177</f>
        <v>2250555827177</v>
      </c>
      <c r="J3517" s="3">
        <f>+2250709189955</f>
        <v>2250709189955</v>
      </c>
      <c r="K3517" s="1" t="s">
        <v>19</v>
      </c>
      <c r="L3517" s="4" t="s">
        <v>11918</v>
      </c>
    </row>
    <row r="3518">
      <c r="A3518" s="1" t="s">
        <v>12</v>
      </c>
      <c r="B3518" s="1" t="s">
        <v>11919</v>
      </c>
      <c r="C3518" s="1" t="s">
        <v>11920</v>
      </c>
      <c r="D3518" s="1" t="s">
        <v>11921</v>
      </c>
      <c r="E3518" s="2">
        <v>38453.0</v>
      </c>
      <c r="F3518" s="1" t="s">
        <v>62</v>
      </c>
      <c r="G3518" s="1" t="s">
        <v>25</v>
      </c>
      <c r="H3518" s="1" t="s">
        <v>18</v>
      </c>
      <c r="I3518" s="3">
        <f>+2250545707140</f>
        <v>2250545707140</v>
      </c>
      <c r="J3518" s="3">
        <f>+2250140171374</f>
        <v>2250140171374</v>
      </c>
      <c r="K3518" s="1" t="s">
        <v>19</v>
      </c>
      <c r="L3518" s="4" t="s">
        <v>11922</v>
      </c>
    </row>
    <row r="3519">
      <c r="A3519" s="1" t="s">
        <v>12</v>
      </c>
      <c r="B3519" s="1" t="s">
        <v>11923</v>
      </c>
      <c r="C3519" s="1" t="s">
        <v>11920</v>
      </c>
      <c r="D3519" s="1" t="s">
        <v>11924</v>
      </c>
      <c r="E3519" s="2">
        <v>37902.0</v>
      </c>
      <c r="F3519" s="1" t="s">
        <v>92</v>
      </c>
      <c r="G3519" s="1" t="s">
        <v>76</v>
      </c>
      <c r="H3519" s="1" t="s">
        <v>32</v>
      </c>
      <c r="I3519" s="3">
        <f>+2250789765041</f>
        <v>2250789765041</v>
      </c>
      <c r="J3519" s="3">
        <f>+2250707977991</f>
        <v>2250707977991</v>
      </c>
      <c r="K3519" s="1" t="s">
        <v>19</v>
      </c>
      <c r="L3519" s="4" t="s">
        <v>11925</v>
      </c>
    </row>
    <row r="3520">
      <c r="A3520" s="1" t="s">
        <v>12</v>
      </c>
      <c r="B3520" s="1" t="s">
        <v>11926</v>
      </c>
      <c r="C3520" s="1" t="s">
        <v>11927</v>
      </c>
      <c r="D3520" s="1" t="s">
        <v>11928</v>
      </c>
      <c r="E3520" s="5">
        <v>38308.0</v>
      </c>
      <c r="F3520" s="1" t="s">
        <v>101</v>
      </c>
      <c r="G3520" s="1" t="s">
        <v>76</v>
      </c>
      <c r="H3520" s="1" t="s">
        <v>32</v>
      </c>
      <c r="I3520" s="3">
        <f>+2250586779803</f>
        <v>2250586779803</v>
      </c>
      <c r="J3520" s="3">
        <f>+2250505383048</f>
        <v>2250505383048</v>
      </c>
      <c r="K3520" s="1" t="s">
        <v>19</v>
      </c>
      <c r="L3520" s="4" t="s">
        <v>11929</v>
      </c>
    </row>
    <row r="3521">
      <c r="A3521" s="1" t="s">
        <v>12</v>
      </c>
      <c r="B3521" s="1" t="s">
        <v>11930</v>
      </c>
      <c r="C3521" s="1" t="s">
        <v>11931</v>
      </c>
      <c r="D3521" s="1" t="s">
        <v>11932</v>
      </c>
      <c r="E3521" s="2">
        <v>38170.0</v>
      </c>
      <c r="F3521" s="1" t="s">
        <v>53</v>
      </c>
      <c r="G3521" s="1" t="s">
        <v>17</v>
      </c>
      <c r="H3521" s="1" t="s">
        <v>18</v>
      </c>
      <c r="I3521" s="3">
        <f>+2250171133110</f>
        <v>2250171133110</v>
      </c>
      <c r="J3521" s="3">
        <f>+2250709861139</f>
        <v>2250709861139</v>
      </c>
      <c r="K3521" s="1" t="s">
        <v>19</v>
      </c>
      <c r="L3521" s="4" t="s">
        <v>11933</v>
      </c>
    </row>
    <row r="3522">
      <c r="A3522" s="1" t="s">
        <v>12</v>
      </c>
      <c r="B3522" s="1" t="s">
        <v>11934</v>
      </c>
      <c r="C3522" s="1" t="s">
        <v>11935</v>
      </c>
      <c r="D3522" s="1" t="s">
        <v>11936</v>
      </c>
      <c r="E3522" s="2">
        <v>37393.0</v>
      </c>
      <c r="F3522" s="1" t="s">
        <v>16</v>
      </c>
      <c r="G3522" s="1" t="s">
        <v>25</v>
      </c>
      <c r="H3522" s="1" t="s">
        <v>18</v>
      </c>
      <c r="I3522" s="3">
        <f>+2250502587413</f>
        <v>2250502587413</v>
      </c>
      <c r="J3522" s="3">
        <f>+2250101070144</f>
        <v>2250101070144</v>
      </c>
      <c r="K3522" s="1" t="s">
        <v>19</v>
      </c>
      <c r="L3522" s="4" t="s">
        <v>11937</v>
      </c>
    </row>
    <row r="3523">
      <c r="A3523" s="1" t="s">
        <v>12</v>
      </c>
      <c r="B3523" s="1" t="s">
        <v>11938</v>
      </c>
      <c r="C3523" s="1" t="s">
        <v>11939</v>
      </c>
      <c r="D3523" s="1" t="s">
        <v>11940</v>
      </c>
      <c r="E3523" s="2">
        <v>37427.0</v>
      </c>
      <c r="F3523" s="1" t="s">
        <v>70</v>
      </c>
      <c r="G3523" s="1" t="s">
        <v>31</v>
      </c>
      <c r="H3523" s="1" t="s">
        <v>32</v>
      </c>
      <c r="I3523" s="3">
        <f>+2250141260379</f>
        <v>2250141260379</v>
      </c>
      <c r="J3523" s="3">
        <f>+2250709210116</f>
        <v>2250709210116</v>
      </c>
      <c r="K3523" s="1" t="s">
        <v>19</v>
      </c>
      <c r="L3523" s="4" t="s">
        <v>11941</v>
      </c>
    </row>
    <row r="3524">
      <c r="A3524" s="1" t="s">
        <v>12</v>
      </c>
      <c r="B3524" s="1" t="s">
        <v>11942</v>
      </c>
      <c r="C3524" s="1" t="s">
        <v>11943</v>
      </c>
      <c r="D3524" s="1" t="s">
        <v>178</v>
      </c>
      <c r="E3524" s="2">
        <v>38330.0</v>
      </c>
      <c r="F3524" s="1" t="s">
        <v>16</v>
      </c>
      <c r="G3524" s="1" t="s">
        <v>25</v>
      </c>
      <c r="H3524" s="1" t="s">
        <v>18</v>
      </c>
      <c r="I3524" s="3">
        <f>+2250767696544</f>
        <v>2250767696544</v>
      </c>
      <c r="J3524" s="3">
        <f>+2250707139305</f>
        <v>2250707139305</v>
      </c>
      <c r="K3524" s="1" t="s">
        <v>19</v>
      </c>
      <c r="L3524" s="4" t="s">
        <v>11944</v>
      </c>
    </row>
    <row r="3525">
      <c r="A3525" s="1" t="s">
        <v>12</v>
      </c>
      <c r="B3525" s="1" t="s">
        <v>11945</v>
      </c>
      <c r="C3525" s="1" t="s">
        <v>11946</v>
      </c>
      <c r="D3525" s="1" t="s">
        <v>11947</v>
      </c>
      <c r="E3525" s="2">
        <v>38073.0</v>
      </c>
      <c r="F3525" s="1" t="s">
        <v>92</v>
      </c>
      <c r="G3525" s="1" t="s">
        <v>31</v>
      </c>
      <c r="H3525" s="1" t="s">
        <v>32</v>
      </c>
      <c r="I3525" s="3">
        <f>+2250170278944</f>
        <v>2250170278944</v>
      </c>
      <c r="J3525" s="3">
        <f>+2250103951120</f>
        <v>2250103951120</v>
      </c>
      <c r="K3525" s="1" t="s">
        <v>19</v>
      </c>
      <c r="L3525" s="4" t="s">
        <v>11948</v>
      </c>
    </row>
    <row r="3526">
      <c r="A3526" s="1" t="s">
        <v>12</v>
      </c>
      <c r="B3526" s="1" t="s">
        <v>11949</v>
      </c>
      <c r="C3526" s="1" t="s">
        <v>11950</v>
      </c>
      <c r="D3526" s="1" t="s">
        <v>11951</v>
      </c>
      <c r="E3526" s="2">
        <v>38468.0</v>
      </c>
      <c r="F3526" s="1" t="s">
        <v>62</v>
      </c>
      <c r="G3526" s="1" t="s">
        <v>17</v>
      </c>
      <c r="H3526" s="1" t="s">
        <v>18</v>
      </c>
      <c r="I3526" s="3">
        <f t="shared" ref="I3526:J3526" si="119">+2250504447451</f>
        <v>2250504447451</v>
      </c>
      <c r="J3526" s="3">
        <f t="shared" si="119"/>
        <v>2250504447451</v>
      </c>
      <c r="K3526" s="1" t="s">
        <v>19</v>
      </c>
      <c r="L3526" s="4" t="s">
        <v>11952</v>
      </c>
    </row>
    <row r="3527">
      <c r="A3527" s="1" t="s">
        <v>12</v>
      </c>
      <c r="B3527" s="1" t="s">
        <v>11953</v>
      </c>
      <c r="C3527" s="1" t="s">
        <v>11954</v>
      </c>
      <c r="D3527" s="1" t="s">
        <v>11955</v>
      </c>
      <c r="E3527" s="2">
        <v>38143.0</v>
      </c>
      <c r="F3527" s="1" t="s">
        <v>101</v>
      </c>
      <c r="G3527" s="1" t="s">
        <v>76</v>
      </c>
      <c r="H3527" s="1" t="s">
        <v>32</v>
      </c>
      <c r="I3527" s="3">
        <f>+2250150685748</f>
        <v>2250150685748</v>
      </c>
      <c r="J3527" s="3">
        <f>+2250759578050</f>
        <v>2250759578050</v>
      </c>
      <c r="K3527" s="1" t="s">
        <v>19</v>
      </c>
      <c r="L3527" s="4" t="s">
        <v>11956</v>
      </c>
    </row>
    <row r="3528">
      <c r="A3528" s="1" t="s">
        <v>12</v>
      </c>
      <c r="B3528" s="1" t="s">
        <v>11957</v>
      </c>
      <c r="C3528" s="1" t="s">
        <v>11958</v>
      </c>
      <c r="D3528" s="1" t="s">
        <v>11959</v>
      </c>
      <c r="E3528" s="2">
        <v>37795.0</v>
      </c>
      <c r="F3528" s="1" t="s">
        <v>110</v>
      </c>
      <c r="G3528" s="1" t="s">
        <v>82</v>
      </c>
      <c r="H3528" s="1" t="s">
        <v>18</v>
      </c>
      <c r="I3528" s="3">
        <f>+2250152783610</f>
        <v>2250152783610</v>
      </c>
      <c r="J3528" s="3">
        <f>+2250103389333</f>
        <v>2250103389333</v>
      </c>
      <c r="K3528" s="1" t="s">
        <v>19</v>
      </c>
      <c r="L3528" s="4" t="s">
        <v>11960</v>
      </c>
    </row>
    <row r="3529">
      <c r="A3529" s="1" t="s">
        <v>12</v>
      </c>
      <c r="B3529" s="1" t="s">
        <v>11961</v>
      </c>
      <c r="C3529" s="1" t="s">
        <v>11962</v>
      </c>
      <c r="D3529" s="1" t="s">
        <v>2734</v>
      </c>
      <c r="E3529" s="2">
        <v>37841.0</v>
      </c>
      <c r="F3529" s="1" t="s">
        <v>138</v>
      </c>
      <c r="G3529" s="1" t="s">
        <v>31</v>
      </c>
      <c r="H3529" s="1" t="s">
        <v>32</v>
      </c>
      <c r="I3529" s="3">
        <f>+2250779603158</f>
        <v>2250779603158</v>
      </c>
      <c r="J3529" s="3">
        <f>+2250708262047</f>
        <v>2250708262047</v>
      </c>
      <c r="K3529" s="1" t="s">
        <v>19</v>
      </c>
      <c r="L3529" s="4" t="s">
        <v>11963</v>
      </c>
    </row>
    <row r="3530">
      <c r="A3530" s="1" t="s">
        <v>12</v>
      </c>
      <c r="B3530" s="1" t="s">
        <v>11964</v>
      </c>
      <c r="C3530" s="1" t="s">
        <v>11965</v>
      </c>
      <c r="D3530" s="1" t="s">
        <v>11966</v>
      </c>
      <c r="E3530" s="5">
        <v>38342.0</v>
      </c>
      <c r="F3530" s="1" t="s">
        <v>53</v>
      </c>
      <c r="G3530" s="1" t="s">
        <v>17</v>
      </c>
      <c r="H3530" s="1" t="s">
        <v>18</v>
      </c>
      <c r="I3530" s="3">
        <f>+2250101181898</f>
        <v>2250101181898</v>
      </c>
      <c r="J3530" s="3">
        <f>+2250708181071</f>
        <v>2250708181071</v>
      </c>
      <c r="K3530" s="1" t="s">
        <v>19</v>
      </c>
      <c r="L3530" s="4" t="s">
        <v>11967</v>
      </c>
    </row>
    <row r="3531">
      <c r="A3531" s="1" t="s">
        <v>12</v>
      </c>
      <c r="B3531" s="1" t="s">
        <v>11968</v>
      </c>
      <c r="C3531" s="1" t="s">
        <v>11969</v>
      </c>
      <c r="D3531" s="1" t="s">
        <v>11970</v>
      </c>
      <c r="E3531" s="2">
        <v>37142.0</v>
      </c>
      <c r="F3531" s="1" t="s">
        <v>48</v>
      </c>
      <c r="G3531" s="1" t="s">
        <v>31</v>
      </c>
      <c r="H3531" s="1" t="s">
        <v>32</v>
      </c>
      <c r="I3531" s="3">
        <f>+2250142783947</f>
        <v>2250142783947</v>
      </c>
      <c r="J3531" s="3">
        <f>+2250707431245</f>
        <v>2250707431245</v>
      </c>
      <c r="K3531" s="1" t="s">
        <v>19</v>
      </c>
      <c r="L3531" s="4" t="s">
        <v>11971</v>
      </c>
    </row>
    <row r="3532">
      <c r="A3532" s="1" t="s">
        <v>12</v>
      </c>
      <c r="B3532" s="1" t="s">
        <v>11972</v>
      </c>
      <c r="C3532" s="1" t="s">
        <v>11969</v>
      </c>
      <c r="D3532" s="1" t="s">
        <v>11973</v>
      </c>
      <c r="E3532" s="2">
        <v>38155.0</v>
      </c>
      <c r="F3532" s="1" t="s">
        <v>53</v>
      </c>
      <c r="G3532" s="1" t="s">
        <v>25</v>
      </c>
      <c r="H3532" s="1" t="s">
        <v>18</v>
      </c>
      <c r="I3532" s="3">
        <f>+2250710290942</f>
        <v>2250710290942</v>
      </c>
      <c r="J3532" s="3">
        <f>+2250171102304</f>
        <v>2250171102304</v>
      </c>
      <c r="K3532" s="1" t="s">
        <v>19</v>
      </c>
      <c r="L3532" s="4" t="s">
        <v>11974</v>
      </c>
    </row>
    <row r="3533">
      <c r="A3533" s="1" t="s">
        <v>12</v>
      </c>
      <c r="B3533" s="1" t="s">
        <v>11975</v>
      </c>
      <c r="C3533" s="1" t="s">
        <v>11969</v>
      </c>
      <c r="D3533" s="1" t="s">
        <v>11976</v>
      </c>
      <c r="E3533" s="2">
        <v>38353.0</v>
      </c>
      <c r="F3533" s="1" t="s">
        <v>48</v>
      </c>
      <c r="G3533" s="1" t="s">
        <v>76</v>
      </c>
      <c r="H3533" s="1" t="s">
        <v>32</v>
      </c>
      <c r="I3533" s="3">
        <f>+2250702903666</f>
        <v>2250702903666</v>
      </c>
      <c r="J3533" s="3">
        <f t="shared" ref="J3533:J3534" si="120">+2250705169191</f>
        <v>2250705169191</v>
      </c>
      <c r="K3533" s="1" t="s">
        <v>19</v>
      </c>
      <c r="L3533" s="4" t="s">
        <v>11977</v>
      </c>
    </row>
    <row r="3534">
      <c r="A3534" s="1" t="s">
        <v>12</v>
      </c>
      <c r="B3534" s="1" t="s">
        <v>11978</v>
      </c>
      <c r="C3534" s="1" t="s">
        <v>11969</v>
      </c>
      <c r="D3534" s="1" t="s">
        <v>11979</v>
      </c>
      <c r="E3534" s="2">
        <v>37411.0</v>
      </c>
      <c r="F3534" s="1" t="s">
        <v>570</v>
      </c>
      <c r="G3534" s="1" t="s">
        <v>82</v>
      </c>
      <c r="H3534" s="1" t="s">
        <v>18</v>
      </c>
      <c r="I3534" s="3">
        <f>+2250502057551</f>
        <v>2250502057551</v>
      </c>
      <c r="J3534" s="3">
        <f t="shared" si="120"/>
        <v>2250705169191</v>
      </c>
      <c r="K3534" s="1" t="s">
        <v>19</v>
      </c>
      <c r="L3534" s="4" t="s">
        <v>11980</v>
      </c>
    </row>
    <row r="3535">
      <c r="A3535" s="1" t="s">
        <v>12</v>
      </c>
      <c r="B3535" s="1" t="s">
        <v>11981</v>
      </c>
      <c r="C3535" s="1" t="s">
        <v>11969</v>
      </c>
      <c r="D3535" s="1" t="s">
        <v>11982</v>
      </c>
      <c r="E3535" s="2">
        <v>38454.0</v>
      </c>
      <c r="F3535" s="1" t="s">
        <v>53</v>
      </c>
      <c r="G3535" s="1" t="s">
        <v>17</v>
      </c>
      <c r="H3535" s="1" t="s">
        <v>18</v>
      </c>
      <c r="I3535" s="3">
        <f>+2250779917577</f>
        <v>2250779917577</v>
      </c>
      <c r="J3535" s="3">
        <f>+2250707881346</f>
        <v>2250707881346</v>
      </c>
      <c r="K3535" s="1" t="s">
        <v>19</v>
      </c>
      <c r="L3535" s="4" t="s">
        <v>11983</v>
      </c>
    </row>
    <row r="3536">
      <c r="A3536" s="1" t="s">
        <v>12</v>
      </c>
      <c r="B3536" s="1" t="s">
        <v>11984</v>
      </c>
      <c r="C3536" s="1" t="s">
        <v>11969</v>
      </c>
      <c r="D3536" s="1" t="s">
        <v>11985</v>
      </c>
      <c r="E3536" s="2">
        <v>36333.0</v>
      </c>
      <c r="F3536" s="1" t="s">
        <v>16</v>
      </c>
      <c r="G3536" s="1" t="s">
        <v>17</v>
      </c>
      <c r="H3536" s="1" t="s">
        <v>18</v>
      </c>
      <c r="I3536" s="3">
        <f>+2250758197975</f>
        <v>2250758197975</v>
      </c>
      <c r="J3536" s="3">
        <f>+2250709434487</f>
        <v>2250709434487</v>
      </c>
      <c r="K3536" s="1" t="s">
        <v>19</v>
      </c>
      <c r="L3536" s="4" t="s">
        <v>11986</v>
      </c>
    </row>
    <row r="3537">
      <c r="A3537" s="1" t="s">
        <v>12</v>
      </c>
      <c r="B3537" s="1" t="s">
        <v>11987</v>
      </c>
      <c r="C3537" s="1" t="s">
        <v>11969</v>
      </c>
      <c r="D3537" s="1" t="s">
        <v>11988</v>
      </c>
      <c r="E3537" s="2">
        <v>37335.0</v>
      </c>
      <c r="F3537" s="1" t="s">
        <v>16</v>
      </c>
      <c r="G3537" s="1" t="s">
        <v>82</v>
      </c>
      <c r="H3537" s="1" t="s">
        <v>18</v>
      </c>
      <c r="I3537" s="3">
        <f>+2250767799012</f>
        <v>2250767799012</v>
      </c>
      <c r="J3537" s="3">
        <f>+2250152381044</f>
        <v>2250152381044</v>
      </c>
      <c r="K3537" s="1" t="s">
        <v>19</v>
      </c>
      <c r="L3537" s="4" t="s">
        <v>11989</v>
      </c>
    </row>
    <row r="3538">
      <c r="A3538" s="1" t="s">
        <v>12</v>
      </c>
      <c r="B3538" s="1" t="s">
        <v>11990</v>
      </c>
      <c r="C3538" s="1" t="s">
        <v>11969</v>
      </c>
      <c r="D3538" s="1" t="s">
        <v>11991</v>
      </c>
      <c r="E3538" s="2">
        <v>38061.0</v>
      </c>
      <c r="F3538" s="1" t="s">
        <v>16</v>
      </c>
      <c r="G3538" s="1" t="s">
        <v>17</v>
      </c>
      <c r="H3538" s="1" t="s">
        <v>18</v>
      </c>
      <c r="I3538" s="3">
        <f>+2250710267027</f>
        <v>2250710267027</v>
      </c>
      <c r="J3538" s="3">
        <f>+2250707474994</f>
        <v>2250707474994</v>
      </c>
      <c r="K3538" s="1" t="s">
        <v>19</v>
      </c>
      <c r="L3538" s="4" t="s">
        <v>11992</v>
      </c>
    </row>
    <row r="3539">
      <c r="A3539" s="1" t="s">
        <v>12</v>
      </c>
      <c r="B3539" s="1" t="s">
        <v>11993</v>
      </c>
      <c r="C3539" s="1" t="s">
        <v>11969</v>
      </c>
      <c r="D3539" s="1" t="s">
        <v>11994</v>
      </c>
      <c r="E3539" s="5">
        <v>38309.0</v>
      </c>
      <c r="F3539" s="1" t="s">
        <v>147</v>
      </c>
      <c r="G3539" s="1" t="s">
        <v>17</v>
      </c>
      <c r="H3539" s="1" t="s">
        <v>18</v>
      </c>
      <c r="I3539" s="3">
        <f>+2250700669822</f>
        <v>2250700669822</v>
      </c>
      <c r="J3539" s="3">
        <f>+2250506226804</f>
        <v>2250506226804</v>
      </c>
      <c r="K3539" s="1" t="s">
        <v>19</v>
      </c>
      <c r="L3539" s="4" t="s">
        <v>11995</v>
      </c>
    </row>
    <row r="3540">
      <c r="A3540" s="1" t="s">
        <v>12</v>
      </c>
      <c r="B3540" s="1" t="s">
        <v>11996</v>
      </c>
      <c r="C3540" s="1" t="s">
        <v>11969</v>
      </c>
      <c r="D3540" s="1" t="s">
        <v>11997</v>
      </c>
      <c r="E3540" s="2">
        <v>37295.0</v>
      </c>
      <c r="F3540" s="1" t="s">
        <v>182</v>
      </c>
      <c r="G3540" s="1" t="s">
        <v>82</v>
      </c>
      <c r="H3540" s="1" t="s">
        <v>18</v>
      </c>
      <c r="I3540" s="3">
        <f>+2250748637166</f>
        <v>2250748637166</v>
      </c>
      <c r="J3540" s="3">
        <f>+2250749651531</f>
        <v>2250749651531</v>
      </c>
      <c r="K3540" s="1" t="s">
        <v>19</v>
      </c>
      <c r="L3540" s="4" t="s">
        <v>11998</v>
      </c>
    </row>
    <row r="3541">
      <c r="A3541" s="1" t="s">
        <v>12</v>
      </c>
      <c r="B3541" s="1" t="s">
        <v>11999</v>
      </c>
      <c r="C3541" s="1" t="s">
        <v>11969</v>
      </c>
      <c r="D3541" s="1" t="s">
        <v>12000</v>
      </c>
      <c r="E3541" s="2">
        <v>37567.0</v>
      </c>
      <c r="F3541" s="1" t="s">
        <v>75</v>
      </c>
      <c r="G3541" s="1" t="s">
        <v>31</v>
      </c>
      <c r="H3541" s="1" t="s">
        <v>32</v>
      </c>
      <c r="I3541" s="3">
        <f>+2250787118759</f>
        <v>2250787118759</v>
      </c>
      <c r="J3541" s="3">
        <f>+2250747538612</f>
        <v>2250747538612</v>
      </c>
      <c r="K3541" s="1" t="s">
        <v>19</v>
      </c>
      <c r="L3541" s="4" t="s">
        <v>12001</v>
      </c>
    </row>
    <row r="3542">
      <c r="A3542" s="1" t="s">
        <v>12</v>
      </c>
      <c r="B3542" s="1" t="s">
        <v>12002</v>
      </c>
      <c r="C3542" s="1" t="s">
        <v>11969</v>
      </c>
      <c r="D3542" s="1" t="s">
        <v>12003</v>
      </c>
      <c r="E3542" s="2">
        <v>37422.0</v>
      </c>
      <c r="F3542" s="1" t="s">
        <v>62</v>
      </c>
      <c r="G3542" s="1" t="s">
        <v>17</v>
      </c>
      <c r="H3542" s="1" t="s">
        <v>18</v>
      </c>
      <c r="I3542" s="3">
        <f>+2250797839922</f>
        <v>2250797839922</v>
      </c>
      <c r="J3542" s="3">
        <f>+2250757601229</f>
        <v>2250757601229</v>
      </c>
      <c r="K3542" s="1" t="s">
        <v>19</v>
      </c>
      <c r="L3542" s="4" t="s">
        <v>12004</v>
      </c>
    </row>
    <row r="3543">
      <c r="A3543" s="1" t="s">
        <v>12</v>
      </c>
      <c r="B3543" s="1" t="s">
        <v>12005</v>
      </c>
      <c r="C3543" s="1" t="s">
        <v>11969</v>
      </c>
      <c r="D3543" s="1" t="s">
        <v>12006</v>
      </c>
      <c r="E3543" s="2">
        <v>38298.0</v>
      </c>
      <c r="F3543" s="1" t="s">
        <v>16</v>
      </c>
      <c r="G3543" s="1" t="s">
        <v>25</v>
      </c>
      <c r="H3543" s="1" t="s">
        <v>18</v>
      </c>
      <c r="I3543" s="3">
        <f>+2250769849635</f>
        <v>2250769849635</v>
      </c>
      <c r="J3543" s="3">
        <f>+2250759967331</f>
        <v>2250759967331</v>
      </c>
      <c r="K3543" s="1" t="s">
        <v>19</v>
      </c>
      <c r="L3543" s="4" t="s">
        <v>12007</v>
      </c>
    </row>
    <row r="3544">
      <c r="A3544" s="1" t="s">
        <v>12</v>
      </c>
      <c r="B3544" s="1" t="s">
        <v>12008</v>
      </c>
      <c r="C3544" s="1" t="s">
        <v>11969</v>
      </c>
      <c r="D3544" s="1" t="s">
        <v>12009</v>
      </c>
      <c r="E3544" s="2">
        <v>38917.0</v>
      </c>
      <c r="F3544" s="1" t="s">
        <v>62</v>
      </c>
      <c r="G3544" s="1" t="s">
        <v>25</v>
      </c>
      <c r="H3544" s="1" t="s">
        <v>18</v>
      </c>
      <c r="I3544" s="3">
        <f>+2250172697317</f>
        <v>2250172697317</v>
      </c>
      <c r="J3544" s="3">
        <f>+2250709547886</f>
        <v>2250709547886</v>
      </c>
      <c r="K3544" s="1" t="s">
        <v>19</v>
      </c>
      <c r="L3544" s="4" t="s">
        <v>12010</v>
      </c>
    </row>
    <row r="3545">
      <c r="A3545" s="1" t="s">
        <v>12</v>
      </c>
      <c r="B3545" s="1" t="s">
        <v>12011</v>
      </c>
      <c r="C3545" s="1" t="s">
        <v>11969</v>
      </c>
      <c r="D3545" s="1" t="s">
        <v>7368</v>
      </c>
      <c r="E3545" s="2">
        <v>38151.0</v>
      </c>
      <c r="F3545" s="1" t="s">
        <v>16</v>
      </c>
      <c r="G3545" s="1" t="s">
        <v>17</v>
      </c>
      <c r="H3545" s="1" t="s">
        <v>18</v>
      </c>
      <c r="I3545" s="3">
        <f>+2250768849271</f>
        <v>2250768849271</v>
      </c>
      <c r="J3545" s="3">
        <f>+2250506300202</f>
        <v>2250506300202</v>
      </c>
      <c r="K3545" s="1" t="s">
        <v>19</v>
      </c>
      <c r="L3545" s="4" t="s">
        <v>12012</v>
      </c>
    </row>
    <row r="3546">
      <c r="A3546" s="1" t="s">
        <v>12</v>
      </c>
      <c r="B3546" s="1" t="s">
        <v>12013</v>
      </c>
      <c r="C3546" s="1" t="s">
        <v>11969</v>
      </c>
      <c r="D3546" s="1" t="s">
        <v>12014</v>
      </c>
      <c r="E3546" s="2">
        <v>37840.0</v>
      </c>
      <c r="F3546" s="1" t="s">
        <v>48</v>
      </c>
      <c r="G3546" s="1" t="s">
        <v>76</v>
      </c>
      <c r="H3546" s="1" t="s">
        <v>32</v>
      </c>
      <c r="I3546" s="3">
        <f>+2250502113012</f>
        <v>2250502113012</v>
      </c>
      <c r="J3546" s="3">
        <f>+2250101257894</f>
        <v>2250101257894</v>
      </c>
      <c r="K3546" s="1" t="s">
        <v>19</v>
      </c>
      <c r="L3546" s="4" t="s">
        <v>12015</v>
      </c>
    </row>
    <row r="3547">
      <c r="A3547" s="1" t="s">
        <v>12</v>
      </c>
      <c r="B3547" s="1" t="s">
        <v>12016</v>
      </c>
      <c r="C3547" s="1" t="s">
        <v>11969</v>
      </c>
      <c r="D3547" s="1" t="s">
        <v>12017</v>
      </c>
      <c r="E3547" s="2">
        <v>38825.0</v>
      </c>
      <c r="F3547" s="1" t="s">
        <v>16</v>
      </c>
      <c r="G3547" s="1" t="s">
        <v>25</v>
      </c>
      <c r="H3547" s="1" t="s">
        <v>18</v>
      </c>
      <c r="I3547" s="3">
        <f>+2250711381047</f>
        <v>2250711381047</v>
      </c>
      <c r="J3547" s="3">
        <f>+2250140633716</f>
        <v>2250140633716</v>
      </c>
      <c r="K3547" s="1" t="s">
        <v>19</v>
      </c>
      <c r="L3547" s="4" t="s">
        <v>12018</v>
      </c>
    </row>
    <row r="3548">
      <c r="A3548" s="1" t="s">
        <v>12</v>
      </c>
      <c r="B3548" s="1" t="s">
        <v>12019</v>
      </c>
      <c r="C3548" s="1" t="s">
        <v>11969</v>
      </c>
      <c r="D3548" s="1" t="s">
        <v>12020</v>
      </c>
      <c r="E3548" s="5">
        <v>37540.0</v>
      </c>
      <c r="F3548" s="1" t="s">
        <v>16</v>
      </c>
      <c r="G3548" s="1" t="s">
        <v>25</v>
      </c>
      <c r="H3548" s="1" t="s">
        <v>18</v>
      </c>
      <c r="I3548" s="3">
        <f>+2250757694041</f>
        <v>2250757694041</v>
      </c>
      <c r="J3548" s="3">
        <f>+2250140215887</f>
        <v>2250140215887</v>
      </c>
      <c r="K3548" s="1" t="s">
        <v>19</v>
      </c>
      <c r="L3548" s="4" t="s">
        <v>12021</v>
      </c>
    </row>
    <row r="3549">
      <c r="A3549" s="1" t="s">
        <v>12</v>
      </c>
      <c r="B3549" s="1" t="s">
        <v>12022</v>
      </c>
      <c r="C3549" s="1" t="s">
        <v>11969</v>
      </c>
      <c r="D3549" s="1" t="s">
        <v>12023</v>
      </c>
      <c r="E3549" s="5">
        <v>38275.0</v>
      </c>
      <c r="F3549" s="1" t="s">
        <v>62</v>
      </c>
      <c r="G3549" s="1" t="s">
        <v>25</v>
      </c>
      <c r="H3549" s="1" t="s">
        <v>18</v>
      </c>
      <c r="I3549" s="3">
        <f>+2250170976591</f>
        <v>2250170976591</v>
      </c>
      <c r="J3549" s="3">
        <f>+2250708087001</f>
        <v>2250708087001</v>
      </c>
      <c r="K3549" s="1" t="s">
        <v>19</v>
      </c>
      <c r="L3549" s="4" t="s">
        <v>12024</v>
      </c>
    </row>
    <row r="3550">
      <c r="A3550" s="1" t="s">
        <v>12</v>
      </c>
      <c r="B3550" s="1" t="s">
        <v>12025</v>
      </c>
      <c r="C3550" s="1" t="s">
        <v>11969</v>
      </c>
      <c r="D3550" s="1" t="s">
        <v>12026</v>
      </c>
      <c r="E3550" s="2">
        <v>38375.0</v>
      </c>
      <c r="F3550" s="1" t="s">
        <v>16</v>
      </c>
      <c r="G3550" s="1" t="s">
        <v>17</v>
      </c>
      <c r="H3550" s="1" t="s">
        <v>18</v>
      </c>
      <c r="I3550" s="3">
        <f>+2250504752080</f>
        <v>2250504752080</v>
      </c>
      <c r="J3550" s="3">
        <f>+2250505078746</f>
        <v>2250505078746</v>
      </c>
      <c r="K3550" s="1" t="s">
        <v>19</v>
      </c>
      <c r="L3550" s="4" t="s">
        <v>12027</v>
      </c>
    </row>
    <row r="3551">
      <c r="A3551" s="1" t="s">
        <v>12</v>
      </c>
      <c r="B3551" s="1" t="s">
        <v>12028</v>
      </c>
      <c r="C3551" s="1" t="s">
        <v>11969</v>
      </c>
      <c r="D3551" s="1" t="s">
        <v>12029</v>
      </c>
      <c r="E3551" s="2">
        <v>37595.0</v>
      </c>
      <c r="F3551" s="1" t="s">
        <v>155</v>
      </c>
      <c r="G3551" s="1" t="s">
        <v>31</v>
      </c>
      <c r="H3551" s="1" t="s">
        <v>32</v>
      </c>
      <c r="I3551" s="3">
        <f>+2250501947425</f>
        <v>2250501947425</v>
      </c>
      <c r="J3551" s="3">
        <f>+2250747777718</f>
        <v>2250747777718</v>
      </c>
      <c r="K3551" s="1" t="s">
        <v>19</v>
      </c>
      <c r="L3551" s="4" t="s">
        <v>12030</v>
      </c>
    </row>
    <row r="3552">
      <c r="A3552" s="1" t="s">
        <v>12</v>
      </c>
      <c r="B3552" s="1" t="s">
        <v>12031</v>
      </c>
      <c r="C3552" s="1" t="s">
        <v>11969</v>
      </c>
      <c r="D3552" s="1" t="s">
        <v>12032</v>
      </c>
      <c r="E3552" s="2">
        <v>37743.0</v>
      </c>
      <c r="F3552" s="1" t="s">
        <v>101</v>
      </c>
      <c r="G3552" s="1" t="s">
        <v>76</v>
      </c>
      <c r="H3552" s="1" t="s">
        <v>32</v>
      </c>
      <c r="I3552" s="3">
        <f>+2250501368620</f>
        <v>2250501368620</v>
      </c>
      <c r="J3552" s="3">
        <f>+2250788748396</f>
        <v>2250788748396</v>
      </c>
      <c r="K3552" s="1" t="s">
        <v>19</v>
      </c>
      <c r="L3552" s="4" t="s">
        <v>12033</v>
      </c>
    </row>
    <row r="3553">
      <c r="A3553" s="1" t="s">
        <v>12</v>
      </c>
      <c r="B3553" s="1" t="s">
        <v>12034</v>
      </c>
      <c r="C3553" s="1" t="s">
        <v>11969</v>
      </c>
      <c r="D3553" s="1" t="s">
        <v>12035</v>
      </c>
      <c r="E3553" s="2">
        <v>37827.0</v>
      </c>
      <c r="F3553" s="1" t="s">
        <v>16</v>
      </c>
      <c r="G3553" s="1" t="s">
        <v>82</v>
      </c>
      <c r="H3553" s="1" t="s">
        <v>18</v>
      </c>
      <c r="I3553" s="3">
        <f>+2250758060248</f>
        <v>2250758060248</v>
      </c>
      <c r="J3553" s="3">
        <f>+2250504495736</f>
        <v>2250504495736</v>
      </c>
      <c r="K3553" s="1" t="s">
        <v>19</v>
      </c>
      <c r="L3553" s="4" t="s">
        <v>12036</v>
      </c>
    </row>
    <row r="3554">
      <c r="A3554" s="1" t="s">
        <v>12</v>
      </c>
      <c r="B3554" s="1" t="s">
        <v>12037</v>
      </c>
      <c r="C3554" s="1" t="s">
        <v>11969</v>
      </c>
      <c r="D3554" s="1" t="s">
        <v>12038</v>
      </c>
      <c r="E3554" s="2">
        <v>38353.0</v>
      </c>
      <c r="F3554" s="1" t="s">
        <v>101</v>
      </c>
      <c r="G3554" s="1" t="s">
        <v>76</v>
      </c>
      <c r="H3554" s="1" t="s">
        <v>32</v>
      </c>
      <c r="I3554" s="3">
        <f>+2250758091446</f>
        <v>2250758091446</v>
      </c>
      <c r="J3554" s="3">
        <f>+2250747294630</f>
        <v>2250747294630</v>
      </c>
      <c r="K3554" s="1" t="s">
        <v>19</v>
      </c>
      <c r="L3554" s="4" t="s">
        <v>12039</v>
      </c>
    </row>
    <row r="3555">
      <c r="A3555" s="1" t="s">
        <v>12</v>
      </c>
      <c r="B3555" s="1" t="s">
        <v>12040</v>
      </c>
      <c r="C3555" s="1" t="s">
        <v>11969</v>
      </c>
      <c r="D3555" s="1" t="s">
        <v>12041</v>
      </c>
      <c r="E3555" s="2">
        <v>36892.0</v>
      </c>
      <c r="F3555" s="1" t="s">
        <v>75</v>
      </c>
      <c r="G3555" s="1" t="s">
        <v>31</v>
      </c>
      <c r="H3555" s="1" t="s">
        <v>32</v>
      </c>
      <c r="I3555" s="3">
        <f>+2250768003453</f>
        <v>2250768003453</v>
      </c>
      <c r="J3555" s="3">
        <f>+2250748718605</f>
        <v>2250748718605</v>
      </c>
      <c r="K3555" s="1" t="s">
        <v>19</v>
      </c>
      <c r="L3555" s="4" t="s">
        <v>12042</v>
      </c>
    </row>
    <row r="3556">
      <c r="A3556" s="1" t="s">
        <v>12</v>
      </c>
      <c r="B3556" s="1" t="s">
        <v>12043</v>
      </c>
      <c r="C3556" s="1" t="s">
        <v>11969</v>
      </c>
      <c r="D3556" s="1" t="s">
        <v>12044</v>
      </c>
      <c r="E3556" s="2">
        <v>37649.0</v>
      </c>
      <c r="F3556" s="1" t="s">
        <v>101</v>
      </c>
      <c r="G3556" s="1" t="s">
        <v>31</v>
      </c>
      <c r="H3556" s="1" t="s">
        <v>32</v>
      </c>
      <c r="I3556" s="3">
        <f>+2250143961810</f>
        <v>2250143961810</v>
      </c>
      <c r="J3556" s="3">
        <f>+2250140775387</f>
        <v>2250140775387</v>
      </c>
      <c r="K3556" s="1" t="s">
        <v>19</v>
      </c>
      <c r="L3556" s="4" t="s">
        <v>12045</v>
      </c>
    </row>
    <row r="3557">
      <c r="A3557" s="1" t="s">
        <v>12</v>
      </c>
      <c r="B3557" s="1" t="s">
        <v>12046</v>
      </c>
      <c r="C3557" s="1" t="s">
        <v>11969</v>
      </c>
      <c r="D3557" s="1" t="s">
        <v>12047</v>
      </c>
      <c r="E3557" s="2">
        <v>34359.0</v>
      </c>
      <c r="F3557" s="1" t="s">
        <v>182</v>
      </c>
      <c r="G3557" s="1" t="s">
        <v>82</v>
      </c>
      <c r="H3557" s="1" t="s">
        <v>18</v>
      </c>
      <c r="I3557" s="3">
        <f>+2250759670135</f>
        <v>2250759670135</v>
      </c>
      <c r="J3557" s="3">
        <f>+2250757013914</f>
        <v>2250757013914</v>
      </c>
      <c r="K3557" s="1" t="s">
        <v>19</v>
      </c>
      <c r="L3557" s="4" t="s">
        <v>12048</v>
      </c>
    </row>
    <row r="3558">
      <c r="A3558" s="1" t="s">
        <v>12</v>
      </c>
      <c r="B3558" s="1" t="s">
        <v>12049</v>
      </c>
      <c r="C3558" s="1" t="s">
        <v>11969</v>
      </c>
      <c r="D3558" s="1" t="s">
        <v>12050</v>
      </c>
      <c r="E3558" s="2">
        <v>38787.0</v>
      </c>
      <c r="F3558" s="1" t="s">
        <v>53</v>
      </c>
      <c r="G3558" s="1" t="s">
        <v>25</v>
      </c>
      <c r="H3558" s="1" t="s">
        <v>18</v>
      </c>
      <c r="I3558" s="3">
        <f>+2250777438382</f>
        <v>2250777438382</v>
      </c>
      <c r="J3558" s="3">
        <f>+2250505018276</f>
        <v>2250505018276</v>
      </c>
      <c r="K3558" s="1" t="s">
        <v>19</v>
      </c>
      <c r="L3558" s="4" t="s">
        <v>12051</v>
      </c>
    </row>
    <row r="3559">
      <c r="A3559" s="1" t="s">
        <v>12</v>
      </c>
      <c r="B3559" s="1" t="s">
        <v>12052</v>
      </c>
      <c r="C3559" s="1" t="s">
        <v>11969</v>
      </c>
      <c r="D3559" s="1" t="s">
        <v>12053</v>
      </c>
      <c r="E3559" s="5">
        <v>36443.0</v>
      </c>
      <c r="F3559" s="1" t="s">
        <v>155</v>
      </c>
      <c r="G3559" s="1" t="s">
        <v>31</v>
      </c>
      <c r="H3559" s="1" t="s">
        <v>32</v>
      </c>
      <c r="I3559" s="3">
        <f>+2250140067499</f>
        <v>2250140067499</v>
      </c>
      <c r="J3559" s="3">
        <f>+2250143939356</f>
        <v>2250143939356</v>
      </c>
      <c r="K3559" s="1" t="s">
        <v>19</v>
      </c>
      <c r="L3559" s="4" t="s">
        <v>12054</v>
      </c>
    </row>
    <row r="3560">
      <c r="A3560" s="1" t="s">
        <v>12</v>
      </c>
      <c r="B3560" s="1" t="s">
        <v>12055</v>
      </c>
      <c r="C3560" s="1" t="s">
        <v>11969</v>
      </c>
      <c r="D3560" s="1" t="s">
        <v>12056</v>
      </c>
      <c r="E3560" s="2">
        <v>37737.0</v>
      </c>
      <c r="F3560" s="1" t="s">
        <v>48</v>
      </c>
      <c r="G3560" s="1" t="s">
        <v>76</v>
      </c>
      <c r="H3560" s="1" t="s">
        <v>32</v>
      </c>
      <c r="I3560" s="3">
        <f>+2250789808596</f>
        <v>2250789808596</v>
      </c>
      <c r="J3560" s="3">
        <f>+2250707946276</f>
        <v>2250707946276</v>
      </c>
      <c r="K3560" s="1" t="s">
        <v>19</v>
      </c>
      <c r="L3560" s="4" t="s">
        <v>12057</v>
      </c>
    </row>
    <row r="3561">
      <c r="A3561" s="1" t="s">
        <v>12</v>
      </c>
      <c r="B3561" s="1" t="s">
        <v>12058</v>
      </c>
      <c r="C3561" s="1" t="s">
        <v>11969</v>
      </c>
      <c r="D3561" s="1" t="s">
        <v>12059</v>
      </c>
      <c r="E3561" s="2">
        <v>37723.0</v>
      </c>
      <c r="F3561" s="1" t="s">
        <v>16</v>
      </c>
      <c r="G3561" s="1" t="s">
        <v>17</v>
      </c>
      <c r="H3561" s="1" t="s">
        <v>18</v>
      </c>
      <c r="I3561" s="3">
        <f>+2250747439275</f>
        <v>2250747439275</v>
      </c>
      <c r="J3561" s="3">
        <f>+2250708087004</f>
        <v>2250708087004</v>
      </c>
      <c r="K3561" s="1" t="s">
        <v>19</v>
      </c>
      <c r="L3561" s="4" t="s">
        <v>12060</v>
      </c>
    </row>
    <row r="3562">
      <c r="A3562" s="1" t="s">
        <v>12</v>
      </c>
      <c r="B3562" s="1" t="s">
        <v>12061</v>
      </c>
      <c r="C3562" s="1" t="s">
        <v>11969</v>
      </c>
      <c r="D3562" s="1" t="s">
        <v>12062</v>
      </c>
      <c r="E3562" s="5">
        <v>37576.0</v>
      </c>
      <c r="F3562" s="1" t="s">
        <v>351</v>
      </c>
      <c r="G3562" s="1" t="s">
        <v>31</v>
      </c>
      <c r="H3562" s="1" t="s">
        <v>32</v>
      </c>
      <c r="I3562" s="3">
        <f>+2250758414655</f>
        <v>2250758414655</v>
      </c>
      <c r="J3562" s="3">
        <f>+2250709820316</f>
        <v>2250709820316</v>
      </c>
      <c r="K3562" s="1" t="s">
        <v>19</v>
      </c>
      <c r="L3562" s="4" t="s">
        <v>12063</v>
      </c>
    </row>
    <row r="3563">
      <c r="A3563" s="1" t="s">
        <v>12</v>
      </c>
      <c r="B3563" s="1" t="s">
        <v>12064</v>
      </c>
      <c r="C3563" s="1" t="s">
        <v>11969</v>
      </c>
      <c r="D3563" s="1" t="s">
        <v>12065</v>
      </c>
      <c r="E3563" s="2">
        <v>37959.0</v>
      </c>
      <c r="F3563" s="1" t="s">
        <v>53</v>
      </c>
      <c r="G3563" s="1" t="s">
        <v>17</v>
      </c>
      <c r="H3563" s="1" t="s">
        <v>18</v>
      </c>
      <c r="I3563" s="3">
        <f>+2250777504164</f>
        <v>2250777504164</v>
      </c>
      <c r="J3563" s="3">
        <f>+2250709959106</f>
        <v>2250709959106</v>
      </c>
      <c r="K3563" s="1" t="s">
        <v>19</v>
      </c>
      <c r="L3563" s="4" t="s">
        <v>12066</v>
      </c>
    </row>
    <row r="3564">
      <c r="A3564" s="1" t="s">
        <v>12</v>
      </c>
      <c r="B3564" s="1" t="s">
        <v>12067</v>
      </c>
      <c r="C3564" s="1" t="s">
        <v>11969</v>
      </c>
      <c r="D3564" s="1" t="s">
        <v>12068</v>
      </c>
      <c r="E3564" s="2">
        <v>38482.0</v>
      </c>
      <c r="F3564" s="1" t="s">
        <v>62</v>
      </c>
      <c r="G3564" s="1" t="s">
        <v>17</v>
      </c>
      <c r="H3564" s="1" t="s">
        <v>18</v>
      </c>
      <c r="I3564" s="3">
        <f>+2250142555294</f>
        <v>2250142555294</v>
      </c>
      <c r="J3564" s="3">
        <f>+2250707867602</f>
        <v>2250707867602</v>
      </c>
      <c r="K3564" s="1" t="s">
        <v>19</v>
      </c>
      <c r="L3564" s="4" t="s">
        <v>12069</v>
      </c>
    </row>
    <row r="3565">
      <c r="A3565" s="1" t="s">
        <v>12</v>
      </c>
      <c r="B3565" s="1" t="s">
        <v>12070</v>
      </c>
      <c r="C3565" s="1" t="s">
        <v>11969</v>
      </c>
      <c r="D3565" s="1" t="s">
        <v>12071</v>
      </c>
      <c r="E3565" s="5">
        <v>38338.0</v>
      </c>
      <c r="F3565" s="1" t="s">
        <v>167</v>
      </c>
      <c r="G3565" s="1" t="s">
        <v>25</v>
      </c>
      <c r="H3565" s="1" t="s">
        <v>18</v>
      </c>
      <c r="I3565" s="3">
        <f>+2250779366208</f>
        <v>2250779366208</v>
      </c>
      <c r="J3565" s="3">
        <f>+2250546227118</f>
        <v>2250546227118</v>
      </c>
      <c r="K3565" s="1" t="s">
        <v>19</v>
      </c>
      <c r="L3565" s="4" t="s">
        <v>12072</v>
      </c>
    </row>
    <row r="3566">
      <c r="A3566" s="1" t="s">
        <v>12</v>
      </c>
      <c r="B3566" s="1" t="s">
        <v>12073</v>
      </c>
      <c r="C3566" s="1" t="s">
        <v>11969</v>
      </c>
      <c r="D3566" s="1" t="s">
        <v>12074</v>
      </c>
      <c r="E3566" s="2">
        <v>37705.0</v>
      </c>
      <c r="F3566" s="1" t="s">
        <v>48</v>
      </c>
      <c r="G3566" s="1" t="s">
        <v>76</v>
      </c>
      <c r="H3566" s="1" t="s">
        <v>32</v>
      </c>
      <c r="I3566" s="3">
        <f>+2250758670047</f>
        <v>2250758670047</v>
      </c>
      <c r="J3566" s="3">
        <f>+2250748557772</f>
        <v>2250748557772</v>
      </c>
      <c r="K3566" s="1" t="s">
        <v>19</v>
      </c>
      <c r="L3566" s="4" t="s">
        <v>12075</v>
      </c>
    </row>
    <row r="3567">
      <c r="A3567" s="1" t="s">
        <v>12</v>
      </c>
      <c r="B3567" s="1" t="s">
        <v>12076</v>
      </c>
      <c r="C3567" s="1" t="s">
        <v>11969</v>
      </c>
      <c r="D3567" s="1" t="s">
        <v>12077</v>
      </c>
      <c r="E3567" s="5">
        <v>38270.0</v>
      </c>
      <c r="F3567" s="1" t="s">
        <v>101</v>
      </c>
      <c r="G3567" s="1" t="s">
        <v>76</v>
      </c>
      <c r="H3567" s="1" t="s">
        <v>32</v>
      </c>
      <c r="I3567" s="3">
        <f>+2250595045764</f>
        <v>2250595045764</v>
      </c>
      <c r="J3567" s="3">
        <f>+2250505984123</f>
        <v>2250505984123</v>
      </c>
      <c r="K3567" s="1" t="s">
        <v>19</v>
      </c>
      <c r="L3567" s="4" t="s">
        <v>12078</v>
      </c>
    </row>
    <row r="3568">
      <c r="A3568" s="1" t="s">
        <v>12</v>
      </c>
      <c r="B3568" s="1" t="s">
        <v>12079</v>
      </c>
      <c r="C3568" s="1" t="s">
        <v>11969</v>
      </c>
      <c r="D3568" s="1" t="s">
        <v>12080</v>
      </c>
      <c r="E3568" s="2">
        <v>37361.0</v>
      </c>
      <c r="F3568" s="1" t="s">
        <v>16</v>
      </c>
      <c r="G3568" s="1" t="s">
        <v>25</v>
      </c>
      <c r="H3568" s="1" t="s">
        <v>18</v>
      </c>
      <c r="I3568" s="3">
        <f>+2250151303870</f>
        <v>2250151303870</v>
      </c>
      <c r="J3568" s="3">
        <f>+2250757759353</f>
        <v>2250757759353</v>
      </c>
      <c r="K3568" s="1" t="s">
        <v>19</v>
      </c>
      <c r="L3568" s="4" t="s">
        <v>12081</v>
      </c>
    </row>
    <row r="3569">
      <c r="A3569" s="1" t="s">
        <v>12</v>
      </c>
      <c r="B3569" s="1" t="s">
        <v>12082</v>
      </c>
      <c r="C3569" s="1" t="s">
        <v>11969</v>
      </c>
      <c r="D3569" s="1" t="s">
        <v>12083</v>
      </c>
      <c r="E3569" s="2">
        <v>38018.0</v>
      </c>
      <c r="F3569" s="1" t="s">
        <v>138</v>
      </c>
      <c r="G3569" s="1" t="s">
        <v>31</v>
      </c>
      <c r="H3569" s="1" t="s">
        <v>32</v>
      </c>
      <c r="I3569" s="3">
        <f>+2250151699580</f>
        <v>2250151699580</v>
      </c>
      <c r="J3569" s="3">
        <f>+2250709565625</f>
        <v>2250709565625</v>
      </c>
      <c r="K3569" s="1" t="s">
        <v>19</v>
      </c>
      <c r="L3569" s="4" t="s">
        <v>12084</v>
      </c>
    </row>
    <row r="3570">
      <c r="A3570" s="1" t="s">
        <v>12</v>
      </c>
      <c r="B3570" s="1" t="s">
        <v>12085</v>
      </c>
      <c r="C3570" s="1" t="s">
        <v>11969</v>
      </c>
      <c r="D3570" s="1" t="s">
        <v>12086</v>
      </c>
      <c r="E3570" s="2">
        <v>37013.0</v>
      </c>
      <c r="F3570" s="1" t="s">
        <v>30</v>
      </c>
      <c r="G3570" s="1" t="s">
        <v>31</v>
      </c>
      <c r="H3570" s="1" t="s">
        <v>32</v>
      </c>
      <c r="I3570" s="3">
        <f>+2250575889365</f>
        <v>2250575889365</v>
      </c>
      <c r="J3570" s="3">
        <f>+2250707940600</f>
        <v>2250707940600</v>
      </c>
      <c r="K3570" s="1" t="s">
        <v>19</v>
      </c>
      <c r="L3570" s="4" t="s">
        <v>12087</v>
      </c>
    </row>
    <row r="3571">
      <c r="A3571" s="1" t="s">
        <v>12</v>
      </c>
      <c r="B3571" s="1" t="s">
        <v>12088</v>
      </c>
      <c r="C3571" s="1" t="s">
        <v>11969</v>
      </c>
      <c r="D3571" s="1" t="s">
        <v>12089</v>
      </c>
      <c r="E3571" s="2">
        <v>38622.0</v>
      </c>
      <c r="F3571" s="1" t="s">
        <v>48</v>
      </c>
      <c r="G3571" s="1" t="s">
        <v>76</v>
      </c>
      <c r="H3571" s="1" t="s">
        <v>32</v>
      </c>
      <c r="I3571" s="3">
        <f>+2250757080363</f>
        <v>2250757080363</v>
      </c>
      <c r="J3571" s="3">
        <f>+2250707377096</f>
        <v>2250707377096</v>
      </c>
      <c r="K3571" s="1" t="s">
        <v>19</v>
      </c>
      <c r="L3571" s="4" t="s">
        <v>12090</v>
      </c>
    </row>
    <row r="3572">
      <c r="A3572" s="1" t="s">
        <v>12</v>
      </c>
      <c r="B3572" s="1" t="s">
        <v>12091</v>
      </c>
      <c r="C3572" s="1" t="s">
        <v>11969</v>
      </c>
      <c r="D3572" s="1" t="s">
        <v>12092</v>
      </c>
      <c r="E3572" s="2">
        <v>37273.0</v>
      </c>
      <c r="F3572" s="1" t="s">
        <v>288</v>
      </c>
      <c r="G3572" s="1" t="s">
        <v>76</v>
      </c>
      <c r="H3572" s="1" t="s">
        <v>32</v>
      </c>
      <c r="I3572" s="3">
        <f>+2250565778273</f>
        <v>2250565778273</v>
      </c>
      <c r="J3572" s="3">
        <f>+2250555914243</f>
        <v>2250555914243</v>
      </c>
      <c r="K3572" s="1" t="s">
        <v>19</v>
      </c>
      <c r="L3572" s="4" t="s">
        <v>12093</v>
      </c>
    </row>
    <row r="3573">
      <c r="A3573" s="1" t="s">
        <v>12</v>
      </c>
      <c r="B3573" s="1" t="s">
        <v>12094</v>
      </c>
      <c r="C3573" s="1" t="s">
        <v>11969</v>
      </c>
      <c r="D3573" s="1" t="s">
        <v>12095</v>
      </c>
      <c r="E3573" s="2">
        <v>35509.0</v>
      </c>
      <c r="F3573" s="1" t="s">
        <v>92</v>
      </c>
      <c r="G3573" s="1" t="s">
        <v>31</v>
      </c>
      <c r="H3573" s="1" t="s">
        <v>32</v>
      </c>
      <c r="I3573" s="3">
        <f>+2250749987368</f>
        <v>2250749987368</v>
      </c>
      <c r="J3573" s="3">
        <f>+2250700806604</f>
        <v>2250700806604</v>
      </c>
      <c r="K3573" s="1" t="s">
        <v>19</v>
      </c>
      <c r="L3573" s="4" t="s">
        <v>12096</v>
      </c>
    </row>
    <row r="3574">
      <c r="A3574" s="1" t="s">
        <v>12</v>
      </c>
      <c r="B3574" s="1" t="s">
        <v>12097</v>
      </c>
      <c r="C3574" s="1" t="s">
        <v>11969</v>
      </c>
      <c r="D3574" s="1" t="s">
        <v>12098</v>
      </c>
      <c r="E3574" s="2">
        <v>37745.0</v>
      </c>
      <c r="F3574" s="1" t="s">
        <v>97</v>
      </c>
      <c r="G3574" s="1" t="s">
        <v>82</v>
      </c>
      <c r="H3574" s="1" t="s">
        <v>18</v>
      </c>
      <c r="I3574" s="3">
        <f>+2250777657721</f>
        <v>2250777657721</v>
      </c>
      <c r="J3574" s="3">
        <f>+2250757533669</f>
        <v>2250757533669</v>
      </c>
      <c r="K3574" s="1" t="s">
        <v>19</v>
      </c>
      <c r="L3574" s="4" t="s">
        <v>12099</v>
      </c>
    </row>
    <row r="3575">
      <c r="A3575" s="1" t="s">
        <v>12</v>
      </c>
      <c r="B3575" s="1" t="s">
        <v>12100</v>
      </c>
      <c r="C3575" s="1" t="s">
        <v>11969</v>
      </c>
      <c r="D3575" s="1" t="s">
        <v>12101</v>
      </c>
      <c r="E3575" s="2">
        <v>37487.0</v>
      </c>
      <c r="F3575" s="1" t="s">
        <v>110</v>
      </c>
      <c r="G3575" s="1" t="s">
        <v>82</v>
      </c>
      <c r="H3575" s="1" t="s">
        <v>18</v>
      </c>
      <c r="I3575" s="3">
        <f>+2250749944281</f>
        <v>2250749944281</v>
      </c>
      <c r="J3575" s="3">
        <f>+2250778623345</f>
        <v>2250778623345</v>
      </c>
      <c r="K3575" s="1" t="s">
        <v>19</v>
      </c>
      <c r="L3575" s="4" t="s">
        <v>12102</v>
      </c>
    </row>
    <row r="3576">
      <c r="A3576" s="1" t="s">
        <v>12</v>
      </c>
      <c r="B3576" s="1" t="s">
        <v>12103</v>
      </c>
      <c r="C3576" s="1" t="s">
        <v>11969</v>
      </c>
      <c r="D3576" s="1" t="s">
        <v>12104</v>
      </c>
      <c r="E3576" s="2">
        <v>38410.0</v>
      </c>
      <c r="F3576" s="1" t="s">
        <v>62</v>
      </c>
      <c r="G3576" s="1" t="s">
        <v>17</v>
      </c>
      <c r="H3576" s="1" t="s">
        <v>18</v>
      </c>
      <c r="I3576" s="3">
        <f>+2250704629704</f>
        <v>2250704629704</v>
      </c>
      <c r="J3576" s="3">
        <f>+2250708679464</f>
        <v>2250708679464</v>
      </c>
      <c r="K3576" s="1" t="s">
        <v>19</v>
      </c>
      <c r="L3576" s="4" t="s">
        <v>12105</v>
      </c>
    </row>
    <row r="3577">
      <c r="A3577" s="1" t="s">
        <v>12</v>
      </c>
      <c r="B3577" s="1" t="s">
        <v>12106</v>
      </c>
      <c r="C3577" s="1" t="s">
        <v>11969</v>
      </c>
      <c r="D3577" s="1" t="s">
        <v>12107</v>
      </c>
      <c r="E3577" s="2">
        <v>38159.0</v>
      </c>
      <c r="F3577" s="1" t="s">
        <v>30</v>
      </c>
      <c r="G3577" s="1" t="s">
        <v>31</v>
      </c>
      <c r="H3577" s="1" t="s">
        <v>32</v>
      </c>
      <c r="I3577" s="3">
        <f>+2250152765095</f>
        <v>2250152765095</v>
      </c>
      <c r="J3577" s="3">
        <f>+2250707228796</f>
        <v>2250707228796</v>
      </c>
      <c r="K3577" s="1" t="s">
        <v>19</v>
      </c>
      <c r="L3577" s="4" t="s">
        <v>12108</v>
      </c>
    </row>
    <row r="3578">
      <c r="A3578" s="1" t="s">
        <v>12</v>
      </c>
      <c r="B3578" s="1" t="s">
        <v>12109</v>
      </c>
      <c r="C3578" s="1" t="s">
        <v>11969</v>
      </c>
      <c r="D3578" s="1" t="s">
        <v>12110</v>
      </c>
      <c r="E3578" s="2">
        <v>38207.0</v>
      </c>
      <c r="F3578" s="1" t="s">
        <v>155</v>
      </c>
      <c r="G3578" s="1" t="s">
        <v>76</v>
      </c>
      <c r="H3578" s="1" t="s">
        <v>32</v>
      </c>
      <c r="I3578" s="3">
        <f>+2250507091538</f>
        <v>2250507091538</v>
      </c>
      <c r="J3578" s="3">
        <f>+2250101448344</f>
        <v>2250101448344</v>
      </c>
      <c r="K3578" s="1" t="s">
        <v>19</v>
      </c>
      <c r="L3578" s="4" t="s">
        <v>12111</v>
      </c>
    </row>
    <row r="3579">
      <c r="A3579" s="1" t="s">
        <v>12</v>
      </c>
      <c r="B3579" s="1" t="s">
        <v>12112</v>
      </c>
      <c r="C3579" s="1" t="s">
        <v>11969</v>
      </c>
      <c r="D3579" s="1" t="s">
        <v>12113</v>
      </c>
      <c r="E3579" s="2">
        <v>37838.0</v>
      </c>
      <c r="F3579" s="1" t="s">
        <v>110</v>
      </c>
      <c r="G3579" s="1" t="s">
        <v>82</v>
      </c>
      <c r="H3579" s="1" t="s">
        <v>18</v>
      </c>
      <c r="I3579" s="3">
        <f>+2250566370967</f>
        <v>2250566370967</v>
      </c>
      <c r="J3579" s="3">
        <f>+2250170580888</f>
        <v>2250170580888</v>
      </c>
      <c r="K3579" s="1" t="s">
        <v>19</v>
      </c>
      <c r="L3579" s="4" t="s">
        <v>12114</v>
      </c>
    </row>
    <row r="3580">
      <c r="A3580" s="1" t="s">
        <v>12</v>
      </c>
      <c r="B3580" s="1" t="s">
        <v>12115</v>
      </c>
      <c r="C3580" s="1" t="s">
        <v>11969</v>
      </c>
      <c r="D3580" s="1" t="s">
        <v>12116</v>
      </c>
      <c r="E3580" s="2">
        <v>38158.0</v>
      </c>
      <c r="F3580" s="1" t="s">
        <v>138</v>
      </c>
      <c r="G3580" s="1" t="s">
        <v>31</v>
      </c>
      <c r="H3580" s="1" t="s">
        <v>32</v>
      </c>
      <c r="I3580" s="3">
        <f>+2250787703776</f>
        <v>2250787703776</v>
      </c>
      <c r="J3580" s="3">
        <f>+2250101516255</f>
        <v>2250101516255</v>
      </c>
      <c r="K3580" s="1" t="s">
        <v>19</v>
      </c>
      <c r="L3580" s="4" t="s">
        <v>12117</v>
      </c>
    </row>
    <row r="3581">
      <c r="A3581" s="1" t="s">
        <v>12</v>
      </c>
      <c r="B3581" s="1" t="s">
        <v>12118</v>
      </c>
      <c r="C3581" s="1" t="s">
        <v>11969</v>
      </c>
      <c r="D3581" s="1" t="s">
        <v>12119</v>
      </c>
      <c r="E3581" s="2">
        <v>37464.0</v>
      </c>
      <c r="F3581" s="1" t="s">
        <v>586</v>
      </c>
      <c r="G3581" s="1" t="s">
        <v>82</v>
      </c>
      <c r="H3581" s="1" t="s">
        <v>18</v>
      </c>
      <c r="I3581" s="3">
        <f>+2250707081350</f>
        <v>2250707081350</v>
      </c>
      <c r="J3581" s="3">
        <f>+2250749784326</f>
        <v>2250749784326</v>
      </c>
      <c r="K3581" s="1" t="s">
        <v>19</v>
      </c>
      <c r="L3581" s="4" t="s">
        <v>12120</v>
      </c>
    </row>
    <row r="3582">
      <c r="A3582" s="1" t="s">
        <v>12</v>
      </c>
      <c r="B3582" s="1" t="s">
        <v>12121</v>
      </c>
      <c r="C3582" s="1" t="s">
        <v>11969</v>
      </c>
      <c r="D3582" s="1" t="s">
        <v>12122</v>
      </c>
      <c r="E3582" s="2">
        <v>38421.0</v>
      </c>
      <c r="F3582" s="1" t="s">
        <v>53</v>
      </c>
      <c r="G3582" s="1" t="s">
        <v>25</v>
      </c>
      <c r="H3582" s="1" t="s">
        <v>18</v>
      </c>
      <c r="I3582" s="3">
        <f>+2250709672493</f>
        <v>2250709672493</v>
      </c>
      <c r="J3582" s="3">
        <f>+2250708550508</f>
        <v>2250708550508</v>
      </c>
      <c r="K3582" s="1" t="s">
        <v>19</v>
      </c>
      <c r="L3582" s="4" t="s">
        <v>12123</v>
      </c>
    </row>
    <row r="3583">
      <c r="A3583" s="1" t="s">
        <v>12</v>
      </c>
      <c r="B3583" s="1" t="s">
        <v>12124</v>
      </c>
      <c r="C3583" s="1" t="s">
        <v>11969</v>
      </c>
      <c r="D3583" s="1" t="s">
        <v>12125</v>
      </c>
      <c r="E3583" s="2">
        <v>38189.0</v>
      </c>
      <c r="F3583" s="1" t="s">
        <v>53</v>
      </c>
      <c r="G3583" s="1" t="s">
        <v>25</v>
      </c>
      <c r="H3583" s="1" t="s">
        <v>18</v>
      </c>
      <c r="I3583" s="3">
        <f>+2250500796615</f>
        <v>2250500796615</v>
      </c>
      <c r="J3583" s="3">
        <f>+2250709541159</f>
        <v>2250709541159</v>
      </c>
      <c r="K3583" s="1" t="s">
        <v>19</v>
      </c>
      <c r="L3583" s="4" t="s">
        <v>12126</v>
      </c>
    </row>
    <row r="3584">
      <c r="A3584" s="1" t="s">
        <v>12</v>
      </c>
      <c r="B3584" s="1" t="s">
        <v>12127</v>
      </c>
      <c r="C3584" s="1" t="s">
        <v>11969</v>
      </c>
      <c r="D3584" s="1" t="s">
        <v>12128</v>
      </c>
      <c r="E3584" s="2">
        <v>37845.0</v>
      </c>
      <c r="F3584" s="1" t="s">
        <v>48</v>
      </c>
      <c r="G3584" s="1" t="s">
        <v>76</v>
      </c>
      <c r="H3584" s="1" t="s">
        <v>32</v>
      </c>
      <c r="I3584" s="3">
        <f>+2250757758089</f>
        <v>2250757758089</v>
      </c>
      <c r="J3584" s="3">
        <f>+2250103551648</f>
        <v>2250103551648</v>
      </c>
      <c r="K3584" s="1" t="s">
        <v>19</v>
      </c>
      <c r="L3584" s="4" t="s">
        <v>12129</v>
      </c>
    </row>
    <row r="3585">
      <c r="A3585" s="1" t="s">
        <v>12</v>
      </c>
      <c r="B3585" s="1" t="s">
        <v>12130</v>
      </c>
      <c r="C3585" s="1" t="s">
        <v>11969</v>
      </c>
      <c r="D3585" s="1" t="s">
        <v>12131</v>
      </c>
      <c r="E3585" s="5">
        <v>35786.0</v>
      </c>
      <c r="F3585" s="1" t="s">
        <v>138</v>
      </c>
      <c r="G3585" s="1" t="s">
        <v>31</v>
      </c>
      <c r="H3585" s="1" t="s">
        <v>32</v>
      </c>
      <c r="I3585" s="3">
        <f>+2250708603111</f>
        <v>2250708603111</v>
      </c>
      <c r="J3585" s="3">
        <f>+2250708064572</f>
        <v>2250708064572</v>
      </c>
      <c r="K3585" s="1" t="s">
        <v>19</v>
      </c>
      <c r="L3585" s="4" t="s">
        <v>12132</v>
      </c>
    </row>
    <row r="3586">
      <c r="A3586" s="1" t="s">
        <v>12</v>
      </c>
      <c r="B3586" s="1" t="s">
        <v>12133</v>
      </c>
      <c r="C3586" s="1" t="s">
        <v>11969</v>
      </c>
      <c r="D3586" s="1" t="s">
        <v>12134</v>
      </c>
      <c r="E3586" s="2">
        <v>38188.0</v>
      </c>
      <c r="F3586" s="1" t="s">
        <v>155</v>
      </c>
      <c r="G3586" s="1" t="s">
        <v>76</v>
      </c>
      <c r="H3586" s="1" t="s">
        <v>32</v>
      </c>
      <c r="I3586" s="3">
        <f>+2250768320149</f>
        <v>2250768320149</v>
      </c>
      <c r="J3586" s="3">
        <f>+2250707091128</f>
        <v>2250707091128</v>
      </c>
      <c r="K3586" s="1" t="s">
        <v>19</v>
      </c>
      <c r="L3586" s="4" t="s">
        <v>12135</v>
      </c>
    </row>
    <row r="3587">
      <c r="A3587" s="1" t="s">
        <v>12</v>
      </c>
      <c r="B3587" s="1" t="s">
        <v>12136</v>
      </c>
      <c r="C3587" s="1" t="s">
        <v>11969</v>
      </c>
      <c r="D3587" s="1" t="s">
        <v>12137</v>
      </c>
      <c r="E3587" s="5">
        <v>38343.0</v>
      </c>
      <c r="F3587" s="1" t="s">
        <v>48</v>
      </c>
      <c r="G3587" s="1" t="s">
        <v>76</v>
      </c>
      <c r="H3587" s="1" t="s">
        <v>32</v>
      </c>
      <c r="I3587" s="3">
        <f>+2250769089132</f>
        <v>2250769089132</v>
      </c>
      <c r="J3587" s="3">
        <f>+2250707163189</f>
        <v>2250707163189</v>
      </c>
      <c r="K3587" s="1" t="s">
        <v>19</v>
      </c>
      <c r="L3587" s="4" t="s">
        <v>12138</v>
      </c>
    </row>
    <row r="3588">
      <c r="A3588" s="1" t="s">
        <v>12</v>
      </c>
      <c r="B3588" s="1" t="s">
        <v>12139</v>
      </c>
      <c r="C3588" s="1" t="s">
        <v>11969</v>
      </c>
      <c r="D3588" s="1" t="s">
        <v>12140</v>
      </c>
      <c r="E3588" s="5">
        <v>38654.0</v>
      </c>
      <c r="F3588" s="1" t="s">
        <v>53</v>
      </c>
      <c r="G3588" s="1" t="s">
        <v>25</v>
      </c>
      <c r="H3588" s="1" t="s">
        <v>18</v>
      </c>
      <c r="I3588" s="3">
        <f>+2250787031789</f>
        <v>2250787031789</v>
      </c>
      <c r="J3588" s="3">
        <f>+2250708082133</f>
        <v>2250708082133</v>
      </c>
      <c r="K3588" s="1" t="s">
        <v>19</v>
      </c>
      <c r="L3588" s="4" t="s">
        <v>12141</v>
      </c>
    </row>
    <row r="3589">
      <c r="A3589" s="1" t="s">
        <v>12</v>
      </c>
      <c r="B3589" s="1" t="s">
        <v>12142</v>
      </c>
      <c r="C3589" s="1" t="s">
        <v>11969</v>
      </c>
      <c r="D3589" s="1" t="s">
        <v>12143</v>
      </c>
      <c r="E3589" s="5">
        <v>36486.0</v>
      </c>
      <c r="F3589" s="1" t="s">
        <v>30</v>
      </c>
      <c r="G3589" s="1" t="s">
        <v>76</v>
      </c>
      <c r="H3589" s="1" t="s">
        <v>32</v>
      </c>
      <c r="I3589" s="3">
        <f>+2250788241876</f>
        <v>2250788241876</v>
      </c>
      <c r="J3589" s="3">
        <f>+2250707569471</f>
        <v>2250707569471</v>
      </c>
      <c r="K3589" s="1" t="s">
        <v>19</v>
      </c>
      <c r="L3589" s="4" t="s">
        <v>12144</v>
      </c>
    </row>
    <row r="3590">
      <c r="A3590" s="1" t="s">
        <v>12</v>
      </c>
      <c r="B3590" s="1" t="s">
        <v>12145</v>
      </c>
      <c r="C3590" s="1" t="s">
        <v>11969</v>
      </c>
      <c r="D3590" s="1" t="s">
        <v>12146</v>
      </c>
      <c r="E3590" s="5">
        <v>38283.0</v>
      </c>
      <c r="F3590" s="1" t="s">
        <v>53</v>
      </c>
      <c r="G3590" s="1" t="s">
        <v>25</v>
      </c>
      <c r="H3590" s="1" t="s">
        <v>18</v>
      </c>
      <c r="I3590" s="3">
        <f>+2250160931289</f>
        <v>2250160931289</v>
      </c>
      <c r="J3590" s="3">
        <f>+2250707897710</f>
        <v>2250707897710</v>
      </c>
      <c r="K3590" s="1" t="s">
        <v>19</v>
      </c>
      <c r="L3590" s="4" t="s">
        <v>12147</v>
      </c>
    </row>
    <row r="3591">
      <c r="A3591" s="1" t="s">
        <v>12</v>
      </c>
      <c r="B3591" s="1" t="s">
        <v>12148</v>
      </c>
      <c r="C3591" s="1" t="s">
        <v>11969</v>
      </c>
      <c r="D3591" s="1" t="s">
        <v>12149</v>
      </c>
      <c r="E3591" s="2">
        <v>38195.0</v>
      </c>
      <c r="F3591" s="1" t="s">
        <v>16</v>
      </c>
      <c r="G3591" s="1" t="s">
        <v>17</v>
      </c>
      <c r="H3591" s="1" t="s">
        <v>18</v>
      </c>
      <c r="I3591" s="3">
        <f>+2250703256458</f>
        <v>2250703256458</v>
      </c>
      <c r="J3591" s="3">
        <f>+2250747248780</f>
        <v>2250747248780</v>
      </c>
      <c r="K3591" s="1" t="s">
        <v>19</v>
      </c>
      <c r="L3591" s="4" t="s">
        <v>12150</v>
      </c>
    </row>
    <row r="3592">
      <c r="A3592" s="1" t="s">
        <v>12</v>
      </c>
      <c r="B3592" s="1" t="s">
        <v>12151</v>
      </c>
      <c r="C3592" s="1" t="s">
        <v>11969</v>
      </c>
      <c r="D3592" s="1" t="s">
        <v>12152</v>
      </c>
      <c r="E3592" s="2">
        <v>38491.0</v>
      </c>
      <c r="F3592" s="1" t="s">
        <v>167</v>
      </c>
      <c r="G3592" s="1" t="s">
        <v>17</v>
      </c>
      <c r="H3592" s="1" t="s">
        <v>18</v>
      </c>
      <c r="I3592" s="3">
        <f>+2250170404391</f>
        <v>2250170404391</v>
      </c>
      <c r="J3592" s="3">
        <f>+2250101213852</f>
        <v>2250101213852</v>
      </c>
      <c r="K3592" s="1" t="s">
        <v>19</v>
      </c>
      <c r="L3592" s="4" t="s">
        <v>12153</v>
      </c>
    </row>
    <row r="3593">
      <c r="A3593" s="1" t="s">
        <v>12</v>
      </c>
      <c r="B3593" s="1" t="s">
        <v>12154</v>
      </c>
      <c r="C3593" s="1" t="s">
        <v>11969</v>
      </c>
      <c r="D3593" s="1" t="s">
        <v>12155</v>
      </c>
      <c r="E3593" s="2">
        <v>37636.0</v>
      </c>
      <c r="F3593" s="1" t="s">
        <v>138</v>
      </c>
      <c r="G3593" s="1" t="s">
        <v>31</v>
      </c>
      <c r="H3593" s="1" t="s">
        <v>32</v>
      </c>
      <c r="I3593" s="3">
        <f>+2250704750999</f>
        <v>2250704750999</v>
      </c>
      <c r="J3593" s="3">
        <f>+2250778646766</f>
        <v>2250778646766</v>
      </c>
      <c r="K3593" s="1" t="s">
        <v>19</v>
      </c>
      <c r="L3593" s="4" t="s">
        <v>12156</v>
      </c>
    </row>
    <row r="3594">
      <c r="A3594" s="1" t="s">
        <v>12</v>
      </c>
      <c r="B3594" s="1" t="s">
        <v>12157</v>
      </c>
      <c r="C3594" s="1" t="s">
        <v>11969</v>
      </c>
      <c r="D3594" s="1" t="s">
        <v>12158</v>
      </c>
      <c r="E3594" s="2">
        <v>37876.0</v>
      </c>
      <c r="F3594" s="1" t="s">
        <v>101</v>
      </c>
      <c r="G3594" s="1" t="s">
        <v>76</v>
      </c>
      <c r="H3594" s="1" t="s">
        <v>32</v>
      </c>
      <c r="I3594" s="3">
        <f>+2250702671435</f>
        <v>2250702671435</v>
      </c>
      <c r="J3594" s="3">
        <f>+2250708646161</f>
        <v>2250708646161</v>
      </c>
      <c r="K3594" s="1" t="s">
        <v>19</v>
      </c>
      <c r="L3594" s="4" t="s">
        <v>12159</v>
      </c>
    </row>
    <row r="3595">
      <c r="A3595" s="1" t="s">
        <v>12</v>
      </c>
      <c r="B3595" s="1" t="s">
        <v>12160</v>
      </c>
      <c r="C3595" s="1" t="s">
        <v>11969</v>
      </c>
      <c r="D3595" s="1" t="s">
        <v>12161</v>
      </c>
      <c r="E3595" s="2">
        <v>35904.0</v>
      </c>
      <c r="F3595" s="1" t="s">
        <v>351</v>
      </c>
      <c r="G3595" s="1" t="s">
        <v>76</v>
      </c>
      <c r="H3595" s="1" t="s">
        <v>32</v>
      </c>
      <c r="I3595" s="3">
        <f>+2250143323601</f>
        <v>2250143323601</v>
      </c>
      <c r="J3595" s="3">
        <f>+2250707181274</f>
        <v>2250707181274</v>
      </c>
      <c r="K3595" s="1" t="s">
        <v>19</v>
      </c>
      <c r="L3595" s="4" t="s">
        <v>12162</v>
      </c>
    </row>
    <row r="3596">
      <c r="A3596" s="1" t="s">
        <v>12</v>
      </c>
      <c r="B3596" s="1" t="s">
        <v>12163</v>
      </c>
      <c r="C3596" s="1" t="s">
        <v>11969</v>
      </c>
      <c r="D3596" s="1" t="s">
        <v>12164</v>
      </c>
      <c r="E3596" s="2">
        <v>38602.0</v>
      </c>
      <c r="F3596" s="1" t="s">
        <v>62</v>
      </c>
      <c r="G3596" s="1" t="s">
        <v>17</v>
      </c>
      <c r="H3596" s="1" t="s">
        <v>18</v>
      </c>
      <c r="I3596" s="3">
        <f>+2250767934144</f>
        <v>2250767934144</v>
      </c>
      <c r="J3596" s="3">
        <f>+2250748978008</f>
        <v>2250748978008</v>
      </c>
      <c r="K3596" s="1" t="s">
        <v>19</v>
      </c>
      <c r="L3596" s="4" t="s">
        <v>12165</v>
      </c>
    </row>
    <row r="3597">
      <c r="A3597" s="1" t="s">
        <v>12</v>
      </c>
      <c r="B3597" s="1" t="s">
        <v>12166</v>
      </c>
      <c r="C3597" s="1" t="s">
        <v>11969</v>
      </c>
      <c r="D3597" s="1" t="s">
        <v>12167</v>
      </c>
      <c r="E3597" s="5">
        <v>37571.0</v>
      </c>
      <c r="F3597" s="1" t="s">
        <v>167</v>
      </c>
      <c r="G3597" s="1" t="s">
        <v>17</v>
      </c>
      <c r="H3597" s="1" t="s">
        <v>18</v>
      </c>
      <c r="I3597" s="3">
        <f>+2250585472819</f>
        <v>2250585472819</v>
      </c>
      <c r="J3597" s="3">
        <f>+2250707809098</f>
        <v>2250707809098</v>
      </c>
      <c r="K3597" s="1" t="s">
        <v>19</v>
      </c>
      <c r="L3597" s="4" t="s">
        <v>12168</v>
      </c>
    </row>
    <row r="3598">
      <c r="A3598" s="1" t="s">
        <v>12</v>
      </c>
      <c r="B3598" s="1" t="s">
        <v>12169</v>
      </c>
      <c r="C3598" s="1" t="s">
        <v>11969</v>
      </c>
      <c r="D3598" s="1" t="s">
        <v>12170</v>
      </c>
      <c r="E3598" s="2">
        <v>37890.0</v>
      </c>
      <c r="F3598" s="1" t="s">
        <v>155</v>
      </c>
      <c r="G3598" s="1" t="s">
        <v>31</v>
      </c>
      <c r="H3598" s="1" t="s">
        <v>32</v>
      </c>
      <c r="I3598" s="3">
        <f>+2250706013871</f>
        <v>2250706013871</v>
      </c>
      <c r="J3598" s="3">
        <f>+2250565557238</f>
        <v>2250565557238</v>
      </c>
      <c r="K3598" s="1" t="s">
        <v>19</v>
      </c>
      <c r="L3598" s="4" t="s">
        <v>12171</v>
      </c>
    </row>
    <row r="3599">
      <c r="A3599" s="1" t="s">
        <v>12</v>
      </c>
      <c r="B3599" s="1" t="s">
        <v>12172</v>
      </c>
      <c r="C3599" s="1" t="s">
        <v>11969</v>
      </c>
      <c r="D3599" s="1" t="s">
        <v>12173</v>
      </c>
      <c r="E3599" s="2">
        <v>38041.0</v>
      </c>
      <c r="F3599" s="1" t="s">
        <v>62</v>
      </c>
      <c r="G3599" s="1" t="s">
        <v>17</v>
      </c>
      <c r="H3599" s="1" t="s">
        <v>18</v>
      </c>
      <c r="I3599" s="3">
        <f>+2250747745676</f>
        <v>2250747745676</v>
      </c>
      <c r="J3599" s="3">
        <f>+2250501790502</f>
        <v>2250501790502</v>
      </c>
      <c r="K3599" s="1" t="s">
        <v>19</v>
      </c>
      <c r="L3599" s="4" t="s">
        <v>12174</v>
      </c>
    </row>
    <row r="3600">
      <c r="A3600" s="1" t="s">
        <v>12</v>
      </c>
      <c r="B3600" s="1" t="s">
        <v>12175</v>
      </c>
      <c r="C3600" s="1" t="s">
        <v>11969</v>
      </c>
      <c r="D3600" s="1" t="s">
        <v>12176</v>
      </c>
      <c r="E3600" s="2">
        <v>37722.0</v>
      </c>
      <c r="F3600" s="1" t="s">
        <v>586</v>
      </c>
      <c r="G3600" s="1" t="s">
        <v>82</v>
      </c>
      <c r="H3600" s="1" t="s">
        <v>18</v>
      </c>
      <c r="I3600" s="3">
        <f>+2250101458242</f>
        <v>2250101458242</v>
      </c>
      <c r="J3600" s="3">
        <f>+2250103848684</f>
        <v>2250103848684</v>
      </c>
      <c r="K3600" s="1" t="s">
        <v>19</v>
      </c>
      <c r="L3600" s="4" t="s">
        <v>12177</v>
      </c>
    </row>
    <row r="3601">
      <c r="A3601" s="1" t="s">
        <v>12</v>
      </c>
      <c r="B3601" s="1" t="s">
        <v>12178</v>
      </c>
      <c r="C3601" s="1" t="s">
        <v>12179</v>
      </c>
      <c r="D3601" s="1" t="s">
        <v>10496</v>
      </c>
      <c r="E3601" s="2">
        <v>37958.0</v>
      </c>
      <c r="F3601" s="1" t="s">
        <v>155</v>
      </c>
      <c r="G3601" s="1" t="s">
        <v>76</v>
      </c>
      <c r="H3601" s="1" t="s">
        <v>32</v>
      </c>
      <c r="I3601" s="3">
        <f>+2250101718043</f>
        <v>2250101718043</v>
      </c>
      <c r="J3601" s="3">
        <f>+2250749363193</f>
        <v>2250749363193</v>
      </c>
      <c r="K3601" s="1" t="s">
        <v>19</v>
      </c>
      <c r="L3601" s="4" t="s">
        <v>12180</v>
      </c>
    </row>
    <row r="3602">
      <c r="A3602" s="1" t="s">
        <v>12</v>
      </c>
      <c r="B3602" s="1" t="s">
        <v>12181</v>
      </c>
      <c r="C3602" s="1" t="s">
        <v>12182</v>
      </c>
      <c r="D3602" s="1" t="s">
        <v>12183</v>
      </c>
      <c r="E3602" s="2">
        <v>38718.0</v>
      </c>
      <c r="F3602" s="1" t="s">
        <v>62</v>
      </c>
      <c r="G3602" s="1" t="s">
        <v>25</v>
      </c>
      <c r="H3602" s="1" t="s">
        <v>18</v>
      </c>
      <c r="I3602" s="3">
        <f>+2250150472670</f>
        <v>2250150472670</v>
      </c>
      <c r="J3602" s="3">
        <f>+2250777278445</f>
        <v>2250777278445</v>
      </c>
      <c r="K3602" s="1" t="s">
        <v>19</v>
      </c>
      <c r="L3602" s="4" t="s">
        <v>12184</v>
      </c>
    </row>
    <row r="3603">
      <c r="A3603" s="1" t="s">
        <v>12</v>
      </c>
      <c r="B3603" s="1" t="s">
        <v>12185</v>
      </c>
      <c r="C3603" s="1" t="s">
        <v>12182</v>
      </c>
      <c r="D3603" s="1" t="s">
        <v>12186</v>
      </c>
      <c r="E3603" s="2">
        <v>37993.0</v>
      </c>
      <c r="F3603" s="1" t="s">
        <v>288</v>
      </c>
      <c r="G3603" s="1" t="s">
        <v>31</v>
      </c>
      <c r="H3603" s="1" t="s">
        <v>32</v>
      </c>
      <c r="I3603" s="3">
        <f>+2250170604225</f>
        <v>2250170604225</v>
      </c>
      <c r="J3603" s="3">
        <f>+2250709550569</f>
        <v>2250709550569</v>
      </c>
      <c r="K3603" s="1" t="s">
        <v>19</v>
      </c>
      <c r="L3603" s="4" t="s">
        <v>12187</v>
      </c>
    </row>
    <row r="3604">
      <c r="A3604" s="1" t="s">
        <v>12</v>
      </c>
      <c r="B3604" s="1" t="s">
        <v>12188</v>
      </c>
      <c r="C3604" s="1" t="s">
        <v>12182</v>
      </c>
      <c r="D3604" s="1" t="s">
        <v>12189</v>
      </c>
      <c r="E3604" s="5">
        <v>37965.0</v>
      </c>
      <c r="F3604" s="1" t="s">
        <v>62</v>
      </c>
      <c r="G3604" s="1" t="s">
        <v>17</v>
      </c>
      <c r="H3604" s="1" t="s">
        <v>18</v>
      </c>
      <c r="I3604" s="3">
        <f>+2250767492151</f>
        <v>2250767492151</v>
      </c>
      <c r="J3604" s="3">
        <f>+2250707679840</f>
        <v>2250707679840</v>
      </c>
      <c r="K3604" s="1" t="s">
        <v>19</v>
      </c>
      <c r="L3604" s="4" t="s">
        <v>12190</v>
      </c>
    </row>
    <row r="3605">
      <c r="A3605" s="1" t="s">
        <v>12</v>
      </c>
      <c r="B3605" s="1" t="s">
        <v>12191</v>
      </c>
      <c r="C3605" s="1" t="s">
        <v>12182</v>
      </c>
      <c r="D3605" s="1" t="s">
        <v>12192</v>
      </c>
      <c r="E3605" s="2">
        <v>37793.0</v>
      </c>
      <c r="F3605" s="1" t="s">
        <v>62</v>
      </c>
      <c r="G3605" s="1" t="s">
        <v>17</v>
      </c>
      <c r="H3605" s="1" t="s">
        <v>18</v>
      </c>
      <c r="I3605" s="3">
        <f>+2250711673473</f>
        <v>2250711673473</v>
      </c>
      <c r="J3605" s="3">
        <f>+2250141560887</f>
        <v>2250141560887</v>
      </c>
      <c r="K3605" s="1" t="s">
        <v>19</v>
      </c>
      <c r="L3605" s="4" t="s">
        <v>12193</v>
      </c>
    </row>
    <row r="3606">
      <c r="A3606" s="1" t="s">
        <v>12</v>
      </c>
      <c r="B3606" s="1" t="s">
        <v>12194</v>
      </c>
      <c r="C3606" s="1" t="s">
        <v>12182</v>
      </c>
      <c r="D3606" s="1" t="s">
        <v>12195</v>
      </c>
      <c r="E3606" s="2">
        <v>35933.0</v>
      </c>
      <c r="F3606" s="1" t="s">
        <v>16</v>
      </c>
      <c r="G3606" s="1" t="s">
        <v>17</v>
      </c>
      <c r="H3606" s="1" t="s">
        <v>18</v>
      </c>
      <c r="I3606" s="3">
        <f>+2250778861893</f>
        <v>2250778861893</v>
      </c>
      <c r="J3606" s="3">
        <f>+2250748649903</f>
        <v>2250748649903</v>
      </c>
      <c r="K3606" s="1" t="s">
        <v>19</v>
      </c>
      <c r="L3606" s="4" t="s">
        <v>12196</v>
      </c>
    </row>
    <row r="3607">
      <c r="A3607" s="1" t="s">
        <v>12</v>
      </c>
      <c r="B3607" s="1" t="s">
        <v>12197</v>
      </c>
      <c r="C3607" s="1" t="s">
        <v>12182</v>
      </c>
      <c r="D3607" s="1" t="s">
        <v>12198</v>
      </c>
      <c r="E3607" s="2">
        <v>38398.0</v>
      </c>
      <c r="F3607" s="1" t="s">
        <v>16</v>
      </c>
      <c r="G3607" s="1" t="s">
        <v>17</v>
      </c>
      <c r="H3607" s="1" t="s">
        <v>18</v>
      </c>
      <c r="I3607" s="3">
        <f>+2250173124191</f>
        <v>2250173124191</v>
      </c>
      <c r="J3607" s="3">
        <f>+2250141949246</f>
        <v>2250141949246</v>
      </c>
      <c r="K3607" s="1" t="s">
        <v>19</v>
      </c>
      <c r="L3607" s="4" t="s">
        <v>12199</v>
      </c>
    </row>
    <row r="3608">
      <c r="A3608" s="1" t="s">
        <v>12</v>
      </c>
      <c r="B3608" s="1" t="s">
        <v>12200</v>
      </c>
      <c r="C3608" s="1" t="s">
        <v>12182</v>
      </c>
      <c r="D3608" s="1" t="s">
        <v>12201</v>
      </c>
      <c r="E3608" s="2">
        <v>36567.0</v>
      </c>
      <c r="F3608" s="1" t="s">
        <v>167</v>
      </c>
      <c r="G3608" s="1" t="s">
        <v>17</v>
      </c>
      <c r="H3608" s="1" t="s">
        <v>18</v>
      </c>
      <c r="I3608" s="3">
        <f>+2250143523418</f>
        <v>2250143523418</v>
      </c>
      <c r="J3608" s="3">
        <f>+2250101168310</f>
        <v>2250101168310</v>
      </c>
      <c r="K3608" s="1" t="s">
        <v>19</v>
      </c>
      <c r="L3608" s="4" t="s">
        <v>12202</v>
      </c>
    </row>
    <row r="3609">
      <c r="A3609" s="1" t="s">
        <v>12</v>
      </c>
      <c r="B3609" s="1" t="s">
        <v>12203</v>
      </c>
      <c r="C3609" s="1" t="s">
        <v>12182</v>
      </c>
      <c r="D3609" s="1" t="s">
        <v>12204</v>
      </c>
      <c r="E3609" s="2">
        <v>38813.0</v>
      </c>
      <c r="F3609" s="1" t="s">
        <v>155</v>
      </c>
      <c r="G3609" s="1" t="s">
        <v>76</v>
      </c>
      <c r="H3609" s="1" t="s">
        <v>32</v>
      </c>
      <c r="I3609" s="3">
        <f>+2250103033625</f>
        <v>2250103033625</v>
      </c>
      <c r="J3609" s="3">
        <f>+2250101454140</f>
        <v>2250101454140</v>
      </c>
      <c r="K3609" s="1" t="s">
        <v>19</v>
      </c>
      <c r="L3609" s="4" t="s">
        <v>12205</v>
      </c>
    </row>
    <row r="3610">
      <c r="A3610" s="1" t="s">
        <v>12</v>
      </c>
      <c r="B3610" s="1" t="s">
        <v>12206</v>
      </c>
      <c r="C3610" s="1" t="s">
        <v>12182</v>
      </c>
      <c r="D3610" s="1" t="s">
        <v>12207</v>
      </c>
      <c r="E3610" s="2">
        <v>37678.0</v>
      </c>
      <c r="F3610" s="1" t="s">
        <v>16</v>
      </c>
      <c r="G3610" s="1" t="s">
        <v>17</v>
      </c>
      <c r="H3610" s="1" t="s">
        <v>18</v>
      </c>
      <c r="I3610" s="3">
        <f>+2250708240419</f>
        <v>2250708240419</v>
      </c>
      <c r="J3610" s="3">
        <f>+2250505884879</f>
        <v>2250505884879</v>
      </c>
      <c r="K3610" s="1" t="s">
        <v>19</v>
      </c>
      <c r="L3610" s="4" t="s">
        <v>12208</v>
      </c>
    </row>
    <row r="3611">
      <c r="A3611" s="1" t="s">
        <v>12</v>
      </c>
      <c r="B3611" s="1" t="s">
        <v>12209</v>
      </c>
      <c r="C3611" s="1" t="s">
        <v>12210</v>
      </c>
      <c r="D3611" s="1" t="s">
        <v>12211</v>
      </c>
      <c r="E3611" s="2">
        <v>38142.0</v>
      </c>
      <c r="F3611" s="1" t="s">
        <v>75</v>
      </c>
      <c r="G3611" s="1" t="s">
        <v>31</v>
      </c>
      <c r="H3611" s="1" t="s">
        <v>32</v>
      </c>
      <c r="I3611" s="3">
        <f>+2250787385291</f>
        <v>2250787385291</v>
      </c>
      <c r="J3611" s="3">
        <f>+2250101419119</f>
        <v>2250101419119</v>
      </c>
      <c r="K3611" s="1" t="s">
        <v>19</v>
      </c>
      <c r="L3611" s="4" t="s">
        <v>12212</v>
      </c>
    </row>
    <row r="3612">
      <c r="A3612" s="1" t="s">
        <v>12</v>
      </c>
      <c r="B3612" s="1" t="s">
        <v>12213</v>
      </c>
      <c r="C3612" s="1" t="s">
        <v>12210</v>
      </c>
      <c r="D3612" s="1" t="s">
        <v>12214</v>
      </c>
      <c r="E3612" s="2">
        <v>37757.0</v>
      </c>
      <c r="F3612" s="1" t="s">
        <v>92</v>
      </c>
      <c r="G3612" s="1" t="s">
        <v>31</v>
      </c>
      <c r="H3612" s="1" t="s">
        <v>32</v>
      </c>
      <c r="I3612" s="3">
        <f>+2250711658773</f>
        <v>2250711658773</v>
      </c>
      <c r="J3612" s="3">
        <f>+2250747245494</f>
        <v>2250747245494</v>
      </c>
      <c r="K3612" s="1" t="s">
        <v>19</v>
      </c>
      <c r="L3612" s="4" t="s">
        <v>12215</v>
      </c>
    </row>
    <row r="3613">
      <c r="A3613" s="1" t="s">
        <v>12</v>
      </c>
      <c r="B3613" s="1" t="s">
        <v>12216</v>
      </c>
      <c r="C3613" s="1" t="s">
        <v>12210</v>
      </c>
      <c r="D3613" s="1" t="s">
        <v>12217</v>
      </c>
      <c r="E3613" s="2">
        <v>35940.0</v>
      </c>
      <c r="F3613" s="1" t="s">
        <v>101</v>
      </c>
      <c r="G3613" s="1" t="s">
        <v>31</v>
      </c>
      <c r="H3613" s="1" t="s">
        <v>32</v>
      </c>
      <c r="I3613" s="3">
        <f>+2250757607905</f>
        <v>2250757607905</v>
      </c>
      <c r="J3613" s="3">
        <f>+2250102505623</f>
        <v>2250102505623</v>
      </c>
      <c r="K3613" s="1" t="s">
        <v>19</v>
      </c>
      <c r="L3613" s="4" t="s">
        <v>12218</v>
      </c>
    </row>
    <row r="3614">
      <c r="A3614" s="1" t="s">
        <v>12</v>
      </c>
      <c r="B3614" s="1" t="s">
        <v>12219</v>
      </c>
      <c r="C3614" s="1" t="s">
        <v>12210</v>
      </c>
      <c r="D3614" s="1" t="s">
        <v>12220</v>
      </c>
      <c r="E3614" s="5">
        <v>37978.0</v>
      </c>
      <c r="F3614" s="1" t="s">
        <v>155</v>
      </c>
      <c r="G3614" s="1" t="s">
        <v>76</v>
      </c>
      <c r="H3614" s="1" t="s">
        <v>32</v>
      </c>
      <c r="I3614" s="3">
        <f>+2250767077831</f>
        <v>2250767077831</v>
      </c>
      <c r="J3614" s="3">
        <f>+2250779925171</f>
        <v>2250779925171</v>
      </c>
      <c r="K3614" s="1" t="s">
        <v>19</v>
      </c>
      <c r="L3614" s="4" t="s">
        <v>12221</v>
      </c>
    </row>
    <row r="3615">
      <c r="A3615" s="1" t="s">
        <v>12</v>
      </c>
      <c r="B3615" s="1" t="s">
        <v>12222</v>
      </c>
      <c r="C3615" s="1" t="s">
        <v>12210</v>
      </c>
      <c r="D3615" s="1" t="s">
        <v>12223</v>
      </c>
      <c r="E3615" s="2">
        <v>37046.0</v>
      </c>
      <c r="F3615" s="1" t="s">
        <v>110</v>
      </c>
      <c r="G3615" s="1" t="s">
        <v>82</v>
      </c>
      <c r="H3615" s="1" t="s">
        <v>18</v>
      </c>
      <c r="I3615" s="3">
        <f>+2250789380550</f>
        <v>2250789380550</v>
      </c>
      <c r="J3615" s="3">
        <f>+2250101150685</f>
        <v>2250101150685</v>
      </c>
      <c r="K3615" s="1" t="s">
        <v>19</v>
      </c>
      <c r="L3615" s="4" t="s">
        <v>12224</v>
      </c>
    </row>
    <row r="3616">
      <c r="A3616" s="1" t="s">
        <v>12</v>
      </c>
      <c r="B3616" s="1" t="s">
        <v>12225</v>
      </c>
      <c r="C3616" s="1" t="s">
        <v>12210</v>
      </c>
      <c r="D3616" s="1" t="s">
        <v>12226</v>
      </c>
      <c r="E3616" s="5">
        <v>37247.0</v>
      </c>
      <c r="F3616" s="1" t="s">
        <v>155</v>
      </c>
      <c r="G3616" s="1" t="s">
        <v>31</v>
      </c>
      <c r="H3616" s="1" t="s">
        <v>32</v>
      </c>
      <c r="I3616" s="3">
        <f>+2250143663035</f>
        <v>2250143663035</v>
      </c>
      <c r="J3616" s="3">
        <f>+2250505075591</f>
        <v>2250505075591</v>
      </c>
      <c r="K3616" s="1" t="s">
        <v>19</v>
      </c>
      <c r="L3616" s="4" t="s">
        <v>12227</v>
      </c>
    </row>
    <row r="3617">
      <c r="A3617" s="1" t="s">
        <v>12</v>
      </c>
      <c r="B3617" s="1" t="s">
        <v>12228</v>
      </c>
      <c r="C3617" s="1" t="s">
        <v>12210</v>
      </c>
      <c r="D3617" s="1" t="s">
        <v>12229</v>
      </c>
      <c r="E3617" s="5">
        <v>37972.0</v>
      </c>
      <c r="F3617" s="1" t="s">
        <v>62</v>
      </c>
      <c r="G3617" s="1" t="s">
        <v>17</v>
      </c>
      <c r="H3617" s="1" t="s">
        <v>18</v>
      </c>
      <c r="I3617" s="3">
        <f>+2250101991740</f>
        <v>2250101991740</v>
      </c>
      <c r="J3617" s="3">
        <f>+2250101849472</f>
        <v>2250101849472</v>
      </c>
      <c r="K3617" s="1" t="s">
        <v>19</v>
      </c>
      <c r="L3617" s="4" t="s">
        <v>12230</v>
      </c>
    </row>
    <row r="3618">
      <c r="A3618" s="1" t="s">
        <v>12</v>
      </c>
      <c r="B3618" s="1" t="s">
        <v>12231</v>
      </c>
      <c r="C3618" s="1" t="s">
        <v>12210</v>
      </c>
      <c r="D3618" s="1" t="s">
        <v>12232</v>
      </c>
      <c r="E3618" s="2">
        <v>38125.0</v>
      </c>
      <c r="F3618" s="1" t="s">
        <v>62</v>
      </c>
      <c r="G3618" s="1" t="s">
        <v>17</v>
      </c>
      <c r="H3618" s="1" t="s">
        <v>18</v>
      </c>
      <c r="I3618" s="3">
        <f>+2250788926108</f>
        <v>2250788926108</v>
      </c>
      <c r="J3618" s="3">
        <f>+2250103866450</f>
        <v>2250103866450</v>
      </c>
      <c r="K3618" s="1" t="s">
        <v>19</v>
      </c>
      <c r="L3618" s="4" t="s">
        <v>12233</v>
      </c>
    </row>
    <row r="3619">
      <c r="A3619" s="1" t="s">
        <v>12</v>
      </c>
      <c r="B3619" s="1" t="s">
        <v>12234</v>
      </c>
      <c r="C3619" s="1" t="s">
        <v>12210</v>
      </c>
      <c r="D3619" s="1" t="s">
        <v>12235</v>
      </c>
      <c r="E3619" s="2">
        <v>37512.0</v>
      </c>
      <c r="F3619" s="1" t="s">
        <v>53</v>
      </c>
      <c r="G3619" s="1" t="s">
        <v>17</v>
      </c>
      <c r="H3619" s="1" t="s">
        <v>18</v>
      </c>
      <c r="I3619" s="3">
        <f>+2250575915074</f>
        <v>2250575915074</v>
      </c>
      <c r="J3619" s="3">
        <f>+2250101052924</f>
        <v>2250101052924</v>
      </c>
      <c r="K3619" s="1" t="s">
        <v>19</v>
      </c>
      <c r="L3619" s="4" t="s">
        <v>12236</v>
      </c>
    </row>
    <row r="3620">
      <c r="A3620" s="1" t="s">
        <v>12</v>
      </c>
      <c r="B3620" s="1" t="s">
        <v>12237</v>
      </c>
      <c r="C3620" s="1" t="s">
        <v>12210</v>
      </c>
      <c r="D3620" s="1" t="s">
        <v>12238</v>
      </c>
      <c r="E3620" s="2">
        <v>37086.0</v>
      </c>
      <c r="F3620" s="1" t="s">
        <v>48</v>
      </c>
      <c r="G3620" s="1" t="s">
        <v>76</v>
      </c>
      <c r="H3620" s="1" t="s">
        <v>32</v>
      </c>
      <c r="I3620" s="3">
        <f>+2250596677577</f>
        <v>2250596677577</v>
      </c>
      <c r="J3620" s="3">
        <f>+2250709704315</f>
        <v>2250709704315</v>
      </c>
      <c r="K3620" s="1" t="s">
        <v>19</v>
      </c>
      <c r="L3620" s="4" t="s">
        <v>12239</v>
      </c>
    </row>
    <row r="3621">
      <c r="A3621" s="1" t="s">
        <v>12</v>
      </c>
      <c r="B3621" s="1" t="s">
        <v>12240</v>
      </c>
      <c r="C3621" s="1" t="s">
        <v>12241</v>
      </c>
      <c r="D3621" s="1" t="s">
        <v>12242</v>
      </c>
      <c r="E3621" s="2">
        <v>37351.0</v>
      </c>
      <c r="F3621" s="1" t="s">
        <v>138</v>
      </c>
      <c r="G3621" s="1" t="s">
        <v>76</v>
      </c>
      <c r="H3621" s="1" t="s">
        <v>32</v>
      </c>
      <c r="I3621" s="3">
        <f>+2250789586685</f>
        <v>2250789586685</v>
      </c>
      <c r="J3621" s="3">
        <f>+2250747921204</f>
        <v>2250747921204</v>
      </c>
      <c r="K3621" s="1" t="s">
        <v>19</v>
      </c>
      <c r="L3621" s="4" t="s">
        <v>12243</v>
      </c>
    </row>
    <row r="3622">
      <c r="A3622" s="1" t="s">
        <v>12</v>
      </c>
      <c r="B3622" s="1" t="s">
        <v>12244</v>
      </c>
      <c r="C3622" s="1" t="s">
        <v>12245</v>
      </c>
      <c r="D3622" s="1" t="s">
        <v>12246</v>
      </c>
      <c r="E3622" s="5">
        <v>38276.0</v>
      </c>
      <c r="F3622" s="1" t="s">
        <v>30</v>
      </c>
      <c r="G3622" s="1" t="s">
        <v>76</v>
      </c>
      <c r="H3622" s="1" t="s">
        <v>32</v>
      </c>
      <c r="I3622" s="3">
        <f>+2250503860534</f>
        <v>2250503860534</v>
      </c>
      <c r="J3622" s="3">
        <f>+2250709829717</f>
        <v>2250709829717</v>
      </c>
      <c r="K3622" s="1" t="s">
        <v>19</v>
      </c>
      <c r="L3622" s="4" t="s">
        <v>12247</v>
      </c>
    </row>
    <row r="3623">
      <c r="A3623" s="1" t="s">
        <v>12</v>
      </c>
      <c r="B3623" s="1" t="s">
        <v>12248</v>
      </c>
      <c r="C3623" s="1" t="s">
        <v>12249</v>
      </c>
      <c r="D3623" s="1" t="s">
        <v>12250</v>
      </c>
      <c r="E3623" s="2">
        <v>38406.0</v>
      </c>
      <c r="F3623" s="1" t="s">
        <v>351</v>
      </c>
      <c r="G3623" s="1" t="s">
        <v>31</v>
      </c>
      <c r="H3623" s="1" t="s">
        <v>32</v>
      </c>
      <c r="I3623" s="3">
        <f>+2250101012270</f>
        <v>2250101012270</v>
      </c>
      <c r="J3623" s="3">
        <f>+2250101846249</f>
        <v>2250101846249</v>
      </c>
      <c r="K3623" s="1" t="s">
        <v>19</v>
      </c>
      <c r="L3623" s="4" t="s">
        <v>12251</v>
      </c>
    </row>
    <row r="3624">
      <c r="A3624" s="1" t="s">
        <v>12</v>
      </c>
      <c r="B3624" s="1" t="s">
        <v>12252</v>
      </c>
      <c r="C3624" s="1" t="s">
        <v>12253</v>
      </c>
      <c r="D3624" s="1" t="s">
        <v>12254</v>
      </c>
      <c r="E3624" s="5">
        <v>37965.0</v>
      </c>
      <c r="F3624" s="1" t="s">
        <v>16</v>
      </c>
      <c r="G3624" s="1" t="s">
        <v>25</v>
      </c>
      <c r="H3624" s="1" t="s">
        <v>18</v>
      </c>
      <c r="I3624" s="3">
        <f>+2250565384145</f>
        <v>2250565384145</v>
      </c>
      <c r="J3624" s="3">
        <f>+2250700139408</f>
        <v>2250700139408</v>
      </c>
      <c r="K3624" s="1" t="s">
        <v>19</v>
      </c>
      <c r="L3624" s="4" t="s">
        <v>12255</v>
      </c>
    </row>
    <row r="3625">
      <c r="A3625" s="1" t="s">
        <v>12</v>
      </c>
      <c r="B3625" s="1" t="s">
        <v>12256</v>
      </c>
      <c r="C3625" s="1" t="s">
        <v>12257</v>
      </c>
      <c r="D3625" s="1" t="s">
        <v>12258</v>
      </c>
      <c r="E3625" s="2">
        <v>36336.0</v>
      </c>
      <c r="F3625" s="1" t="s">
        <v>110</v>
      </c>
      <c r="G3625" s="1" t="s">
        <v>82</v>
      </c>
      <c r="H3625" s="1" t="s">
        <v>18</v>
      </c>
      <c r="I3625" s="3">
        <f>+2250711354643</f>
        <v>2250711354643</v>
      </c>
      <c r="J3625" s="3">
        <f>+2250707401799</f>
        <v>2250707401799</v>
      </c>
      <c r="K3625" s="1" t="s">
        <v>19</v>
      </c>
      <c r="L3625" s="4" t="s">
        <v>12259</v>
      </c>
    </row>
    <row r="3626">
      <c r="A3626" s="1" t="s">
        <v>12</v>
      </c>
      <c r="B3626" s="1" t="s">
        <v>12260</v>
      </c>
      <c r="C3626" s="1" t="s">
        <v>12261</v>
      </c>
      <c r="D3626" s="1" t="s">
        <v>12262</v>
      </c>
      <c r="E3626" s="2">
        <v>38478.0</v>
      </c>
      <c r="F3626" s="1" t="s">
        <v>16</v>
      </c>
      <c r="G3626" s="1" t="s">
        <v>25</v>
      </c>
      <c r="H3626" s="1" t="s">
        <v>18</v>
      </c>
      <c r="I3626" s="3">
        <f>+2250143603285</f>
        <v>2250143603285</v>
      </c>
      <c r="J3626" s="3">
        <f>+2250779507412</f>
        <v>2250779507412</v>
      </c>
      <c r="K3626" s="1" t="s">
        <v>19</v>
      </c>
      <c r="L3626" s="4" t="s">
        <v>12263</v>
      </c>
    </row>
    <row r="3627">
      <c r="A3627" s="1" t="s">
        <v>12</v>
      </c>
      <c r="B3627" s="1" t="s">
        <v>12264</v>
      </c>
      <c r="C3627" s="1" t="s">
        <v>12265</v>
      </c>
      <c r="D3627" s="1" t="s">
        <v>12266</v>
      </c>
      <c r="E3627" s="2">
        <v>38214.0</v>
      </c>
      <c r="F3627" s="1" t="s">
        <v>24</v>
      </c>
      <c r="G3627" s="1" t="s">
        <v>17</v>
      </c>
      <c r="H3627" s="1" t="s">
        <v>18</v>
      </c>
      <c r="I3627" s="3">
        <f>+2250150815828</f>
        <v>2250150815828</v>
      </c>
      <c r="J3627" s="3">
        <f>+2250758301830</f>
        <v>2250758301830</v>
      </c>
      <c r="K3627" s="1" t="s">
        <v>19</v>
      </c>
      <c r="L3627" s="4" t="s">
        <v>12267</v>
      </c>
    </row>
    <row r="3628">
      <c r="A3628" s="1" t="s">
        <v>12</v>
      </c>
      <c r="B3628" s="1" t="s">
        <v>12268</v>
      </c>
      <c r="C3628" s="1" t="s">
        <v>4474</v>
      </c>
      <c r="D3628" s="1" t="s">
        <v>12269</v>
      </c>
      <c r="E3628" s="5">
        <v>37938.0</v>
      </c>
      <c r="F3628" s="1" t="s">
        <v>62</v>
      </c>
      <c r="G3628" s="1" t="s">
        <v>17</v>
      </c>
      <c r="H3628" s="1" t="s">
        <v>18</v>
      </c>
      <c r="I3628" s="3">
        <f>+2250525255916</f>
        <v>2250525255916</v>
      </c>
      <c r="J3628" s="3">
        <f>+2250707096323</f>
        <v>2250707096323</v>
      </c>
      <c r="K3628" s="1" t="s">
        <v>19</v>
      </c>
      <c r="L3628" s="4" t="s">
        <v>12270</v>
      </c>
    </row>
    <row r="3629">
      <c r="A3629" s="1" t="s">
        <v>12</v>
      </c>
      <c r="B3629" s="1" t="s">
        <v>12271</v>
      </c>
      <c r="C3629" s="1" t="s">
        <v>12272</v>
      </c>
      <c r="D3629" s="1" t="s">
        <v>12273</v>
      </c>
      <c r="E3629" s="2">
        <v>37339.0</v>
      </c>
      <c r="F3629" s="1" t="s">
        <v>30</v>
      </c>
      <c r="G3629" s="1" t="s">
        <v>31</v>
      </c>
      <c r="H3629" s="1" t="s">
        <v>32</v>
      </c>
      <c r="I3629" s="3">
        <f>+2250798346770</f>
        <v>2250798346770</v>
      </c>
      <c r="J3629" s="3">
        <f>+2250708436244</f>
        <v>2250708436244</v>
      </c>
      <c r="K3629" s="1" t="s">
        <v>19</v>
      </c>
      <c r="L3629" s="4" t="s">
        <v>12274</v>
      </c>
    </row>
    <row r="3630">
      <c r="A3630" s="1" t="s">
        <v>12</v>
      </c>
      <c r="B3630" s="1" t="s">
        <v>12275</v>
      </c>
      <c r="C3630" s="1" t="s">
        <v>12272</v>
      </c>
      <c r="D3630" s="1" t="s">
        <v>12276</v>
      </c>
      <c r="E3630" s="2">
        <v>37410.0</v>
      </c>
      <c r="F3630" s="1" t="s">
        <v>62</v>
      </c>
      <c r="G3630" s="1" t="s">
        <v>17</v>
      </c>
      <c r="H3630" s="1" t="s">
        <v>18</v>
      </c>
      <c r="I3630" s="3">
        <f>+2250502135721</f>
        <v>2250502135721</v>
      </c>
      <c r="J3630" s="3">
        <f>+2250707355045</f>
        <v>2250707355045</v>
      </c>
      <c r="K3630" s="1" t="s">
        <v>19</v>
      </c>
      <c r="L3630" s="4" t="s">
        <v>12277</v>
      </c>
    </row>
    <row r="3631">
      <c r="A3631" s="1" t="s">
        <v>12</v>
      </c>
      <c r="B3631" s="1" t="s">
        <v>12278</v>
      </c>
      <c r="C3631" s="1" t="s">
        <v>12279</v>
      </c>
      <c r="D3631" s="1" t="s">
        <v>12280</v>
      </c>
      <c r="E3631" s="2">
        <v>37692.0</v>
      </c>
      <c r="F3631" s="1" t="s">
        <v>62</v>
      </c>
      <c r="G3631" s="1" t="s">
        <v>17</v>
      </c>
      <c r="H3631" s="1" t="s">
        <v>18</v>
      </c>
      <c r="I3631" s="3">
        <f>+2250575882488</f>
        <v>2250575882488</v>
      </c>
      <c r="J3631" s="3">
        <f>+2250544214650</f>
        <v>2250544214650</v>
      </c>
      <c r="K3631" s="1" t="s">
        <v>19</v>
      </c>
      <c r="L3631" s="4" t="s">
        <v>12281</v>
      </c>
    </row>
    <row r="3632">
      <c r="A3632" s="1" t="s">
        <v>12</v>
      </c>
      <c r="B3632" s="1" t="s">
        <v>12282</v>
      </c>
      <c r="C3632" s="1" t="s">
        <v>12283</v>
      </c>
      <c r="D3632" s="1" t="s">
        <v>12284</v>
      </c>
      <c r="E3632" s="2">
        <v>38169.0</v>
      </c>
      <c r="F3632" s="1" t="s">
        <v>30</v>
      </c>
      <c r="G3632" s="1" t="s">
        <v>31</v>
      </c>
      <c r="H3632" s="1" t="s">
        <v>32</v>
      </c>
      <c r="I3632" s="3">
        <f>+2250705816977</f>
        <v>2250705816977</v>
      </c>
      <c r="J3632" s="3">
        <f>+2250708940700</f>
        <v>2250708940700</v>
      </c>
      <c r="K3632" s="1" t="s">
        <v>19</v>
      </c>
      <c r="L3632" s="4" t="s">
        <v>12285</v>
      </c>
    </row>
    <row r="3633">
      <c r="A3633" s="1" t="s">
        <v>12</v>
      </c>
      <c r="B3633" s="1" t="s">
        <v>12286</v>
      </c>
      <c r="C3633" s="1" t="s">
        <v>12287</v>
      </c>
      <c r="D3633" s="1" t="s">
        <v>12288</v>
      </c>
      <c r="E3633" s="5">
        <v>37238.0</v>
      </c>
      <c r="F3633" s="1" t="s">
        <v>101</v>
      </c>
      <c r="G3633" s="1" t="s">
        <v>76</v>
      </c>
      <c r="H3633" s="1" t="s">
        <v>32</v>
      </c>
      <c r="I3633" s="3">
        <f>+2250787234934</f>
        <v>2250787234934</v>
      </c>
      <c r="J3633" s="3">
        <f>+2250707106245</f>
        <v>2250707106245</v>
      </c>
      <c r="K3633" s="1" t="s">
        <v>19</v>
      </c>
      <c r="L3633" s="4" t="s">
        <v>12289</v>
      </c>
    </row>
    <row r="3634">
      <c r="A3634" s="1" t="s">
        <v>12</v>
      </c>
      <c r="B3634" s="1" t="s">
        <v>12290</v>
      </c>
      <c r="C3634" s="1" t="s">
        <v>12291</v>
      </c>
      <c r="D3634" s="1" t="s">
        <v>12292</v>
      </c>
      <c r="E3634" s="2">
        <v>38845.0</v>
      </c>
      <c r="F3634" s="1" t="s">
        <v>62</v>
      </c>
      <c r="G3634" s="1" t="s">
        <v>25</v>
      </c>
      <c r="H3634" s="1" t="s">
        <v>18</v>
      </c>
      <c r="I3634" s="3">
        <f t="shared" ref="I3634:J3634" si="121">+2250757637135</f>
        <v>2250757637135</v>
      </c>
      <c r="J3634" s="3">
        <f t="shared" si="121"/>
        <v>2250757637135</v>
      </c>
      <c r="K3634" s="1" t="s">
        <v>19</v>
      </c>
      <c r="L3634" s="4" t="s">
        <v>12293</v>
      </c>
    </row>
    <row r="3635">
      <c r="A3635" s="1" t="s">
        <v>12</v>
      </c>
      <c r="B3635" s="1" t="s">
        <v>12294</v>
      </c>
      <c r="C3635" s="1" t="s">
        <v>12291</v>
      </c>
      <c r="D3635" s="1" t="s">
        <v>12295</v>
      </c>
      <c r="E3635" s="2">
        <v>38201.0</v>
      </c>
      <c r="F3635" s="1" t="s">
        <v>62</v>
      </c>
      <c r="G3635" s="1" t="s">
        <v>25</v>
      </c>
      <c r="H3635" s="1" t="s">
        <v>18</v>
      </c>
      <c r="I3635" s="3">
        <f>+2250142290211</f>
        <v>2250142290211</v>
      </c>
      <c r="J3635" s="3">
        <f>+2250708636380</f>
        <v>2250708636380</v>
      </c>
      <c r="K3635" s="1" t="s">
        <v>19</v>
      </c>
      <c r="L3635" s="4" t="s">
        <v>12296</v>
      </c>
    </row>
    <row r="3636">
      <c r="A3636" s="1" t="s">
        <v>12</v>
      </c>
      <c r="B3636" s="1" t="s">
        <v>12297</v>
      </c>
      <c r="C3636" s="1" t="s">
        <v>12291</v>
      </c>
      <c r="D3636" s="1" t="s">
        <v>12298</v>
      </c>
      <c r="E3636" s="5">
        <v>37937.0</v>
      </c>
      <c r="F3636" s="1" t="s">
        <v>30</v>
      </c>
      <c r="G3636" s="1" t="s">
        <v>76</v>
      </c>
      <c r="H3636" s="1" t="s">
        <v>32</v>
      </c>
      <c r="I3636" s="3">
        <f>+2250704505282</f>
        <v>2250704505282</v>
      </c>
      <c r="J3636" s="3">
        <f>+2250101823857</f>
        <v>2250101823857</v>
      </c>
      <c r="K3636" s="1" t="s">
        <v>19</v>
      </c>
      <c r="L3636" s="4" t="s">
        <v>12299</v>
      </c>
    </row>
    <row r="3637">
      <c r="A3637" s="1" t="s">
        <v>12</v>
      </c>
      <c r="B3637" s="1" t="s">
        <v>12300</v>
      </c>
      <c r="C3637" s="1" t="s">
        <v>12291</v>
      </c>
      <c r="D3637" s="1" t="s">
        <v>12301</v>
      </c>
      <c r="E3637" s="2">
        <v>37505.0</v>
      </c>
      <c r="F3637" s="1" t="s">
        <v>75</v>
      </c>
      <c r="G3637" s="1" t="s">
        <v>76</v>
      </c>
      <c r="H3637" s="1" t="s">
        <v>32</v>
      </c>
      <c r="I3637" s="3">
        <f>+2250702067739</f>
        <v>2250702067739</v>
      </c>
      <c r="J3637" s="3">
        <f>+2250707314869</f>
        <v>2250707314869</v>
      </c>
      <c r="K3637" s="1" t="s">
        <v>19</v>
      </c>
      <c r="L3637" s="4" t="s">
        <v>12302</v>
      </c>
    </row>
    <row r="3638">
      <c r="A3638" s="1" t="s">
        <v>12</v>
      </c>
      <c r="B3638" s="1" t="s">
        <v>12303</v>
      </c>
      <c r="C3638" s="1" t="s">
        <v>12291</v>
      </c>
      <c r="D3638" s="1" t="s">
        <v>12304</v>
      </c>
      <c r="E3638" s="2">
        <v>37868.0</v>
      </c>
      <c r="F3638" s="1" t="s">
        <v>155</v>
      </c>
      <c r="G3638" s="1" t="s">
        <v>31</v>
      </c>
      <c r="H3638" s="1" t="s">
        <v>32</v>
      </c>
      <c r="I3638" s="3">
        <f>+2250758727623</f>
        <v>2250758727623</v>
      </c>
      <c r="J3638" s="3">
        <f>+2250747338564</f>
        <v>2250747338564</v>
      </c>
      <c r="K3638" s="1" t="s">
        <v>19</v>
      </c>
      <c r="L3638" s="4" t="s">
        <v>12305</v>
      </c>
    </row>
    <row r="3639">
      <c r="A3639" s="1" t="s">
        <v>12</v>
      </c>
      <c r="B3639" s="1" t="s">
        <v>12306</v>
      </c>
      <c r="C3639" s="1" t="s">
        <v>12291</v>
      </c>
      <c r="D3639" s="1" t="s">
        <v>12307</v>
      </c>
      <c r="E3639" s="2">
        <v>37282.0</v>
      </c>
      <c r="F3639" s="1" t="s">
        <v>92</v>
      </c>
      <c r="G3639" s="1" t="s">
        <v>82</v>
      </c>
      <c r="H3639" s="1" t="s">
        <v>18</v>
      </c>
      <c r="I3639" s="3">
        <f>+2250797809788</f>
        <v>2250797809788</v>
      </c>
      <c r="J3639" s="3">
        <f>+2250707316580</f>
        <v>2250707316580</v>
      </c>
      <c r="K3639" s="1" t="s">
        <v>19</v>
      </c>
      <c r="L3639" s="4" t="s">
        <v>12308</v>
      </c>
    </row>
    <row r="3640">
      <c r="A3640" s="1" t="s">
        <v>12</v>
      </c>
      <c r="B3640" s="1" t="s">
        <v>12309</v>
      </c>
      <c r="C3640" s="1" t="s">
        <v>12310</v>
      </c>
      <c r="D3640" s="1" t="s">
        <v>12311</v>
      </c>
      <c r="E3640" s="2">
        <v>38468.0</v>
      </c>
      <c r="F3640" s="1" t="s">
        <v>62</v>
      </c>
      <c r="G3640" s="1" t="s">
        <v>17</v>
      </c>
      <c r="H3640" s="1" t="s">
        <v>18</v>
      </c>
      <c r="I3640" s="3">
        <f>+2250779682234</f>
        <v>2250779682234</v>
      </c>
      <c r="J3640" s="3">
        <f>+2250708815146</f>
        <v>2250708815146</v>
      </c>
      <c r="K3640" s="1" t="s">
        <v>19</v>
      </c>
      <c r="L3640" s="4" t="s">
        <v>12312</v>
      </c>
    </row>
    <row r="3641">
      <c r="A3641" s="1" t="s">
        <v>12</v>
      </c>
      <c r="B3641" s="1" t="s">
        <v>12313</v>
      </c>
      <c r="C3641" s="1" t="s">
        <v>12314</v>
      </c>
      <c r="D3641" s="1" t="s">
        <v>12315</v>
      </c>
      <c r="E3641" s="2">
        <v>36774.0</v>
      </c>
      <c r="F3641" s="1" t="s">
        <v>48</v>
      </c>
      <c r="G3641" s="1" t="s">
        <v>82</v>
      </c>
      <c r="H3641" s="1" t="s">
        <v>18</v>
      </c>
      <c r="I3641" s="3">
        <f>+2250777643462</f>
        <v>2250777643462</v>
      </c>
      <c r="J3641" s="3">
        <f>+2250708814430</f>
        <v>2250708814430</v>
      </c>
      <c r="K3641" s="1" t="s">
        <v>19</v>
      </c>
      <c r="L3641" s="4" t="s">
        <v>12316</v>
      </c>
    </row>
    <row r="3642">
      <c r="A3642" s="1" t="s">
        <v>12</v>
      </c>
      <c r="B3642" s="1" t="s">
        <v>12317</v>
      </c>
      <c r="C3642" s="1" t="s">
        <v>12314</v>
      </c>
      <c r="D3642" s="1" t="s">
        <v>12318</v>
      </c>
      <c r="E3642" s="2">
        <v>37774.0</v>
      </c>
      <c r="F3642" s="1" t="s">
        <v>16</v>
      </c>
      <c r="G3642" s="1" t="s">
        <v>17</v>
      </c>
      <c r="H3642" s="1" t="s">
        <v>18</v>
      </c>
      <c r="I3642" s="3">
        <f>+2250788777685</f>
        <v>2250788777685</v>
      </c>
      <c r="J3642" s="3">
        <f>+2250709107140</f>
        <v>2250709107140</v>
      </c>
      <c r="K3642" s="1" t="s">
        <v>19</v>
      </c>
      <c r="L3642" s="4" t="s">
        <v>12319</v>
      </c>
    </row>
    <row r="3643">
      <c r="A3643" s="1" t="s">
        <v>12</v>
      </c>
      <c r="B3643" s="1" t="s">
        <v>12320</v>
      </c>
      <c r="C3643" s="1" t="s">
        <v>12321</v>
      </c>
      <c r="D3643" s="1" t="s">
        <v>12322</v>
      </c>
      <c r="E3643" s="2">
        <v>36391.0</v>
      </c>
      <c r="F3643" s="1" t="s">
        <v>16</v>
      </c>
      <c r="G3643" s="1" t="s">
        <v>82</v>
      </c>
      <c r="H3643" s="1" t="s">
        <v>18</v>
      </c>
      <c r="I3643" s="3">
        <f>+2250700155614</f>
        <v>2250700155614</v>
      </c>
      <c r="J3643" s="3">
        <f>+2250101947712</f>
        <v>2250101947712</v>
      </c>
      <c r="K3643" s="1" t="s">
        <v>19</v>
      </c>
      <c r="L3643" s="4" t="s">
        <v>12323</v>
      </c>
    </row>
    <row r="3644">
      <c r="A3644" s="1" t="s">
        <v>12</v>
      </c>
      <c r="B3644" s="1" t="s">
        <v>12324</v>
      </c>
      <c r="C3644" s="1" t="s">
        <v>12325</v>
      </c>
      <c r="D3644" s="1" t="s">
        <v>12326</v>
      </c>
      <c r="E3644" s="2">
        <v>36497.0</v>
      </c>
      <c r="F3644" s="1" t="s">
        <v>53</v>
      </c>
      <c r="G3644" s="1" t="s">
        <v>17</v>
      </c>
      <c r="H3644" s="1" t="s">
        <v>18</v>
      </c>
      <c r="I3644" s="3">
        <f>+2250564770232</f>
        <v>2250564770232</v>
      </c>
      <c r="J3644" s="3">
        <f>+2250707322342</f>
        <v>2250707322342</v>
      </c>
      <c r="K3644" s="1" t="s">
        <v>19</v>
      </c>
      <c r="L3644" s="4" t="s">
        <v>12327</v>
      </c>
    </row>
    <row r="3645">
      <c r="A3645" s="1" t="s">
        <v>12</v>
      </c>
      <c r="B3645" s="1" t="s">
        <v>12328</v>
      </c>
      <c r="C3645" s="1" t="s">
        <v>12329</v>
      </c>
      <c r="D3645" s="1" t="s">
        <v>4620</v>
      </c>
      <c r="E3645" s="2">
        <v>37833.0</v>
      </c>
      <c r="F3645" s="1" t="s">
        <v>48</v>
      </c>
      <c r="G3645" s="1" t="s">
        <v>31</v>
      </c>
      <c r="H3645" s="1" t="s">
        <v>32</v>
      </c>
      <c r="I3645" s="3">
        <f>+2250555063296</f>
        <v>2250555063296</v>
      </c>
      <c r="J3645" s="3">
        <f>+2250747849147</f>
        <v>2250747849147</v>
      </c>
      <c r="K3645" s="1" t="s">
        <v>19</v>
      </c>
      <c r="L3645" s="4" t="s">
        <v>12330</v>
      </c>
    </row>
    <row r="3646">
      <c r="A3646" s="1" t="s">
        <v>12</v>
      </c>
      <c r="B3646" s="1" t="s">
        <v>12331</v>
      </c>
      <c r="C3646" s="1" t="s">
        <v>12332</v>
      </c>
      <c r="D3646" s="1" t="s">
        <v>12333</v>
      </c>
      <c r="E3646" s="2">
        <v>38419.0</v>
      </c>
      <c r="F3646" s="1" t="s">
        <v>53</v>
      </c>
      <c r="G3646" s="1" t="s">
        <v>25</v>
      </c>
      <c r="H3646" s="1" t="s">
        <v>18</v>
      </c>
      <c r="I3646" s="3">
        <f>+2250153564006</f>
        <v>2250153564006</v>
      </c>
      <c r="J3646" s="3">
        <f>+2250777189555</f>
        <v>2250777189555</v>
      </c>
      <c r="K3646" s="1" t="s">
        <v>19</v>
      </c>
      <c r="L3646" s="4" t="s">
        <v>12334</v>
      </c>
    </row>
    <row r="3647">
      <c r="A3647" s="1" t="s">
        <v>12</v>
      </c>
      <c r="B3647" s="1" t="s">
        <v>12335</v>
      </c>
      <c r="C3647" s="1" t="s">
        <v>12336</v>
      </c>
      <c r="D3647" s="1" t="s">
        <v>2490</v>
      </c>
      <c r="E3647" s="2">
        <v>37125.0</v>
      </c>
      <c r="F3647" s="1" t="s">
        <v>155</v>
      </c>
      <c r="G3647" s="1" t="s">
        <v>31</v>
      </c>
      <c r="H3647" s="1" t="s">
        <v>32</v>
      </c>
      <c r="I3647" s="3">
        <f>+2250757096968</f>
        <v>2250757096968</v>
      </c>
      <c r="J3647" s="3">
        <f>+2250777044852</f>
        <v>2250777044852</v>
      </c>
      <c r="K3647" s="1" t="s">
        <v>19</v>
      </c>
      <c r="L3647" s="4" t="s">
        <v>12337</v>
      </c>
    </row>
    <row r="3648">
      <c r="A3648" s="1" t="s">
        <v>12</v>
      </c>
      <c r="B3648" s="1" t="s">
        <v>12338</v>
      </c>
      <c r="C3648" s="1" t="s">
        <v>12339</v>
      </c>
      <c r="D3648" s="1" t="s">
        <v>12340</v>
      </c>
      <c r="E3648" s="2">
        <v>37569.0</v>
      </c>
      <c r="F3648" s="1" t="s">
        <v>37</v>
      </c>
      <c r="G3648" s="1" t="s">
        <v>82</v>
      </c>
      <c r="H3648" s="1" t="s">
        <v>18</v>
      </c>
      <c r="I3648" s="3">
        <f>+2250596172485</f>
        <v>2250596172485</v>
      </c>
      <c r="J3648" s="3">
        <f>+2250546955492</f>
        <v>2250546955492</v>
      </c>
      <c r="K3648" s="1" t="s">
        <v>19</v>
      </c>
      <c r="L3648" s="4" t="s">
        <v>12341</v>
      </c>
    </row>
    <row r="3649">
      <c r="A3649" s="1" t="s">
        <v>12</v>
      </c>
      <c r="B3649" s="1" t="s">
        <v>12342</v>
      </c>
      <c r="C3649" s="1" t="s">
        <v>12339</v>
      </c>
      <c r="D3649" s="1" t="s">
        <v>12343</v>
      </c>
      <c r="E3649" s="2">
        <v>38739.0</v>
      </c>
      <c r="F3649" s="1" t="s">
        <v>70</v>
      </c>
      <c r="G3649" s="1" t="s">
        <v>76</v>
      </c>
      <c r="H3649" s="1" t="s">
        <v>32</v>
      </c>
      <c r="I3649" s="3">
        <f>+2250788515601</f>
        <v>2250788515601</v>
      </c>
      <c r="J3649" s="3">
        <f>+2250709519274</f>
        <v>2250709519274</v>
      </c>
      <c r="K3649" s="1" t="s">
        <v>19</v>
      </c>
      <c r="L3649" s="4" t="s">
        <v>12344</v>
      </c>
    </row>
    <row r="3650">
      <c r="A3650" s="1" t="s">
        <v>12</v>
      </c>
      <c r="B3650" s="1" t="s">
        <v>12345</v>
      </c>
      <c r="C3650" s="1" t="s">
        <v>12339</v>
      </c>
      <c r="D3650" s="1" t="s">
        <v>12346</v>
      </c>
      <c r="E3650" s="2">
        <v>36341.0</v>
      </c>
      <c r="F3650" s="1" t="s">
        <v>62</v>
      </c>
      <c r="G3650" s="1" t="s">
        <v>17</v>
      </c>
      <c r="H3650" s="1" t="s">
        <v>18</v>
      </c>
      <c r="I3650" s="3">
        <f>+2250777226645</f>
        <v>2250777226645</v>
      </c>
      <c r="J3650" s="3">
        <f>+2250151101260</f>
        <v>2250151101260</v>
      </c>
      <c r="K3650" s="1" t="s">
        <v>19</v>
      </c>
      <c r="L3650" s="4" t="s">
        <v>12347</v>
      </c>
    </row>
    <row r="3651">
      <c r="A3651" s="1" t="s">
        <v>12</v>
      </c>
      <c r="B3651" s="1" t="s">
        <v>12348</v>
      </c>
      <c r="C3651" s="1" t="s">
        <v>12339</v>
      </c>
      <c r="D3651" s="1" t="s">
        <v>5190</v>
      </c>
      <c r="E3651" s="2">
        <v>37257.0</v>
      </c>
      <c r="F3651" s="1" t="s">
        <v>16</v>
      </c>
      <c r="G3651" s="1" t="s">
        <v>17</v>
      </c>
      <c r="H3651" s="1" t="s">
        <v>18</v>
      </c>
      <c r="I3651" s="3">
        <f>+2250768018105</f>
        <v>2250768018105</v>
      </c>
      <c r="J3651" s="3">
        <f>+2250140564151</f>
        <v>2250140564151</v>
      </c>
      <c r="K3651" s="1" t="s">
        <v>19</v>
      </c>
      <c r="L3651" s="4" t="s">
        <v>12349</v>
      </c>
    </row>
    <row r="3652">
      <c r="A3652" s="1" t="s">
        <v>12</v>
      </c>
      <c r="B3652" s="1" t="s">
        <v>12350</v>
      </c>
      <c r="C3652" s="1" t="s">
        <v>12351</v>
      </c>
      <c r="D3652" s="1" t="s">
        <v>12352</v>
      </c>
      <c r="E3652" s="2">
        <v>36772.0</v>
      </c>
      <c r="F3652" s="1" t="s">
        <v>16</v>
      </c>
      <c r="G3652" s="1" t="s">
        <v>25</v>
      </c>
      <c r="H3652" s="1" t="s">
        <v>18</v>
      </c>
      <c r="I3652" s="3">
        <f>+2250702494839</f>
        <v>2250702494839</v>
      </c>
      <c r="J3652" s="3">
        <f>+2250746217827</f>
        <v>2250746217827</v>
      </c>
      <c r="K3652" s="1" t="s">
        <v>19</v>
      </c>
      <c r="L3652" s="4" t="s">
        <v>12353</v>
      </c>
    </row>
    <row r="3653">
      <c r="A3653" s="1" t="s">
        <v>12</v>
      </c>
      <c r="B3653" s="1" t="s">
        <v>12354</v>
      </c>
      <c r="C3653" s="1" t="s">
        <v>12355</v>
      </c>
      <c r="D3653" s="1" t="s">
        <v>12356</v>
      </c>
      <c r="E3653" s="2">
        <v>37283.0</v>
      </c>
      <c r="F3653" s="1" t="s">
        <v>70</v>
      </c>
      <c r="G3653" s="1" t="s">
        <v>82</v>
      </c>
      <c r="H3653" s="1" t="s">
        <v>18</v>
      </c>
      <c r="I3653" s="3">
        <f>+2250143133694</f>
        <v>2250143133694</v>
      </c>
      <c r="J3653" s="3">
        <f>+2250173790603</f>
        <v>2250173790603</v>
      </c>
      <c r="K3653" s="1" t="s">
        <v>19</v>
      </c>
      <c r="L3653" s="4" t="s">
        <v>12357</v>
      </c>
    </row>
    <row r="3654">
      <c r="A3654" s="1" t="s">
        <v>12</v>
      </c>
      <c r="B3654" s="1" t="s">
        <v>12358</v>
      </c>
      <c r="C3654" s="1" t="s">
        <v>12359</v>
      </c>
      <c r="D3654" s="1" t="s">
        <v>12360</v>
      </c>
      <c r="E3654" s="5">
        <v>37547.0</v>
      </c>
      <c r="F3654" s="1" t="s">
        <v>24</v>
      </c>
      <c r="G3654" s="1" t="s">
        <v>25</v>
      </c>
      <c r="H3654" s="1" t="s">
        <v>18</v>
      </c>
      <c r="I3654" s="3">
        <f>+2250706839549</f>
        <v>2250706839549</v>
      </c>
      <c r="J3654" s="3">
        <f>+2250705651136</f>
        <v>2250705651136</v>
      </c>
      <c r="K3654" s="1" t="s">
        <v>19</v>
      </c>
      <c r="L3654" s="4" t="s">
        <v>12361</v>
      </c>
    </row>
    <row r="3655">
      <c r="A3655" s="1" t="s">
        <v>12</v>
      </c>
      <c r="B3655" s="1" t="s">
        <v>12362</v>
      </c>
      <c r="C3655" s="1" t="s">
        <v>12363</v>
      </c>
      <c r="D3655" s="1" t="s">
        <v>12364</v>
      </c>
      <c r="E3655" s="2">
        <v>37957.0</v>
      </c>
      <c r="F3655" s="1" t="s">
        <v>92</v>
      </c>
      <c r="G3655" s="1" t="s">
        <v>31</v>
      </c>
      <c r="H3655" s="1" t="s">
        <v>32</v>
      </c>
      <c r="I3655" s="3">
        <f>+2250759610445</f>
        <v>2250759610445</v>
      </c>
      <c r="J3655" s="3">
        <f>+2250707183625</f>
        <v>2250707183625</v>
      </c>
      <c r="K3655" s="1" t="s">
        <v>19</v>
      </c>
      <c r="L3655" s="4" t="s">
        <v>12365</v>
      </c>
    </row>
    <row r="3656">
      <c r="A3656" s="1" t="s">
        <v>12</v>
      </c>
      <c r="B3656" s="1" t="s">
        <v>12366</v>
      </c>
      <c r="C3656" s="1" t="s">
        <v>12367</v>
      </c>
      <c r="D3656" s="1" t="s">
        <v>12368</v>
      </c>
      <c r="E3656" s="5">
        <v>38288.0</v>
      </c>
      <c r="F3656" s="1" t="s">
        <v>101</v>
      </c>
      <c r="G3656" s="1" t="s">
        <v>76</v>
      </c>
      <c r="H3656" s="1" t="s">
        <v>32</v>
      </c>
      <c r="I3656" s="3">
        <f>+2250555561422</f>
        <v>2250555561422</v>
      </c>
      <c r="J3656" s="3">
        <f>+2250757159005</f>
        <v>2250757159005</v>
      </c>
      <c r="K3656" s="1" t="s">
        <v>19</v>
      </c>
      <c r="L3656" s="4" t="s">
        <v>12369</v>
      </c>
    </row>
    <row r="3657">
      <c r="A3657" s="1" t="s">
        <v>12</v>
      </c>
      <c r="B3657" s="1" t="s">
        <v>12370</v>
      </c>
      <c r="C3657" s="1" t="s">
        <v>12371</v>
      </c>
      <c r="D3657" s="1" t="s">
        <v>12372</v>
      </c>
      <c r="E3657" s="2">
        <v>36745.0</v>
      </c>
      <c r="F3657" s="1" t="s">
        <v>37</v>
      </c>
      <c r="G3657" s="1" t="s">
        <v>82</v>
      </c>
      <c r="H3657" s="1" t="s">
        <v>18</v>
      </c>
      <c r="I3657" s="3">
        <f>+2250768118057</f>
        <v>2250768118057</v>
      </c>
      <c r="J3657" s="3">
        <f>+2250778034194</f>
        <v>2250778034194</v>
      </c>
      <c r="K3657" s="1" t="s">
        <v>19</v>
      </c>
      <c r="L3657" s="4" t="s">
        <v>12373</v>
      </c>
    </row>
    <row r="3658">
      <c r="A3658" s="1" t="s">
        <v>12</v>
      </c>
      <c r="B3658" s="1" t="s">
        <v>12374</v>
      </c>
      <c r="C3658" s="1" t="s">
        <v>12371</v>
      </c>
      <c r="D3658" s="1" t="s">
        <v>12375</v>
      </c>
      <c r="E3658" s="2">
        <v>38115.0</v>
      </c>
      <c r="F3658" s="1" t="s">
        <v>16</v>
      </c>
      <c r="G3658" s="1" t="s">
        <v>17</v>
      </c>
      <c r="H3658" s="1" t="s">
        <v>18</v>
      </c>
      <c r="I3658" s="3">
        <f>+2250777207908</f>
        <v>2250777207908</v>
      </c>
      <c r="J3658" s="3">
        <f t="shared" ref="J3658:J3659" si="122">+2250788215582</f>
        <v>2250788215582</v>
      </c>
      <c r="K3658" s="1" t="s">
        <v>19</v>
      </c>
      <c r="L3658" s="4" t="s">
        <v>12376</v>
      </c>
    </row>
    <row r="3659">
      <c r="A3659" s="1" t="s">
        <v>12</v>
      </c>
      <c r="B3659" s="1" t="s">
        <v>12377</v>
      </c>
      <c r="C3659" s="1" t="s">
        <v>12371</v>
      </c>
      <c r="D3659" s="1" t="s">
        <v>12378</v>
      </c>
      <c r="E3659" s="2">
        <v>36980.0</v>
      </c>
      <c r="F3659" s="1" t="s">
        <v>138</v>
      </c>
      <c r="G3659" s="1" t="s">
        <v>31</v>
      </c>
      <c r="H3659" s="1" t="s">
        <v>32</v>
      </c>
      <c r="I3659" s="3">
        <f>+2250797007521</f>
        <v>2250797007521</v>
      </c>
      <c r="J3659" s="3">
        <f t="shared" si="122"/>
        <v>2250788215582</v>
      </c>
      <c r="K3659" s="1" t="s">
        <v>19</v>
      </c>
      <c r="L3659" s="4" t="s">
        <v>12379</v>
      </c>
    </row>
    <row r="3660">
      <c r="A3660" s="1" t="s">
        <v>12</v>
      </c>
      <c r="B3660" s="1" t="s">
        <v>12380</v>
      </c>
      <c r="C3660" s="1" t="s">
        <v>12381</v>
      </c>
      <c r="D3660" s="1" t="s">
        <v>12382</v>
      </c>
      <c r="E3660" s="5">
        <v>38650.0</v>
      </c>
      <c r="F3660" s="1" t="s">
        <v>155</v>
      </c>
      <c r="G3660" s="1" t="s">
        <v>31</v>
      </c>
      <c r="H3660" s="1" t="s">
        <v>32</v>
      </c>
      <c r="I3660" s="3">
        <f>+2250701940236</f>
        <v>2250701940236</v>
      </c>
      <c r="J3660" s="3">
        <f>+2250709521951</f>
        <v>2250709521951</v>
      </c>
      <c r="K3660" s="1" t="s">
        <v>19</v>
      </c>
      <c r="L3660" s="4" t="s">
        <v>12383</v>
      </c>
    </row>
    <row r="3661">
      <c r="A3661" s="1" t="s">
        <v>12</v>
      </c>
      <c r="B3661" s="1" t="s">
        <v>12384</v>
      </c>
      <c r="C3661" s="1" t="s">
        <v>12385</v>
      </c>
      <c r="D3661" s="1" t="s">
        <v>12386</v>
      </c>
      <c r="E3661" s="2">
        <v>38556.0</v>
      </c>
      <c r="F3661" s="1" t="s">
        <v>53</v>
      </c>
      <c r="G3661" s="1" t="s">
        <v>25</v>
      </c>
      <c r="H3661" s="1" t="s">
        <v>18</v>
      </c>
      <c r="I3661" s="3">
        <f>+2250151177446</f>
        <v>2250151177446</v>
      </c>
      <c r="J3661" s="3">
        <f>+2250769375179</f>
        <v>2250769375179</v>
      </c>
      <c r="K3661" s="1" t="s">
        <v>19</v>
      </c>
      <c r="L3661" s="4" t="s">
        <v>12387</v>
      </c>
    </row>
    <row r="3662">
      <c r="A3662" s="1" t="s">
        <v>12</v>
      </c>
      <c r="B3662" s="1" t="s">
        <v>12388</v>
      </c>
      <c r="C3662" s="1" t="s">
        <v>12385</v>
      </c>
      <c r="D3662" s="1" t="s">
        <v>12389</v>
      </c>
      <c r="E3662" s="2">
        <v>38183.0</v>
      </c>
      <c r="F3662" s="1" t="s">
        <v>48</v>
      </c>
      <c r="G3662" s="1" t="s">
        <v>76</v>
      </c>
      <c r="H3662" s="1" t="s">
        <v>32</v>
      </c>
      <c r="I3662" s="3">
        <f>+2250779183848</f>
        <v>2250779183848</v>
      </c>
      <c r="J3662" s="3">
        <f>+2250707403372</f>
        <v>2250707403372</v>
      </c>
      <c r="K3662" s="1" t="s">
        <v>19</v>
      </c>
      <c r="L3662" s="4" t="s">
        <v>12390</v>
      </c>
    </row>
    <row r="3663">
      <c r="A3663" s="1" t="s">
        <v>12</v>
      </c>
      <c r="B3663" s="1" t="s">
        <v>12391</v>
      </c>
      <c r="C3663" s="1" t="s">
        <v>12385</v>
      </c>
      <c r="D3663" s="1" t="s">
        <v>12392</v>
      </c>
      <c r="E3663" s="2">
        <v>36424.0</v>
      </c>
      <c r="F3663" s="1" t="s">
        <v>167</v>
      </c>
      <c r="G3663" s="1" t="s">
        <v>17</v>
      </c>
      <c r="H3663" s="1" t="s">
        <v>18</v>
      </c>
      <c r="I3663" s="3">
        <f>+2250799074658</f>
        <v>2250799074658</v>
      </c>
      <c r="J3663" s="3">
        <f>+2250708227865</f>
        <v>2250708227865</v>
      </c>
      <c r="K3663" s="1" t="s">
        <v>19</v>
      </c>
      <c r="L3663" s="4" t="s">
        <v>12393</v>
      </c>
    </row>
    <row r="3664">
      <c r="A3664" s="1" t="s">
        <v>12</v>
      </c>
      <c r="B3664" s="1" t="s">
        <v>12394</v>
      </c>
      <c r="C3664" s="1" t="s">
        <v>12385</v>
      </c>
      <c r="D3664" s="1" t="s">
        <v>12395</v>
      </c>
      <c r="E3664" s="5">
        <v>38313.0</v>
      </c>
      <c r="F3664" s="1" t="s">
        <v>62</v>
      </c>
      <c r="G3664" s="1" t="s">
        <v>25</v>
      </c>
      <c r="H3664" s="1" t="s">
        <v>18</v>
      </c>
      <c r="I3664" s="3">
        <f>+2250705422635</f>
        <v>2250705422635</v>
      </c>
      <c r="J3664" s="3">
        <f>+2250101870687</f>
        <v>2250101870687</v>
      </c>
      <c r="K3664" s="1" t="s">
        <v>19</v>
      </c>
      <c r="L3664" s="4" t="s">
        <v>12396</v>
      </c>
    </row>
    <row r="3665">
      <c r="A3665" s="1" t="s">
        <v>12</v>
      </c>
      <c r="B3665" s="1" t="s">
        <v>12397</v>
      </c>
      <c r="C3665" s="1" t="s">
        <v>12398</v>
      </c>
      <c r="D3665" s="1" t="s">
        <v>12399</v>
      </c>
      <c r="E3665" s="2">
        <v>36534.0</v>
      </c>
      <c r="F3665" s="1" t="s">
        <v>48</v>
      </c>
      <c r="G3665" s="1" t="s">
        <v>76</v>
      </c>
      <c r="H3665" s="1" t="s">
        <v>32</v>
      </c>
      <c r="I3665" s="3">
        <f>+2250709043500</f>
        <v>2250709043500</v>
      </c>
      <c r="J3665" s="3">
        <f>+2250707377870</f>
        <v>2250707377870</v>
      </c>
      <c r="K3665" s="1" t="s">
        <v>19</v>
      </c>
      <c r="L3665" s="4" t="s">
        <v>12400</v>
      </c>
    </row>
    <row r="3666">
      <c r="A3666" s="1" t="s">
        <v>12</v>
      </c>
      <c r="B3666" s="1" t="s">
        <v>12401</v>
      </c>
      <c r="C3666" s="1" t="s">
        <v>12398</v>
      </c>
      <c r="D3666" s="1" t="s">
        <v>12402</v>
      </c>
      <c r="E3666" s="2">
        <v>36921.0</v>
      </c>
      <c r="F3666" s="1" t="s">
        <v>16</v>
      </c>
      <c r="G3666" s="1" t="s">
        <v>17</v>
      </c>
      <c r="H3666" s="1" t="s">
        <v>18</v>
      </c>
      <c r="I3666" s="3">
        <f>+2250596505345</f>
        <v>2250596505345</v>
      </c>
      <c r="J3666" s="3">
        <f>+2250749500880</f>
        <v>2250749500880</v>
      </c>
      <c r="K3666" s="1" t="s">
        <v>19</v>
      </c>
      <c r="L3666" s="4" t="s">
        <v>12403</v>
      </c>
    </row>
    <row r="3667">
      <c r="A3667" s="1" t="s">
        <v>12</v>
      </c>
      <c r="B3667" s="1" t="s">
        <v>12404</v>
      </c>
      <c r="C3667" s="1" t="s">
        <v>12398</v>
      </c>
      <c r="D3667" s="1" t="s">
        <v>12405</v>
      </c>
      <c r="E3667" s="2">
        <v>38069.0</v>
      </c>
      <c r="F3667" s="1" t="s">
        <v>48</v>
      </c>
      <c r="G3667" s="1" t="s">
        <v>76</v>
      </c>
      <c r="H3667" s="1" t="s">
        <v>32</v>
      </c>
      <c r="I3667" s="3">
        <f>+2250798677461</f>
        <v>2250798677461</v>
      </c>
      <c r="J3667" s="3">
        <f>+2250709753894</f>
        <v>2250709753894</v>
      </c>
      <c r="K3667" s="1" t="s">
        <v>19</v>
      </c>
      <c r="L3667" s="4" t="s">
        <v>12406</v>
      </c>
    </row>
    <row r="3668">
      <c r="A3668" s="1" t="s">
        <v>12</v>
      </c>
      <c r="B3668" s="1" t="s">
        <v>12407</v>
      </c>
      <c r="C3668" s="1" t="s">
        <v>12398</v>
      </c>
      <c r="D3668" s="1" t="s">
        <v>12408</v>
      </c>
      <c r="E3668" s="2">
        <v>37593.0</v>
      </c>
      <c r="F3668" s="1" t="s">
        <v>62</v>
      </c>
      <c r="G3668" s="1" t="s">
        <v>25</v>
      </c>
      <c r="H3668" s="1" t="s">
        <v>18</v>
      </c>
      <c r="I3668" s="3">
        <f>+2250102113551</f>
        <v>2250102113551</v>
      </c>
      <c r="J3668" s="3">
        <f>+2250555123099</f>
        <v>2250555123099</v>
      </c>
      <c r="K3668" s="1" t="s">
        <v>19</v>
      </c>
      <c r="L3668" s="4" t="s">
        <v>12409</v>
      </c>
    </row>
    <row r="3669">
      <c r="A3669" s="1" t="s">
        <v>12</v>
      </c>
      <c r="B3669" s="1" t="s">
        <v>12410</v>
      </c>
      <c r="C3669" s="1" t="s">
        <v>12398</v>
      </c>
      <c r="D3669" s="1" t="s">
        <v>12411</v>
      </c>
      <c r="E3669" s="2">
        <v>37533.0</v>
      </c>
      <c r="F3669" s="1" t="s">
        <v>62</v>
      </c>
      <c r="G3669" s="1" t="s">
        <v>17</v>
      </c>
      <c r="H3669" s="1" t="s">
        <v>18</v>
      </c>
      <c r="I3669" s="3">
        <f>+2250768102805</f>
        <v>2250768102805</v>
      </c>
      <c r="J3669" s="3">
        <f>+2250747327747</f>
        <v>2250747327747</v>
      </c>
      <c r="K3669" s="1" t="s">
        <v>19</v>
      </c>
      <c r="L3669" s="4" t="s">
        <v>12412</v>
      </c>
    </row>
    <row r="3670">
      <c r="A3670" s="1" t="s">
        <v>12</v>
      </c>
      <c r="B3670" s="1" t="s">
        <v>12413</v>
      </c>
      <c r="C3670" s="1" t="s">
        <v>12414</v>
      </c>
      <c r="D3670" s="1" t="s">
        <v>12415</v>
      </c>
      <c r="E3670" s="5">
        <v>36888.0</v>
      </c>
      <c r="F3670" s="1" t="s">
        <v>75</v>
      </c>
      <c r="G3670" s="1" t="s">
        <v>76</v>
      </c>
      <c r="H3670" s="1" t="s">
        <v>32</v>
      </c>
      <c r="I3670" s="3">
        <f>+2250749603408</f>
        <v>2250749603408</v>
      </c>
      <c r="J3670" s="3">
        <f>+2250709044088</f>
        <v>2250709044088</v>
      </c>
      <c r="K3670" s="1" t="s">
        <v>19</v>
      </c>
      <c r="L3670" s="4" t="s">
        <v>12416</v>
      </c>
    </row>
    <row r="3671">
      <c r="A3671" s="1" t="s">
        <v>12</v>
      </c>
      <c r="B3671" s="1" t="s">
        <v>12417</v>
      </c>
      <c r="C3671" s="1" t="s">
        <v>12418</v>
      </c>
      <c r="D3671" s="1" t="s">
        <v>12419</v>
      </c>
      <c r="E3671" s="2">
        <v>38134.0</v>
      </c>
      <c r="F3671" s="1" t="s">
        <v>16</v>
      </c>
      <c r="G3671" s="1" t="s">
        <v>17</v>
      </c>
      <c r="H3671" s="1" t="s">
        <v>18</v>
      </c>
      <c r="I3671" s="3">
        <f>+2250546795113</f>
        <v>2250546795113</v>
      </c>
      <c r="J3671" s="3">
        <f>+2250152815656</f>
        <v>2250152815656</v>
      </c>
      <c r="K3671" s="1" t="s">
        <v>19</v>
      </c>
      <c r="L3671" s="4" t="s">
        <v>12420</v>
      </c>
    </row>
    <row r="3672">
      <c r="A3672" s="1" t="s">
        <v>12</v>
      </c>
      <c r="B3672" s="1" t="s">
        <v>12421</v>
      </c>
      <c r="C3672" s="1" t="s">
        <v>12422</v>
      </c>
      <c r="D3672" s="1" t="s">
        <v>12423</v>
      </c>
      <c r="E3672" s="2">
        <v>38120.0</v>
      </c>
      <c r="F3672" s="1" t="s">
        <v>53</v>
      </c>
      <c r="G3672" s="1" t="s">
        <v>17</v>
      </c>
      <c r="H3672" s="1" t="s">
        <v>18</v>
      </c>
      <c r="I3672" s="3">
        <f>+2250585339763</f>
        <v>2250585339763</v>
      </c>
      <c r="J3672" s="3">
        <f>+2250505036519</f>
        <v>2250505036519</v>
      </c>
      <c r="K3672" s="1" t="s">
        <v>19</v>
      </c>
      <c r="L3672" s="4" t="s">
        <v>12424</v>
      </c>
    </row>
    <row r="3673">
      <c r="A3673" s="1" t="s">
        <v>12</v>
      </c>
      <c r="B3673" s="1" t="s">
        <v>12425</v>
      </c>
      <c r="C3673" s="1" t="s">
        <v>12426</v>
      </c>
      <c r="D3673" s="1" t="s">
        <v>12427</v>
      </c>
      <c r="E3673" s="2">
        <v>37670.0</v>
      </c>
      <c r="F3673" s="1" t="s">
        <v>30</v>
      </c>
      <c r="G3673" s="1" t="s">
        <v>31</v>
      </c>
      <c r="H3673" s="1" t="s">
        <v>32</v>
      </c>
      <c r="I3673" s="3">
        <f>+2250756660102</f>
        <v>2250756660102</v>
      </c>
      <c r="J3673" s="3">
        <f>+2250574609424</f>
        <v>2250574609424</v>
      </c>
      <c r="K3673" s="1" t="s">
        <v>19</v>
      </c>
      <c r="L3673" s="4" t="s">
        <v>12428</v>
      </c>
    </row>
    <row r="3674">
      <c r="A3674" s="1" t="s">
        <v>12</v>
      </c>
      <c r="B3674" s="1" t="s">
        <v>12429</v>
      </c>
      <c r="C3674" s="1" t="s">
        <v>4602</v>
      </c>
      <c r="D3674" s="1" t="s">
        <v>12430</v>
      </c>
      <c r="E3674" s="2">
        <v>37433.0</v>
      </c>
      <c r="F3674" s="1" t="s">
        <v>53</v>
      </c>
      <c r="G3674" s="1" t="s">
        <v>25</v>
      </c>
      <c r="H3674" s="1" t="s">
        <v>18</v>
      </c>
      <c r="I3674" s="3">
        <f>+2250799313127</f>
        <v>2250799313127</v>
      </c>
      <c r="J3674" s="3">
        <f>+2250757834805</f>
        <v>2250757834805</v>
      </c>
      <c r="K3674" s="1" t="s">
        <v>19</v>
      </c>
      <c r="L3674" s="4" t="s">
        <v>12431</v>
      </c>
    </row>
    <row r="3675">
      <c r="A3675" s="1" t="s">
        <v>12</v>
      </c>
      <c r="B3675" s="1" t="s">
        <v>12432</v>
      </c>
      <c r="C3675" s="1" t="s">
        <v>4602</v>
      </c>
      <c r="D3675" s="1" t="s">
        <v>12433</v>
      </c>
      <c r="E3675" s="5">
        <v>38639.0</v>
      </c>
      <c r="F3675" s="1" t="s">
        <v>62</v>
      </c>
      <c r="G3675" s="1" t="s">
        <v>25</v>
      </c>
      <c r="H3675" s="1" t="s">
        <v>18</v>
      </c>
      <c r="I3675" s="3">
        <f>+2250596307311</f>
        <v>2250596307311</v>
      </c>
      <c r="J3675" s="3">
        <f>+2250708323798</f>
        <v>2250708323798</v>
      </c>
      <c r="K3675" s="1" t="s">
        <v>19</v>
      </c>
      <c r="L3675" s="4" t="s">
        <v>12434</v>
      </c>
    </row>
    <row r="3676">
      <c r="A3676" s="1" t="s">
        <v>12</v>
      </c>
      <c r="B3676" s="1" t="s">
        <v>12435</v>
      </c>
      <c r="C3676" s="1" t="s">
        <v>12436</v>
      </c>
      <c r="D3676" s="1" t="s">
        <v>12437</v>
      </c>
      <c r="E3676" s="2">
        <v>38043.0</v>
      </c>
      <c r="F3676" s="1" t="s">
        <v>351</v>
      </c>
      <c r="G3676" s="1" t="s">
        <v>31</v>
      </c>
      <c r="H3676" s="1" t="s">
        <v>32</v>
      </c>
      <c r="I3676" s="3">
        <f>+2250502701322</f>
        <v>2250502701322</v>
      </c>
      <c r="J3676" s="3">
        <f>+2250708734581</f>
        <v>2250708734581</v>
      </c>
      <c r="K3676" s="1" t="s">
        <v>19</v>
      </c>
      <c r="L3676" s="4" t="s">
        <v>12438</v>
      </c>
    </row>
    <row r="3677">
      <c r="A3677" s="1" t="s">
        <v>12</v>
      </c>
      <c r="B3677" s="1" t="s">
        <v>12439</v>
      </c>
      <c r="C3677" s="1" t="s">
        <v>12436</v>
      </c>
      <c r="D3677" s="1" t="s">
        <v>12440</v>
      </c>
      <c r="E3677" s="2">
        <v>38501.0</v>
      </c>
      <c r="F3677" s="1" t="s">
        <v>101</v>
      </c>
      <c r="G3677" s="1" t="s">
        <v>76</v>
      </c>
      <c r="H3677" s="1" t="s">
        <v>32</v>
      </c>
      <c r="I3677" s="3">
        <f>+2250769536594</f>
        <v>2250769536594</v>
      </c>
      <c r="J3677" s="3">
        <f>+2250709154626</f>
        <v>2250709154626</v>
      </c>
      <c r="K3677" s="1" t="s">
        <v>19</v>
      </c>
      <c r="L3677" s="4" t="s">
        <v>12441</v>
      </c>
    </row>
    <row r="3678">
      <c r="A3678" s="1" t="s">
        <v>12</v>
      </c>
      <c r="B3678" s="1" t="s">
        <v>12442</v>
      </c>
      <c r="C3678" s="1" t="s">
        <v>12436</v>
      </c>
      <c r="D3678" s="1" t="s">
        <v>12443</v>
      </c>
      <c r="E3678" s="2">
        <v>38093.0</v>
      </c>
      <c r="F3678" s="1" t="s">
        <v>70</v>
      </c>
      <c r="G3678" s="1" t="s">
        <v>76</v>
      </c>
      <c r="H3678" s="1" t="s">
        <v>32</v>
      </c>
      <c r="I3678" s="3">
        <f>+2250788793701</f>
        <v>2250788793701</v>
      </c>
      <c r="J3678" s="3">
        <f>+2250707355928</f>
        <v>2250707355928</v>
      </c>
      <c r="K3678" s="1" t="s">
        <v>19</v>
      </c>
      <c r="L3678" s="4" t="s">
        <v>12444</v>
      </c>
    </row>
    <row r="3679">
      <c r="A3679" s="1" t="s">
        <v>12</v>
      </c>
      <c r="B3679" s="1" t="s">
        <v>12445</v>
      </c>
      <c r="C3679" s="1" t="s">
        <v>12446</v>
      </c>
      <c r="D3679" s="1" t="s">
        <v>12447</v>
      </c>
      <c r="E3679" s="2">
        <v>36616.0</v>
      </c>
      <c r="F3679" s="1" t="s">
        <v>75</v>
      </c>
      <c r="G3679" s="1" t="s">
        <v>31</v>
      </c>
      <c r="H3679" s="1" t="s">
        <v>32</v>
      </c>
      <c r="I3679" s="3">
        <f>+2250708468174</f>
        <v>2250708468174</v>
      </c>
      <c r="J3679" s="3">
        <f>+2250709873069</f>
        <v>2250709873069</v>
      </c>
      <c r="K3679" s="1" t="s">
        <v>19</v>
      </c>
      <c r="L3679" s="4" t="s">
        <v>12448</v>
      </c>
    </row>
    <row r="3680">
      <c r="A3680" s="1" t="s">
        <v>12</v>
      </c>
      <c r="B3680" s="1" t="s">
        <v>12449</v>
      </c>
      <c r="C3680" s="1" t="s">
        <v>12446</v>
      </c>
      <c r="D3680" s="1" t="s">
        <v>12450</v>
      </c>
      <c r="E3680" s="2">
        <v>37319.0</v>
      </c>
      <c r="F3680" s="1" t="s">
        <v>101</v>
      </c>
      <c r="G3680" s="1" t="s">
        <v>31</v>
      </c>
      <c r="H3680" s="1" t="s">
        <v>32</v>
      </c>
      <c r="I3680" s="3">
        <f>+2250797249026</f>
        <v>2250797249026</v>
      </c>
      <c r="J3680" s="3">
        <f>+2250709080207</f>
        <v>2250709080207</v>
      </c>
      <c r="K3680" s="1" t="s">
        <v>19</v>
      </c>
      <c r="L3680" s="4" t="s">
        <v>12451</v>
      </c>
    </row>
    <row r="3681">
      <c r="A3681" s="1" t="s">
        <v>12</v>
      </c>
      <c r="B3681" s="1" t="s">
        <v>12452</v>
      </c>
      <c r="C3681" s="1" t="s">
        <v>12453</v>
      </c>
      <c r="D3681" s="1" t="s">
        <v>12454</v>
      </c>
      <c r="E3681" s="2">
        <v>37294.0</v>
      </c>
      <c r="F3681" s="1" t="s">
        <v>16</v>
      </c>
      <c r="G3681" s="1" t="s">
        <v>82</v>
      </c>
      <c r="H3681" s="1" t="s">
        <v>18</v>
      </c>
      <c r="I3681" s="3">
        <f>+2250768364263</f>
        <v>2250768364263</v>
      </c>
      <c r="J3681" s="3">
        <f>+2250707013300</f>
        <v>2250707013300</v>
      </c>
      <c r="K3681" s="1" t="s">
        <v>19</v>
      </c>
      <c r="L3681" s="4" t="s">
        <v>12455</v>
      </c>
    </row>
    <row r="3682">
      <c r="A3682" s="1" t="s">
        <v>12</v>
      </c>
      <c r="B3682" s="1" t="s">
        <v>12456</v>
      </c>
      <c r="C3682" s="1" t="s">
        <v>12457</v>
      </c>
      <c r="D3682" s="1" t="s">
        <v>12458</v>
      </c>
      <c r="E3682" s="2">
        <v>37787.0</v>
      </c>
      <c r="F3682" s="1" t="s">
        <v>167</v>
      </c>
      <c r="G3682" s="1" t="s">
        <v>17</v>
      </c>
      <c r="H3682" s="1" t="s">
        <v>18</v>
      </c>
      <c r="I3682" s="3">
        <f>+2250798433342</f>
        <v>2250798433342</v>
      </c>
      <c r="J3682" s="3">
        <f>+2250545203813</f>
        <v>2250545203813</v>
      </c>
      <c r="K3682" s="1" t="s">
        <v>19</v>
      </c>
      <c r="L3682" s="4" t="s">
        <v>12459</v>
      </c>
    </row>
    <row r="3683">
      <c r="A3683" s="1" t="s">
        <v>12</v>
      </c>
      <c r="B3683" s="1" t="s">
        <v>12460</v>
      </c>
      <c r="C3683" s="1" t="s">
        <v>12461</v>
      </c>
      <c r="D3683" s="1" t="s">
        <v>12462</v>
      </c>
      <c r="E3683" s="2">
        <v>37645.0</v>
      </c>
      <c r="F3683" s="1" t="s">
        <v>110</v>
      </c>
      <c r="G3683" s="1" t="s">
        <v>82</v>
      </c>
      <c r="H3683" s="1" t="s">
        <v>18</v>
      </c>
      <c r="I3683" s="3">
        <f>+2250103466655</f>
        <v>2250103466655</v>
      </c>
      <c r="J3683" s="3">
        <f>+2250758062020</f>
        <v>2250758062020</v>
      </c>
      <c r="K3683" s="1" t="s">
        <v>19</v>
      </c>
      <c r="L3683" s="4" t="s">
        <v>12463</v>
      </c>
    </row>
    <row r="3684">
      <c r="A3684" s="1" t="s">
        <v>12</v>
      </c>
      <c r="B3684" s="1" t="s">
        <v>12464</v>
      </c>
      <c r="C3684" s="1" t="s">
        <v>12461</v>
      </c>
      <c r="D3684" s="1" t="s">
        <v>12465</v>
      </c>
      <c r="E3684" s="2">
        <v>38078.0</v>
      </c>
      <c r="F3684" s="1" t="s">
        <v>48</v>
      </c>
      <c r="G3684" s="1" t="s">
        <v>31</v>
      </c>
      <c r="H3684" s="1" t="s">
        <v>32</v>
      </c>
      <c r="I3684" s="3">
        <f>+2250585750336</f>
        <v>2250585750336</v>
      </c>
      <c r="J3684" s="3">
        <f>+2250506114969</f>
        <v>2250506114969</v>
      </c>
      <c r="K3684" s="1" t="s">
        <v>19</v>
      </c>
      <c r="L3684" s="4" t="s">
        <v>12466</v>
      </c>
    </row>
    <row r="3685">
      <c r="A3685" s="1" t="s">
        <v>12</v>
      </c>
      <c r="B3685" s="1" t="s">
        <v>12467</v>
      </c>
      <c r="C3685" s="1" t="s">
        <v>12468</v>
      </c>
      <c r="D3685" s="1" t="s">
        <v>12469</v>
      </c>
      <c r="E3685" s="2">
        <v>38070.0</v>
      </c>
      <c r="F3685" s="1" t="s">
        <v>16</v>
      </c>
      <c r="G3685" s="1" t="s">
        <v>17</v>
      </c>
      <c r="H3685" s="1" t="s">
        <v>18</v>
      </c>
      <c r="I3685" s="3">
        <f>+2250103019518</f>
        <v>2250103019518</v>
      </c>
      <c r="J3685" s="3">
        <f>+2250709651016</f>
        <v>2250709651016</v>
      </c>
      <c r="K3685" s="1" t="s">
        <v>19</v>
      </c>
      <c r="L3685" s="4" t="s">
        <v>12470</v>
      </c>
    </row>
    <row r="3686">
      <c r="A3686" s="1" t="s">
        <v>12</v>
      </c>
      <c r="B3686" s="1" t="s">
        <v>12471</v>
      </c>
      <c r="C3686" s="1" t="s">
        <v>12472</v>
      </c>
      <c r="D3686" s="1" t="s">
        <v>12473</v>
      </c>
      <c r="E3686" s="2">
        <v>37567.0</v>
      </c>
      <c r="F3686" s="1" t="s">
        <v>24</v>
      </c>
      <c r="G3686" s="1" t="s">
        <v>82</v>
      </c>
      <c r="H3686" s="1" t="s">
        <v>18</v>
      </c>
      <c r="I3686" s="3">
        <f>+2250797318438</f>
        <v>2250797318438</v>
      </c>
      <c r="J3686" s="3">
        <f>+2250757101259</f>
        <v>2250757101259</v>
      </c>
      <c r="K3686" s="1" t="s">
        <v>19</v>
      </c>
      <c r="L3686" s="4" t="s">
        <v>12474</v>
      </c>
    </row>
    <row r="3687">
      <c r="A3687" s="1" t="s">
        <v>12</v>
      </c>
      <c r="B3687" s="1" t="s">
        <v>12475</v>
      </c>
      <c r="C3687" s="1" t="s">
        <v>12476</v>
      </c>
      <c r="D3687" s="1" t="s">
        <v>12477</v>
      </c>
      <c r="E3687" s="2">
        <v>37469.0</v>
      </c>
      <c r="F3687" s="1" t="s">
        <v>138</v>
      </c>
      <c r="G3687" s="1" t="s">
        <v>76</v>
      </c>
      <c r="H3687" s="1" t="s">
        <v>32</v>
      </c>
      <c r="I3687" s="3">
        <f>+2250799023345</f>
        <v>2250799023345</v>
      </c>
      <c r="J3687" s="3">
        <f>+2250152996477</f>
        <v>2250152996477</v>
      </c>
      <c r="K3687" s="1" t="s">
        <v>19</v>
      </c>
      <c r="L3687" s="4" t="s">
        <v>12478</v>
      </c>
    </row>
    <row r="3688">
      <c r="A3688" s="1" t="s">
        <v>12</v>
      </c>
      <c r="B3688" s="1" t="s">
        <v>12479</v>
      </c>
      <c r="C3688" s="1" t="s">
        <v>12476</v>
      </c>
      <c r="D3688" s="1" t="s">
        <v>12480</v>
      </c>
      <c r="E3688" s="2">
        <v>36999.0</v>
      </c>
      <c r="F3688" s="1" t="s">
        <v>138</v>
      </c>
      <c r="G3688" s="1" t="s">
        <v>31</v>
      </c>
      <c r="H3688" s="1" t="s">
        <v>32</v>
      </c>
      <c r="I3688" s="3">
        <f>+2250703261439</f>
        <v>2250703261439</v>
      </c>
      <c r="J3688" s="3">
        <f>+2250787264690</f>
        <v>2250787264690</v>
      </c>
      <c r="K3688" s="1" t="s">
        <v>19</v>
      </c>
      <c r="L3688" s="4" t="s">
        <v>12481</v>
      </c>
    </row>
    <row r="3689">
      <c r="A3689" s="1" t="s">
        <v>12</v>
      </c>
      <c r="B3689" s="1" t="s">
        <v>12482</v>
      </c>
      <c r="C3689" s="1" t="s">
        <v>12483</v>
      </c>
      <c r="D3689" s="1" t="s">
        <v>12484</v>
      </c>
      <c r="E3689" s="2">
        <v>37394.0</v>
      </c>
      <c r="F3689" s="1" t="s">
        <v>101</v>
      </c>
      <c r="G3689" s="1" t="s">
        <v>76</v>
      </c>
      <c r="H3689" s="1" t="s">
        <v>32</v>
      </c>
      <c r="I3689" s="3">
        <f>+2250702936129</f>
        <v>2250702936129</v>
      </c>
      <c r="J3689" s="3">
        <f>+2250707445511</f>
        <v>2250707445511</v>
      </c>
      <c r="K3689" s="1" t="s">
        <v>19</v>
      </c>
      <c r="L3689" s="4" t="s">
        <v>12485</v>
      </c>
    </row>
    <row r="3690">
      <c r="A3690" s="1" t="s">
        <v>12</v>
      </c>
      <c r="B3690" s="1" t="s">
        <v>12486</v>
      </c>
      <c r="C3690" s="1" t="s">
        <v>12483</v>
      </c>
      <c r="D3690" s="1" t="s">
        <v>12487</v>
      </c>
      <c r="E3690" s="2">
        <v>37645.0</v>
      </c>
      <c r="F3690" s="1" t="s">
        <v>16</v>
      </c>
      <c r="G3690" s="1" t="s">
        <v>82</v>
      </c>
      <c r="H3690" s="1" t="s">
        <v>18</v>
      </c>
      <c r="I3690" s="3">
        <f>+2250555258192</f>
        <v>2250555258192</v>
      </c>
      <c r="J3690" s="3">
        <f>+2250709299927</f>
        <v>2250709299927</v>
      </c>
      <c r="K3690" s="1" t="s">
        <v>19</v>
      </c>
      <c r="L3690" s="4" t="s">
        <v>12488</v>
      </c>
    </row>
    <row r="3691">
      <c r="A3691" s="1" t="s">
        <v>12</v>
      </c>
      <c r="B3691" s="1" t="s">
        <v>12489</v>
      </c>
      <c r="C3691" s="1" t="s">
        <v>1746</v>
      </c>
      <c r="D3691" s="1" t="s">
        <v>1053</v>
      </c>
      <c r="E3691" s="5">
        <v>38307.0</v>
      </c>
      <c r="F3691" s="1" t="s">
        <v>16</v>
      </c>
      <c r="G3691" s="1" t="s">
        <v>25</v>
      </c>
      <c r="H3691" s="1" t="s">
        <v>18</v>
      </c>
      <c r="I3691" s="3">
        <f>+2250594325831</f>
        <v>2250594325831</v>
      </c>
      <c r="J3691" s="3">
        <f>+2250757963003</f>
        <v>2250757963003</v>
      </c>
      <c r="K3691" s="1" t="s">
        <v>19</v>
      </c>
      <c r="L3691" s="4" t="s">
        <v>12490</v>
      </c>
    </row>
    <row r="3692">
      <c r="A3692" s="1" t="s">
        <v>12</v>
      </c>
      <c r="B3692" s="1" t="s">
        <v>12491</v>
      </c>
      <c r="C3692" s="1" t="s">
        <v>12492</v>
      </c>
      <c r="D3692" s="1" t="s">
        <v>12493</v>
      </c>
      <c r="E3692" s="2">
        <v>36359.0</v>
      </c>
      <c r="F3692" s="1" t="s">
        <v>155</v>
      </c>
      <c r="G3692" s="1" t="s">
        <v>31</v>
      </c>
      <c r="H3692" s="1" t="s">
        <v>32</v>
      </c>
      <c r="I3692" s="3">
        <f>+2250767201506</f>
        <v>2250767201506</v>
      </c>
      <c r="J3692" s="3">
        <f>+2250758893139</f>
        <v>2250758893139</v>
      </c>
      <c r="K3692" s="1" t="s">
        <v>19</v>
      </c>
      <c r="L3692" s="4" t="s">
        <v>12494</v>
      </c>
    </row>
    <row r="3693">
      <c r="A3693" s="1" t="s">
        <v>12</v>
      </c>
      <c r="B3693" s="1" t="s">
        <v>12495</v>
      </c>
      <c r="C3693" s="1" t="s">
        <v>12496</v>
      </c>
      <c r="D3693" s="1" t="s">
        <v>12497</v>
      </c>
      <c r="E3693" s="5">
        <v>37181.0</v>
      </c>
      <c r="F3693" s="1" t="s">
        <v>155</v>
      </c>
      <c r="G3693" s="1" t="s">
        <v>31</v>
      </c>
      <c r="H3693" s="1" t="s">
        <v>32</v>
      </c>
      <c r="I3693" s="3">
        <f>+2250702963471</f>
        <v>2250702963471</v>
      </c>
      <c r="J3693" s="3">
        <f>+2250707605023</f>
        <v>2250707605023</v>
      </c>
      <c r="K3693" s="1" t="s">
        <v>19</v>
      </c>
      <c r="L3693" s="4" t="s">
        <v>12498</v>
      </c>
    </row>
    <row r="3694">
      <c r="A3694" s="1" t="s">
        <v>12</v>
      </c>
      <c r="B3694" s="1" t="s">
        <v>12499</v>
      </c>
      <c r="C3694" s="1" t="s">
        <v>12500</v>
      </c>
      <c r="D3694" s="1" t="s">
        <v>12501</v>
      </c>
      <c r="E3694" s="2">
        <v>38500.0</v>
      </c>
      <c r="F3694" s="1" t="s">
        <v>62</v>
      </c>
      <c r="G3694" s="1" t="s">
        <v>25</v>
      </c>
      <c r="H3694" s="1" t="s">
        <v>18</v>
      </c>
      <c r="I3694" s="3">
        <f>+2250566171898</f>
        <v>2250566171898</v>
      </c>
      <c r="J3694" s="3">
        <f>+2250161190164</f>
        <v>2250161190164</v>
      </c>
      <c r="K3694" s="1" t="s">
        <v>19</v>
      </c>
      <c r="L3694" s="4" t="s">
        <v>12502</v>
      </c>
    </row>
    <row r="3695">
      <c r="A3695" s="1" t="s">
        <v>12</v>
      </c>
      <c r="B3695" s="1" t="s">
        <v>12503</v>
      </c>
      <c r="C3695" s="1" t="s">
        <v>12504</v>
      </c>
      <c r="D3695" s="1" t="s">
        <v>12505</v>
      </c>
      <c r="E3695" s="2">
        <v>38090.0</v>
      </c>
      <c r="F3695" s="1" t="s">
        <v>53</v>
      </c>
      <c r="G3695" s="1" t="s">
        <v>25</v>
      </c>
      <c r="H3695" s="1" t="s">
        <v>18</v>
      </c>
      <c r="I3695" s="3">
        <f>+2250170619809</f>
        <v>2250170619809</v>
      </c>
      <c r="J3695" s="3">
        <f>+2250707858495</f>
        <v>2250707858495</v>
      </c>
      <c r="K3695" s="1" t="s">
        <v>19</v>
      </c>
      <c r="L3695" s="4" t="s">
        <v>12506</v>
      </c>
    </row>
    <row r="3696">
      <c r="A3696" s="1" t="s">
        <v>12</v>
      </c>
      <c r="B3696" s="1" t="s">
        <v>12507</v>
      </c>
      <c r="C3696" s="1" t="s">
        <v>12508</v>
      </c>
      <c r="D3696" s="1" t="s">
        <v>12509</v>
      </c>
      <c r="E3696" s="2">
        <v>37368.0</v>
      </c>
      <c r="F3696" s="1" t="s">
        <v>87</v>
      </c>
      <c r="G3696" s="1" t="s">
        <v>76</v>
      </c>
      <c r="H3696" s="1" t="s">
        <v>32</v>
      </c>
      <c r="I3696" s="3">
        <f>+2250779617232</f>
        <v>2250779617232</v>
      </c>
      <c r="J3696" s="3">
        <f>+2250708809179</f>
        <v>2250708809179</v>
      </c>
      <c r="K3696" s="1" t="s">
        <v>19</v>
      </c>
      <c r="L3696" s="4" t="s">
        <v>12510</v>
      </c>
    </row>
    <row r="3697">
      <c r="A3697" s="1" t="s">
        <v>12</v>
      </c>
      <c r="B3697" s="1" t="s">
        <v>12511</v>
      </c>
      <c r="C3697" s="1" t="s">
        <v>12512</v>
      </c>
      <c r="D3697" s="1" t="s">
        <v>12513</v>
      </c>
      <c r="E3697" s="5">
        <v>36521.0</v>
      </c>
      <c r="F3697" s="1" t="s">
        <v>92</v>
      </c>
      <c r="G3697" s="1" t="s">
        <v>76</v>
      </c>
      <c r="H3697" s="1" t="s">
        <v>32</v>
      </c>
      <c r="I3697" s="3">
        <f>+2250173384994</f>
        <v>2250173384994</v>
      </c>
      <c r="J3697" s="3">
        <f>+2250709495717</f>
        <v>2250709495717</v>
      </c>
      <c r="K3697" s="1" t="s">
        <v>19</v>
      </c>
      <c r="L3697" s="4" t="s">
        <v>12514</v>
      </c>
    </row>
    <row r="3698">
      <c r="A3698" s="1" t="s">
        <v>12</v>
      </c>
      <c r="B3698" s="1" t="s">
        <v>12515</v>
      </c>
      <c r="C3698" s="1" t="s">
        <v>12512</v>
      </c>
      <c r="D3698" s="1" t="s">
        <v>12516</v>
      </c>
      <c r="E3698" s="2">
        <v>36950.0</v>
      </c>
      <c r="F3698" s="1" t="s">
        <v>16</v>
      </c>
      <c r="G3698" s="1" t="s">
        <v>82</v>
      </c>
      <c r="H3698" s="1" t="s">
        <v>18</v>
      </c>
      <c r="I3698" s="3">
        <f>+2250712149539</f>
        <v>2250712149539</v>
      </c>
      <c r="J3698" s="3">
        <f>+2250747817183</f>
        <v>2250747817183</v>
      </c>
      <c r="K3698" s="1" t="s">
        <v>19</v>
      </c>
      <c r="L3698" s="4" t="s">
        <v>12517</v>
      </c>
    </row>
    <row r="3699">
      <c r="A3699" s="1" t="s">
        <v>12</v>
      </c>
      <c r="B3699" s="1" t="s">
        <v>12518</v>
      </c>
      <c r="C3699" s="1" t="s">
        <v>12512</v>
      </c>
      <c r="D3699" s="1" t="s">
        <v>12519</v>
      </c>
      <c r="E3699" s="2">
        <v>37775.0</v>
      </c>
      <c r="F3699" s="1" t="s">
        <v>155</v>
      </c>
      <c r="G3699" s="1" t="s">
        <v>82</v>
      </c>
      <c r="H3699" s="1" t="s">
        <v>18</v>
      </c>
      <c r="I3699" s="3">
        <f>+2250711662614</f>
        <v>2250711662614</v>
      </c>
      <c r="J3699" s="3">
        <f>+2250757402014</f>
        <v>2250757402014</v>
      </c>
      <c r="K3699" s="1" t="s">
        <v>19</v>
      </c>
      <c r="L3699" s="4" t="s">
        <v>12520</v>
      </c>
    </row>
    <row r="3700">
      <c r="A3700" s="1" t="s">
        <v>12</v>
      </c>
      <c r="B3700" s="1" t="s">
        <v>12521</v>
      </c>
      <c r="C3700" s="1" t="s">
        <v>12522</v>
      </c>
      <c r="D3700" s="1" t="s">
        <v>12523</v>
      </c>
      <c r="E3700" s="5">
        <v>38341.0</v>
      </c>
      <c r="F3700" s="1" t="s">
        <v>62</v>
      </c>
      <c r="G3700" s="1" t="s">
        <v>17</v>
      </c>
      <c r="H3700" s="1" t="s">
        <v>18</v>
      </c>
      <c r="I3700" s="3">
        <f>+2250710290179</f>
        <v>2250710290179</v>
      </c>
      <c r="J3700" s="3">
        <f>+2250747450787</f>
        <v>2250747450787</v>
      </c>
      <c r="K3700" s="1" t="s">
        <v>19</v>
      </c>
      <c r="L3700" s="4" t="s">
        <v>12524</v>
      </c>
    </row>
    <row r="3701">
      <c r="A3701" s="1" t="s">
        <v>12</v>
      </c>
      <c r="B3701" s="1" t="s">
        <v>12525</v>
      </c>
      <c r="C3701" s="1" t="s">
        <v>12526</v>
      </c>
      <c r="D3701" s="1" t="s">
        <v>12527</v>
      </c>
      <c r="E3701" s="2">
        <v>38049.0</v>
      </c>
      <c r="F3701" s="1" t="s">
        <v>62</v>
      </c>
      <c r="G3701" s="1" t="s">
        <v>17</v>
      </c>
      <c r="H3701" s="1" t="s">
        <v>18</v>
      </c>
      <c r="I3701" s="3">
        <f>+2250564808186</f>
        <v>2250564808186</v>
      </c>
      <c r="J3701" s="3">
        <f>+2250506284646</f>
        <v>2250506284646</v>
      </c>
      <c r="K3701" s="1" t="s">
        <v>19</v>
      </c>
      <c r="L3701" s="4" t="s">
        <v>12528</v>
      </c>
    </row>
    <row r="3702">
      <c r="A3702" s="1" t="s">
        <v>12</v>
      </c>
      <c r="B3702" s="1" t="s">
        <v>12529</v>
      </c>
      <c r="C3702" s="1" t="s">
        <v>12530</v>
      </c>
      <c r="D3702" s="1" t="s">
        <v>12531</v>
      </c>
      <c r="E3702" s="2">
        <v>37424.0</v>
      </c>
      <c r="F3702" s="1" t="s">
        <v>16</v>
      </c>
      <c r="G3702" s="1" t="s">
        <v>17</v>
      </c>
      <c r="H3702" s="1" t="s">
        <v>18</v>
      </c>
      <c r="I3702" s="3">
        <f>+2250170483608</f>
        <v>2250170483608</v>
      </c>
      <c r="J3702" s="3">
        <f>+2250747765611</f>
        <v>2250747765611</v>
      </c>
      <c r="K3702" s="1" t="s">
        <v>19</v>
      </c>
      <c r="L3702" s="4" t="s">
        <v>12532</v>
      </c>
    </row>
    <row r="3703">
      <c r="A3703" s="1" t="s">
        <v>12</v>
      </c>
      <c r="B3703" s="1" t="s">
        <v>12533</v>
      </c>
      <c r="C3703" s="1" t="s">
        <v>12534</v>
      </c>
      <c r="D3703" s="1" t="s">
        <v>12535</v>
      </c>
      <c r="E3703" s="5">
        <v>37980.0</v>
      </c>
      <c r="F3703" s="1" t="s">
        <v>16</v>
      </c>
      <c r="G3703" s="1" t="s">
        <v>25</v>
      </c>
      <c r="H3703" s="1" t="s">
        <v>18</v>
      </c>
      <c r="I3703" s="3">
        <f>+2250565027559</f>
        <v>2250565027559</v>
      </c>
      <c r="J3703" s="3">
        <f>+2250505730840</f>
        <v>2250505730840</v>
      </c>
      <c r="K3703" s="1" t="s">
        <v>19</v>
      </c>
      <c r="L3703" s="4" t="s">
        <v>12536</v>
      </c>
    </row>
    <row r="3704">
      <c r="A3704" s="1" t="s">
        <v>12</v>
      </c>
      <c r="B3704" s="1" t="s">
        <v>12537</v>
      </c>
      <c r="C3704" s="1" t="s">
        <v>12538</v>
      </c>
      <c r="D3704" s="1" t="s">
        <v>12539</v>
      </c>
      <c r="E3704" s="2">
        <v>38124.0</v>
      </c>
      <c r="F3704" s="1" t="s">
        <v>138</v>
      </c>
      <c r="G3704" s="1" t="s">
        <v>76</v>
      </c>
      <c r="H3704" s="1" t="s">
        <v>32</v>
      </c>
      <c r="I3704" s="3">
        <f>+2250798277437</f>
        <v>2250798277437</v>
      </c>
      <c r="J3704" s="3">
        <f>+2250102022832</f>
        <v>2250102022832</v>
      </c>
      <c r="K3704" s="1" t="s">
        <v>19</v>
      </c>
      <c r="L3704" s="4" t="s">
        <v>12540</v>
      </c>
    </row>
    <row r="3705">
      <c r="A3705" s="1" t="s">
        <v>12</v>
      </c>
      <c r="B3705" s="1" t="s">
        <v>12541</v>
      </c>
      <c r="C3705" s="1" t="s">
        <v>12542</v>
      </c>
      <c r="D3705" s="1" t="s">
        <v>12543</v>
      </c>
      <c r="E3705" s="2">
        <v>37669.0</v>
      </c>
      <c r="F3705" s="1" t="s">
        <v>75</v>
      </c>
      <c r="G3705" s="1" t="s">
        <v>31</v>
      </c>
      <c r="H3705" s="1" t="s">
        <v>32</v>
      </c>
      <c r="I3705" s="3">
        <f>+2250709813968</f>
        <v>2250709813968</v>
      </c>
      <c r="J3705" s="3">
        <f>+2250556524951</f>
        <v>2250556524951</v>
      </c>
      <c r="K3705" s="1" t="s">
        <v>19</v>
      </c>
      <c r="L3705" s="4" t="s">
        <v>12544</v>
      </c>
    </row>
    <row r="3706">
      <c r="A3706" s="1" t="s">
        <v>12</v>
      </c>
      <c r="B3706" s="1" t="s">
        <v>12545</v>
      </c>
      <c r="C3706" s="1" t="s">
        <v>12546</v>
      </c>
      <c r="D3706" s="1" t="s">
        <v>12547</v>
      </c>
      <c r="E3706" s="2">
        <v>37200.0</v>
      </c>
      <c r="F3706" s="1" t="s">
        <v>101</v>
      </c>
      <c r="G3706" s="1" t="s">
        <v>76</v>
      </c>
      <c r="H3706" s="1" t="s">
        <v>32</v>
      </c>
      <c r="I3706" s="3">
        <f>+2250153835108</f>
        <v>2250153835108</v>
      </c>
      <c r="J3706" s="3">
        <f>+2250778133810</f>
        <v>2250778133810</v>
      </c>
      <c r="K3706" s="1" t="s">
        <v>19</v>
      </c>
      <c r="L3706" s="4" t="s">
        <v>12548</v>
      </c>
    </row>
    <row r="3707">
      <c r="A3707" s="1" t="s">
        <v>12</v>
      </c>
      <c r="B3707" s="1" t="s">
        <v>12549</v>
      </c>
      <c r="C3707" s="1" t="s">
        <v>12550</v>
      </c>
      <c r="D3707" s="1" t="s">
        <v>12551</v>
      </c>
      <c r="E3707" s="2">
        <v>37034.0</v>
      </c>
      <c r="F3707" s="1" t="s">
        <v>62</v>
      </c>
      <c r="G3707" s="1" t="s">
        <v>17</v>
      </c>
      <c r="H3707" s="1" t="s">
        <v>18</v>
      </c>
      <c r="I3707" s="3">
        <f>+2250759043428</f>
        <v>2250759043428</v>
      </c>
      <c r="J3707" s="3">
        <f>+2250747765553</f>
        <v>2250747765553</v>
      </c>
      <c r="K3707" s="1" t="s">
        <v>19</v>
      </c>
      <c r="L3707" s="4" t="s">
        <v>12552</v>
      </c>
    </row>
    <row r="3708">
      <c r="A3708" s="1" t="s">
        <v>12</v>
      </c>
      <c r="B3708" s="1" t="s">
        <v>12553</v>
      </c>
      <c r="C3708" s="1" t="s">
        <v>12554</v>
      </c>
      <c r="D3708" s="1" t="s">
        <v>12555</v>
      </c>
      <c r="E3708" s="5">
        <v>38310.0</v>
      </c>
      <c r="F3708" s="1" t="s">
        <v>53</v>
      </c>
      <c r="G3708" s="1" t="s">
        <v>25</v>
      </c>
      <c r="H3708" s="1" t="s">
        <v>18</v>
      </c>
      <c r="I3708" s="3">
        <f>+2250594661864</f>
        <v>2250594661864</v>
      </c>
      <c r="J3708" s="3">
        <f>+2250140755193</f>
        <v>2250140755193</v>
      </c>
      <c r="K3708" s="1" t="s">
        <v>19</v>
      </c>
      <c r="L3708" s="4" t="s">
        <v>12556</v>
      </c>
    </row>
    <row r="3709">
      <c r="A3709" s="1" t="s">
        <v>12</v>
      </c>
      <c r="B3709" s="1" t="s">
        <v>12557</v>
      </c>
      <c r="C3709" s="1" t="s">
        <v>12558</v>
      </c>
      <c r="D3709" s="1" t="s">
        <v>12559</v>
      </c>
      <c r="E3709" s="2">
        <v>37288.0</v>
      </c>
      <c r="F3709" s="1" t="s">
        <v>53</v>
      </c>
      <c r="G3709" s="1" t="s">
        <v>25</v>
      </c>
      <c r="H3709" s="1" t="s">
        <v>18</v>
      </c>
      <c r="I3709" s="3">
        <f>+2250758779356</f>
        <v>2250758779356</v>
      </c>
      <c r="J3709" s="3">
        <f>+2250708349926</f>
        <v>2250708349926</v>
      </c>
      <c r="K3709" s="1" t="s">
        <v>19</v>
      </c>
      <c r="L3709" s="4" t="s">
        <v>12560</v>
      </c>
    </row>
    <row r="3710">
      <c r="A3710" s="1" t="s">
        <v>12</v>
      </c>
      <c r="B3710" s="1" t="s">
        <v>12561</v>
      </c>
      <c r="C3710" s="1" t="s">
        <v>12562</v>
      </c>
      <c r="D3710" s="1" t="s">
        <v>12563</v>
      </c>
      <c r="E3710" s="2">
        <v>38896.0</v>
      </c>
      <c r="F3710" s="1" t="s">
        <v>167</v>
      </c>
      <c r="G3710" s="1" t="s">
        <v>25</v>
      </c>
      <c r="H3710" s="1" t="s">
        <v>18</v>
      </c>
      <c r="I3710" s="3">
        <f>+2250797928739</f>
        <v>2250797928739</v>
      </c>
      <c r="J3710" s="3">
        <f>+2250747049398</f>
        <v>2250747049398</v>
      </c>
      <c r="K3710" s="1" t="s">
        <v>19</v>
      </c>
      <c r="L3710" s="4" t="s">
        <v>12564</v>
      </c>
    </row>
    <row r="3711">
      <c r="A3711" s="1" t="s">
        <v>12</v>
      </c>
      <c r="B3711" s="1" t="s">
        <v>12565</v>
      </c>
      <c r="C3711" s="1" t="s">
        <v>12566</v>
      </c>
      <c r="D3711" s="1" t="s">
        <v>12567</v>
      </c>
      <c r="E3711" s="5">
        <v>38303.0</v>
      </c>
      <c r="F3711" s="1" t="s">
        <v>16</v>
      </c>
      <c r="G3711" s="1" t="s">
        <v>25</v>
      </c>
      <c r="H3711" s="1" t="s">
        <v>18</v>
      </c>
      <c r="I3711" s="3">
        <f>+2250759352019</f>
        <v>2250759352019</v>
      </c>
      <c r="J3711" s="3">
        <f>+2250707592986</f>
        <v>2250707592986</v>
      </c>
      <c r="K3711" s="1" t="s">
        <v>19</v>
      </c>
      <c r="L3711" s="4" t="s">
        <v>12568</v>
      </c>
    </row>
    <row r="3712">
      <c r="A3712" s="1" t="s">
        <v>12</v>
      </c>
      <c r="B3712" s="1" t="s">
        <v>12569</v>
      </c>
      <c r="C3712" s="1" t="s">
        <v>12570</v>
      </c>
      <c r="D3712" s="1" t="s">
        <v>12571</v>
      </c>
      <c r="E3712" s="2">
        <v>38695.0</v>
      </c>
      <c r="F3712" s="1" t="s">
        <v>62</v>
      </c>
      <c r="G3712" s="1" t="s">
        <v>17</v>
      </c>
      <c r="H3712" s="1" t="s">
        <v>18</v>
      </c>
      <c r="I3712" s="3">
        <f>+2250554296022</f>
        <v>2250554296022</v>
      </c>
      <c r="J3712" s="3">
        <f>+2250101113085</f>
        <v>2250101113085</v>
      </c>
      <c r="K3712" s="1" t="s">
        <v>19</v>
      </c>
      <c r="L3712" s="4" t="s">
        <v>12572</v>
      </c>
    </row>
    <row r="3713">
      <c r="A3713" s="1" t="s">
        <v>12</v>
      </c>
      <c r="B3713" s="1" t="s">
        <v>12573</v>
      </c>
      <c r="C3713" s="1" t="s">
        <v>12574</v>
      </c>
      <c r="D3713" s="1" t="s">
        <v>12575</v>
      </c>
      <c r="E3713" s="2">
        <v>37518.0</v>
      </c>
      <c r="F3713" s="1" t="s">
        <v>87</v>
      </c>
      <c r="G3713" s="1" t="s">
        <v>76</v>
      </c>
      <c r="H3713" s="1" t="s">
        <v>32</v>
      </c>
      <c r="I3713" s="3">
        <f>+2250171326771</f>
        <v>2250171326771</v>
      </c>
      <c r="J3713" s="3">
        <f>+2250160243160</f>
        <v>2250160243160</v>
      </c>
      <c r="K3713" s="1" t="s">
        <v>19</v>
      </c>
      <c r="L3713" s="4" t="s">
        <v>12576</v>
      </c>
    </row>
    <row r="3714">
      <c r="A3714" s="1" t="s">
        <v>12</v>
      </c>
      <c r="B3714" s="1" t="s">
        <v>12577</v>
      </c>
      <c r="C3714" s="1" t="s">
        <v>12578</v>
      </c>
      <c r="D3714" s="1" t="s">
        <v>12579</v>
      </c>
      <c r="E3714" s="2">
        <v>37757.0</v>
      </c>
      <c r="F3714" s="1" t="s">
        <v>62</v>
      </c>
      <c r="G3714" s="1" t="s">
        <v>17</v>
      </c>
      <c r="H3714" s="1" t="s">
        <v>18</v>
      </c>
      <c r="I3714" s="3">
        <f>+2250798507857</f>
        <v>2250798507857</v>
      </c>
      <c r="J3714" s="3">
        <f>+2250708557726</f>
        <v>2250708557726</v>
      </c>
      <c r="K3714" s="1" t="s">
        <v>19</v>
      </c>
      <c r="L3714" s="4" t="s">
        <v>12580</v>
      </c>
    </row>
    <row r="3715">
      <c r="A3715" s="1" t="s">
        <v>12</v>
      </c>
      <c r="B3715" s="1" t="s">
        <v>12581</v>
      </c>
      <c r="C3715" s="1" t="s">
        <v>12582</v>
      </c>
      <c r="D3715" s="1" t="s">
        <v>12583</v>
      </c>
      <c r="E3715" s="2">
        <v>36892.0</v>
      </c>
      <c r="F3715" s="1" t="s">
        <v>92</v>
      </c>
      <c r="G3715" s="1" t="s">
        <v>31</v>
      </c>
      <c r="H3715" s="1" t="s">
        <v>32</v>
      </c>
      <c r="I3715" s="3">
        <f>+2250101084877</f>
        <v>2250101084877</v>
      </c>
      <c r="J3715" s="3">
        <f>+2250102092216</f>
        <v>2250102092216</v>
      </c>
      <c r="K3715" s="1" t="s">
        <v>19</v>
      </c>
      <c r="L3715" s="4" t="s">
        <v>12584</v>
      </c>
    </row>
    <row r="3716">
      <c r="A3716" s="1" t="s">
        <v>12</v>
      </c>
      <c r="B3716" s="1" t="s">
        <v>12585</v>
      </c>
      <c r="C3716" s="1" t="s">
        <v>12586</v>
      </c>
      <c r="D3716" s="1" t="s">
        <v>12587</v>
      </c>
      <c r="E3716" s="5">
        <v>37925.0</v>
      </c>
      <c r="F3716" s="1" t="s">
        <v>75</v>
      </c>
      <c r="G3716" s="1" t="s">
        <v>31</v>
      </c>
      <c r="H3716" s="1" t="s">
        <v>32</v>
      </c>
      <c r="I3716" s="3">
        <f>+2250502600363</f>
        <v>2250502600363</v>
      </c>
      <c r="J3716" s="3">
        <f>+2250556745498</f>
        <v>2250556745498</v>
      </c>
      <c r="K3716" s="1" t="s">
        <v>19</v>
      </c>
      <c r="L3716" s="4" t="s">
        <v>12588</v>
      </c>
    </row>
    <row r="3717">
      <c r="A3717" s="1" t="s">
        <v>12</v>
      </c>
      <c r="B3717" s="1" t="s">
        <v>12589</v>
      </c>
      <c r="C3717" s="1" t="s">
        <v>12586</v>
      </c>
      <c r="D3717" s="1" t="s">
        <v>12590</v>
      </c>
      <c r="E3717" s="2">
        <v>37931.0</v>
      </c>
      <c r="F3717" s="1" t="s">
        <v>24</v>
      </c>
      <c r="G3717" s="1" t="s">
        <v>17</v>
      </c>
      <c r="H3717" s="1" t="s">
        <v>18</v>
      </c>
      <c r="I3717" s="3">
        <f>+2250584780103</f>
        <v>2250584780103</v>
      </c>
      <c r="J3717" s="3">
        <f>+2250102347455</f>
        <v>2250102347455</v>
      </c>
      <c r="K3717" s="1" t="s">
        <v>19</v>
      </c>
      <c r="L3717" s="4" t="s">
        <v>12591</v>
      </c>
    </row>
    <row r="3718">
      <c r="A3718" s="1" t="s">
        <v>12</v>
      </c>
      <c r="B3718" s="1" t="s">
        <v>12592</v>
      </c>
      <c r="C3718" s="1" t="s">
        <v>12593</v>
      </c>
      <c r="D3718" s="1" t="s">
        <v>12594</v>
      </c>
      <c r="E3718" s="2">
        <v>37371.0</v>
      </c>
      <c r="F3718" s="1" t="s">
        <v>182</v>
      </c>
      <c r="G3718" s="1" t="s">
        <v>82</v>
      </c>
      <c r="H3718" s="1" t="s">
        <v>18</v>
      </c>
      <c r="I3718" s="3">
        <f>+2250789818184</f>
        <v>2250789818184</v>
      </c>
      <c r="J3718" s="3">
        <f>+2250140290038</f>
        <v>2250140290038</v>
      </c>
      <c r="K3718" s="1" t="s">
        <v>19</v>
      </c>
      <c r="L3718" s="4" t="s">
        <v>12595</v>
      </c>
    </row>
    <row r="3719">
      <c r="A3719" s="1" t="s">
        <v>12</v>
      </c>
      <c r="B3719" s="1" t="s">
        <v>12596</v>
      </c>
      <c r="C3719" s="1" t="s">
        <v>12597</v>
      </c>
      <c r="D3719" s="1" t="s">
        <v>12598</v>
      </c>
      <c r="E3719" s="2">
        <v>38500.0</v>
      </c>
      <c r="F3719" s="1" t="s">
        <v>75</v>
      </c>
      <c r="G3719" s="1" t="s">
        <v>76</v>
      </c>
      <c r="H3719" s="1" t="s">
        <v>32</v>
      </c>
      <c r="I3719" s="3">
        <f>+2250769830459</f>
        <v>2250769830459</v>
      </c>
      <c r="J3719" s="3">
        <f>+2250749474828</f>
        <v>2250749474828</v>
      </c>
      <c r="K3719" s="1" t="s">
        <v>19</v>
      </c>
      <c r="L3719" s="4" t="s">
        <v>12599</v>
      </c>
    </row>
    <row r="3720">
      <c r="A3720" s="1" t="s">
        <v>12</v>
      </c>
      <c r="B3720" s="1" t="s">
        <v>12600</v>
      </c>
      <c r="C3720" s="1" t="s">
        <v>12601</v>
      </c>
      <c r="D3720" s="1" t="s">
        <v>2734</v>
      </c>
      <c r="E3720" s="2">
        <v>37987.0</v>
      </c>
      <c r="F3720" s="1" t="s">
        <v>48</v>
      </c>
      <c r="G3720" s="1" t="s">
        <v>76</v>
      </c>
      <c r="H3720" s="1" t="s">
        <v>32</v>
      </c>
      <c r="I3720" s="3">
        <f>+2250173200318</f>
        <v>2250173200318</v>
      </c>
      <c r="J3720" s="3">
        <f>+2250707131810</f>
        <v>2250707131810</v>
      </c>
      <c r="K3720" s="1" t="s">
        <v>19</v>
      </c>
      <c r="L3720" s="4" t="s">
        <v>12602</v>
      </c>
    </row>
    <row r="3721">
      <c r="A3721" s="1" t="s">
        <v>12</v>
      </c>
      <c r="B3721" s="1" t="s">
        <v>12603</v>
      </c>
      <c r="C3721" s="1" t="s">
        <v>12604</v>
      </c>
      <c r="D3721" s="1" t="s">
        <v>12605</v>
      </c>
      <c r="E3721" s="2">
        <v>38207.0</v>
      </c>
      <c r="F3721" s="1" t="s">
        <v>16</v>
      </c>
      <c r="G3721" s="1" t="s">
        <v>17</v>
      </c>
      <c r="H3721" s="1" t="s">
        <v>18</v>
      </c>
      <c r="I3721" s="3">
        <f>+2250779168745</f>
        <v>2250779168745</v>
      </c>
      <c r="J3721" s="3">
        <f>+2250708291416</f>
        <v>2250708291416</v>
      </c>
      <c r="K3721" s="1" t="s">
        <v>19</v>
      </c>
      <c r="L3721" s="4" t="s">
        <v>12606</v>
      </c>
    </row>
    <row r="3722">
      <c r="A3722" s="1" t="s">
        <v>12</v>
      </c>
      <c r="B3722" s="1" t="s">
        <v>12607</v>
      </c>
      <c r="C3722" s="1" t="s">
        <v>12608</v>
      </c>
      <c r="D3722" s="1" t="s">
        <v>12609</v>
      </c>
      <c r="E3722" s="2">
        <v>36370.0</v>
      </c>
      <c r="F3722" s="1" t="s">
        <v>48</v>
      </c>
      <c r="G3722" s="1" t="s">
        <v>31</v>
      </c>
      <c r="H3722" s="1" t="s">
        <v>32</v>
      </c>
      <c r="I3722" s="3">
        <f>+2250141558040</f>
        <v>2250141558040</v>
      </c>
      <c r="J3722" s="3">
        <f>+2250505079360</f>
        <v>2250505079360</v>
      </c>
      <c r="K3722" s="1" t="s">
        <v>19</v>
      </c>
      <c r="L3722" s="4" t="s">
        <v>12610</v>
      </c>
    </row>
    <row r="3723">
      <c r="A3723" s="1" t="s">
        <v>12</v>
      </c>
      <c r="B3723" s="1" t="s">
        <v>12611</v>
      </c>
      <c r="C3723" s="1" t="s">
        <v>12612</v>
      </c>
      <c r="D3723" s="1" t="s">
        <v>1756</v>
      </c>
      <c r="E3723" s="2">
        <v>36969.0</v>
      </c>
      <c r="F3723" s="1" t="s">
        <v>62</v>
      </c>
      <c r="G3723" s="1" t="s">
        <v>17</v>
      </c>
      <c r="H3723" s="1" t="s">
        <v>18</v>
      </c>
      <c r="I3723" s="3">
        <f>+2250153006425</f>
        <v>2250153006425</v>
      </c>
      <c r="J3723" s="3">
        <f>+2250501396425</f>
        <v>2250501396425</v>
      </c>
      <c r="K3723" s="1" t="s">
        <v>19</v>
      </c>
      <c r="L3723" s="4" t="s">
        <v>12613</v>
      </c>
    </row>
    <row r="3724">
      <c r="A3724" s="1" t="s">
        <v>12</v>
      </c>
      <c r="B3724" s="1" t="s">
        <v>12614</v>
      </c>
      <c r="C3724" s="1" t="s">
        <v>12615</v>
      </c>
      <c r="D3724" s="1" t="s">
        <v>12616</v>
      </c>
      <c r="E3724" s="2">
        <v>38363.0</v>
      </c>
      <c r="F3724" s="1" t="s">
        <v>48</v>
      </c>
      <c r="G3724" s="1" t="s">
        <v>76</v>
      </c>
      <c r="H3724" s="1" t="s">
        <v>32</v>
      </c>
      <c r="I3724" s="3">
        <f>+2250153554723</f>
        <v>2250153554723</v>
      </c>
      <c r="J3724" s="3">
        <f>+2250757803380</f>
        <v>2250757803380</v>
      </c>
      <c r="K3724" s="1" t="s">
        <v>19</v>
      </c>
      <c r="L3724" s="4" t="s">
        <v>12617</v>
      </c>
    </row>
    <row r="3725">
      <c r="A3725" s="1" t="s">
        <v>12</v>
      </c>
      <c r="B3725" s="1" t="s">
        <v>12618</v>
      </c>
      <c r="C3725" s="1" t="s">
        <v>12619</v>
      </c>
      <c r="D3725" s="1" t="s">
        <v>12620</v>
      </c>
      <c r="E3725" s="5">
        <v>37176.0</v>
      </c>
      <c r="F3725" s="1" t="s">
        <v>53</v>
      </c>
      <c r="G3725" s="1" t="s">
        <v>17</v>
      </c>
      <c r="H3725" s="1" t="s">
        <v>18</v>
      </c>
      <c r="I3725" s="3">
        <f>+2250564248861</f>
        <v>2250564248861</v>
      </c>
      <c r="J3725" s="3">
        <f>+2250778993012</f>
        <v>2250778993012</v>
      </c>
      <c r="K3725" s="1" t="s">
        <v>19</v>
      </c>
      <c r="L3725" s="4" t="s">
        <v>12621</v>
      </c>
    </row>
    <row r="3726">
      <c r="A3726" s="1" t="s">
        <v>12</v>
      </c>
      <c r="B3726" s="1" t="s">
        <v>12622</v>
      </c>
      <c r="C3726" s="1" t="s">
        <v>12623</v>
      </c>
      <c r="D3726" s="1" t="s">
        <v>12624</v>
      </c>
      <c r="E3726" s="2">
        <v>36764.0</v>
      </c>
      <c r="F3726" s="1" t="s">
        <v>155</v>
      </c>
      <c r="G3726" s="1" t="s">
        <v>31</v>
      </c>
      <c r="H3726" s="1" t="s">
        <v>32</v>
      </c>
      <c r="I3726" s="3">
        <f>+2250142752824</f>
        <v>2250142752824</v>
      </c>
      <c r="J3726" s="3">
        <f>+2250505812030</f>
        <v>2250505812030</v>
      </c>
      <c r="K3726" s="1" t="s">
        <v>19</v>
      </c>
      <c r="L3726" s="4" t="s">
        <v>12625</v>
      </c>
    </row>
    <row r="3727">
      <c r="A3727" s="1" t="s">
        <v>12</v>
      </c>
      <c r="B3727" s="1" t="s">
        <v>12626</v>
      </c>
      <c r="C3727" s="1" t="s">
        <v>12627</v>
      </c>
      <c r="D3727" s="1" t="s">
        <v>12628</v>
      </c>
      <c r="E3727" s="2">
        <v>37697.0</v>
      </c>
      <c r="F3727" s="1" t="s">
        <v>62</v>
      </c>
      <c r="G3727" s="1" t="s">
        <v>17</v>
      </c>
      <c r="H3727" s="1" t="s">
        <v>18</v>
      </c>
      <c r="I3727" s="3">
        <f>+2250759991680</f>
        <v>2250759991680</v>
      </c>
      <c r="J3727" s="3">
        <f>+2250758000318</f>
        <v>2250758000318</v>
      </c>
      <c r="K3727" s="1" t="s">
        <v>19</v>
      </c>
      <c r="L3727" s="4" t="s">
        <v>12629</v>
      </c>
    </row>
    <row r="3728">
      <c r="A3728" s="1" t="s">
        <v>12</v>
      </c>
      <c r="B3728" s="1" t="s">
        <v>12630</v>
      </c>
      <c r="C3728" s="1" t="s">
        <v>12631</v>
      </c>
      <c r="D3728" s="1" t="s">
        <v>12632</v>
      </c>
      <c r="E3728" s="2">
        <v>37757.0</v>
      </c>
      <c r="F3728" s="1" t="s">
        <v>48</v>
      </c>
      <c r="G3728" s="1" t="s">
        <v>31</v>
      </c>
      <c r="H3728" s="1" t="s">
        <v>32</v>
      </c>
      <c r="I3728" s="3">
        <f>+2250140710405</f>
        <v>2250140710405</v>
      </c>
      <c r="J3728" s="3">
        <f>+2250505042484</f>
        <v>2250505042484</v>
      </c>
      <c r="K3728" s="1" t="s">
        <v>19</v>
      </c>
      <c r="L3728" s="4" t="s">
        <v>12633</v>
      </c>
    </row>
    <row r="3729">
      <c r="A3729" s="1" t="s">
        <v>12</v>
      </c>
      <c r="B3729" s="1" t="s">
        <v>12634</v>
      </c>
      <c r="C3729" s="1" t="s">
        <v>12635</v>
      </c>
      <c r="D3729" s="1" t="s">
        <v>12636</v>
      </c>
      <c r="E3729" s="5">
        <v>37974.0</v>
      </c>
      <c r="F3729" s="1" t="s">
        <v>70</v>
      </c>
      <c r="G3729" s="1" t="s">
        <v>76</v>
      </c>
      <c r="H3729" s="1" t="s">
        <v>32</v>
      </c>
      <c r="I3729" s="3">
        <f>+2250711472606</f>
        <v>2250711472606</v>
      </c>
      <c r="J3729" s="3">
        <f>+2250143334690</f>
        <v>2250143334690</v>
      </c>
      <c r="K3729" s="1" t="s">
        <v>19</v>
      </c>
      <c r="L3729" s="4" t="s">
        <v>12637</v>
      </c>
    </row>
    <row r="3730">
      <c r="A3730" s="1" t="s">
        <v>12</v>
      </c>
      <c r="B3730" s="1" t="s">
        <v>12638</v>
      </c>
      <c r="C3730" s="1" t="s">
        <v>12639</v>
      </c>
      <c r="D3730" s="1" t="s">
        <v>12640</v>
      </c>
      <c r="E3730" s="5">
        <v>38342.0</v>
      </c>
      <c r="F3730" s="1" t="s">
        <v>147</v>
      </c>
      <c r="G3730" s="1" t="s">
        <v>25</v>
      </c>
      <c r="H3730" s="1" t="s">
        <v>18</v>
      </c>
      <c r="I3730" s="3">
        <f>+2250506493803</f>
        <v>2250506493803</v>
      </c>
      <c r="J3730" s="3">
        <f>+2250769500458</f>
        <v>2250769500458</v>
      </c>
      <c r="K3730" s="1" t="s">
        <v>19</v>
      </c>
      <c r="L3730" s="4" t="s">
        <v>12641</v>
      </c>
    </row>
    <row r="3731">
      <c r="A3731" s="1" t="s">
        <v>12</v>
      </c>
      <c r="B3731" s="1" t="s">
        <v>12642</v>
      </c>
      <c r="C3731" s="1" t="s">
        <v>12643</v>
      </c>
      <c r="D3731" s="1" t="s">
        <v>12644</v>
      </c>
      <c r="E3731" s="2">
        <v>38067.0</v>
      </c>
      <c r="F3731" s="1" t="s">
        <v>62</v>
      </c>
      <c r="G3731" s="1" t="s">
        <v>17</v>
      </c>
      <c r="H3731" s="1" t="s">
        <v>18</v>
      </c>
      <c r="I3731" s="3">
        <f>+2250749031075</f>
        <v>2250749031075</v>
      </c>
      <c r="J3731" s="3">
        <f>+2250707502706</f>
        <v>2250707502706</v>
      </c>
      <c r="K3731" s="1" t="s">
        <v>19</v>
      </c>
      <c r="L3731" s="4" t="s">
        <v>12645</v>
      </c>
    </row>
    <row r="3732">
      <c r="A3732" s="1" t="s">
        <v>12</v>
      </c>
      <c r="B3732" s="1" t="s">
        <v>12646</v>
      </c>
      <c r="C3732" s="1" t="s">
        <v>12647</v>
      </c>
      <c r="D3732" s="1" t="s">
        <v>12648</v>
      </c>
      <c r="E3732" s="2">
        <v>36990.0</v>
      </c>
      <c r="F3732" s="1" t="s">
        <v>92</v>
      </c>
      <c r="G3732" s="1" t="s">
        <v>31</v>
      </c>
      <c r="H3732" s="1" t="s">
        <v>32</v>
      </c>
      <c r="I3732" s="3">
        <f>+2250102231164</f>
        <v>2250102231164</v>
      </c>
      <c r="J3732" s="3">
        <f t="shared" ref="J3732:J3733" si="123">+2250545522210</f>
        <v>2250545522210</v>
      </c>
      <c r="K3732" s="1" t="s">
        <v>19</v>
      </c>
      <c r="L3732" s="4" t="s">
        <v>12649</v>
      </c>
    </row>
    <row r="3733">
      <c r="A3733" s="1" t="s">
        <v>12</v>
      </c>
      <c r="B3733" s="1" t="s">
        <v>12650</v>
      </c>
      <c r="C3733" s="1" t="s">
        <v>12647</v>
      </c>
      <c r="D3733" s="1" t="s">
        <v>12651</v>
      </c>
      <c r="E3733" s="2">
        <v>36990.0</v>
      </c>
      <c r="F3733" s="1" t="s">
        <v>92</v>
      </c>
      <c r="G3733" s="1" t="s">
        <v>31</v>
      </c>
      <c r="H3733" s="1" t="s">
        <v>32</v>
      </c>
      <c r="I3733" s="3">
        <f>+22501022311</f>
        <v>22501022311</v>
      </c>
      <c r="J3733" s="3">
        <f t="shared" si="123"/>
        <v>2250545522210</v>
      </c>
      <c r="K3733" s="1" t="s">
        <v>19</v>
      </c>
      <c r="L3733" s="4" t="s">
        <v>12652</v>
      </c>
    </row>
    <row r="3734">
      <c r="A3734" s="1" t="s">
        <v>12</v>
      </c>
      <c r="B3734" s="1" t="s">
        <v>12653</v>
      </c>
      <c r="C3734" s="1" t="s">
        <v>12654</v>
      </c>
      <c r="D3734" s="1" t="s">
        <v>12655</v>
      </c>
      <c r="E3734" s="5">
        <v>38345.0</v>
      </c>
      <c r="F3734" s="1" t="s">
        <v>62</v>
      </c>
      <c r="G3734" s="1" t="s">
        <v>17</v>
      </c>
      <c r="H3734" s="1" t="s">
        <v>18</v>
      </c>
      <c r="I3734" s="3">
        <f>+2250143067888</f>
        <v>2250143067888</v>
      </c>
      <c r="J3734" s="3">
        <f>+2250101198776</f>
        <v>2250101198776</v>
      </c>
      <c r="K3734" s="1" t="s">
        <v>19</v>
      </c>
      <c r="L3734" s="4" t="s">
        <v>12656</v>
      </c>
    </row>
    <row r="3735">
      <c r="A3735" s="1" t="s">
        <v>12</v>
      </c>
      <c r="B3735" s="1" t="s">
        <v>12657</v>
      </c>
      <c r="C3735" s="1" t="s">
        <v>12658</v>
      </c>
      <c r="D3735" s="1" t="s">
        <v>12659</v>
      </c>
      <c r="E3735" s="2">
        <v>37747.0</v>
      </c>
      <c r="F3735" s="1" t="s">
        <v>53</v>
      </c>
      <c r="G3735" s="1" t="s">
        <v>25</v>
      </c>
      <c r="H3735" s="1" t="s">
        <v>18</v>
      </c>
      <c r="I3735" s="3">
        <f>+2250788935465</f>
        <v>2250788935465</v>
      </c>
      <c r="J3735" s="3">
        <f>+2250505808879</f>
        <v>2250505808879</v>
      </c>
      <c r="K3735" s="1" t="s">
        <v>19</v>
      </c>
      <c r="L3735" s="4" t="s">
        <v>12660</v>
      </c>
    </row>
    <row r="3736">
      <c r="A3736" s="1" t="s">
        <v>12</v>
      </c>
      <c r="B3736" s="1" t="s">
        <v>12661</v>
      </c>
      <c r="C3736" s="1" t="s">
        <v>12658</v>
      </c>
      <c r="D3736" s="1" t="s">
        <v>12662</v>
      </c>
      <c r="E3736" s="2">
        <v>36657.0</v>
      </c>
      <c r="F3736" s="1" t="s">
        <v>1219</v>
      </c>
      <c r="G3736" s="1" t="s">
        <v>82</v>
      </c>
      <c r="H3736" s="1" t="s">
        <v>18</v>
      </c>
      <c r="I3736" s="3">
        <f>+2250501515297</f>
        <v>2250501515297</v>
      </c>
      <c r="J3736" s="3">
        <f>+2250101201848</f>
        <v>2250101201848</v>
      </c>
      <c r="K3736" s="1" t="s">
        <v>19</v>
      </c>
      <c r="L3736" s="4" t="s">
        <v>12663</v>
      </c>
    </row>
    <row r="3737">
      <c r="A3737" s="1" t="s">
        <v>12</v>
      </c>
      <c r="B3737" s="1" t="s">
        <v>12664</v>
      </c>
      <c r="C3737" s="1" t="s">
        <v>12665</v>
      </c>
      <c r="D3737" s="1" t="s">
        <v>12666</v>
      </c>
      <c r="E3737" s="2">
        <v>37100.0</v>
      </c>
      <c r="F3737" s="1" t="s">
        <v>16</v>
      </c>
      <c r="G3737" s="1" t="s">
        <v>17</v>
      </c>
      <c r="H3737" s="1" t="s">
        <v>18</v>
      </c>
      <c r="I3737" s="3">
        <f t="shared" ref="I3737:J3737" si="124">+2250797461429</f>
        <v>2250797461429</v>
      </c>
      <c r="J3737" s="3">
        <f t="shared" si="124"/>
        <v>2250797461429</v>
      </c>
      <c r="K3737" s="1" t="s">
        <v>19</v>
      </c>
      <c r="L3737" s="4" t="s">
        <v>12667</v>
      </c>
    </row>
    <row r="3738">
      <c r="A3738" s="1" t="s">
        <v>12</v>
      </c>
      <c r="B3738" s="1" t="s">
        <v>12668</v>
      </c>
      <c r="C3738" s="1" t="s">
        <v>12669</v>
      </c>
      <c r="D3738" s="1" t="s">
        <v>12670</v>
      </c>
      <c r="E3738" s="2">
        <v>37173.0</v>
      </c>
      <c r="F3738" s="1" t="s">
        <v>30</v>
      </c>
      <c r="G3738" s="1" t="s">
        <v>31</v>
      </c>
      <c r="H3738" s="1" t="s">
        <v>32</v>
      </c>
      <c r="I3738" s="3">
        <f>+2250701000470</f>
        <v>2250701000470</v>
      </c>
      <c r="J3738" s="3">
        <f>+2250748110454</f>
        <v>2250748110454</v>
      </c>
      <c r="K3738" s="1" t="s">
        <v>19</v>
      </c>
      <c r="L3738" s="4" t="s">
        <v>12671</v>
      </c>
    </row>
    <row r="3739">
      <c r="A3739" s="1" t="s">
        <v>12</v>
      </c>
      <c r="B3739" s="1" t="s">
        <v>12672</v>
      </c>
      <c r="C3739" s="1" t="s">
        <v>12673</v>
      </c>
      <c r="D3739" s="1" t="s">
        <v>12674</v>
      </c>
      <c r="E3739" s="2">
        <v>37626.0</v>
      </c>
      <c r="F3739" s="1" t="s">
        <v>53</v>
      </c>
      <c r="G3739" s="1" t="s">
        <v>17</v>
      </c>
      <c r="H3739" s="1" t="s">
        <v>18</v>
      </c>
      <c r="I3739" s="3">
        <f t="shared" ref="I3739:J3739" si="125">+2250788526730</f>
        <v>2250788526730</v>
      </c>
      <c r="J3739" s="3">
        <f t="shared" si="125"/>
        <v>2250788526730</v>
      </c>
      <c r="K3739" s="1" t="s">
        <v>19</v>
      </c>
      <c r="L3739" s="4" t="s">
        <v>12675</v>
      </c>
    </row>
    <row r="3740">
      <c r="A3740" s="1" t="s">
        <v>12</v>
      </c>
      <c r="B3740" s="1" t="s">
        <v>12676</v>
      </c>
      <c r="C3740" s="1" t="s">
        <v>12677</v>
      </c>
      <c r="D3740" s="1" t="s">
        <v>12678</v>
      </c>
      <c r="E3740" s="2">
        <v>38248.0</v>
      </c>
      <c r="F3740" s="1" t="s">
        <v>16</v>
      </c>
      <c r="G3740" s="1" t="s">
        <v>17</v>
      </c>
      <c r="H3740" s="1" t="s">
        <v>18</v>
      </c>
      <c r="I3740" s="3">
        <f>+2250788192464</f>
        <v>2250788192464</v>
      </c>
      <c r="J3740" s="3">
        <f>+2250707773451</f>
        <v>2250707773451</v>
      </c>
      <c r="K3740" s="1" t="s">
        <v>19</v>
      </c>
      <c r="L3740" s="4" t="s">
        <v>12679</v>
      </c>
    </row>
    <row r="3741">
      <c r="A3741" s="1" t="s">
        <v>12</v>
      </c>
      <c r="B3741" s="1" t="s">
        <v>12680</v>
      </c>
      <c r="C3741" s="1" t="s">
        <v>12681</v>
      </c>
      <c r="D3741" s="1" t="s">
        <v>12682</v>
      </c>
      <c r="E3741" s="5">
        <v>37914.0</v>
      </c>
      <c r="F3741" s="1" t="s">
        <v>351</v>
      </c>
      <c r="G3741" s="1" t="s">
        <v>31</v>
      </c>
      <c r="H3741" s="1" t="s">
        <v>32</v>
      </c>
      <c r="I3741" s="3">
        <f>+2250544093314</f>
        <v>2250544093314</v>
      </c>
      <c r="J3741" s="3">
        <f>+2250757136219</f>
        <v>2250757136219</v>
      </c>
      <c r="K3741" s="1" t="s">
        <v>19</v>
      </c>
      <c r="L3741" s="4" t="s">
        <v>12683</v>
      </c>
    </row>
    <row r="3742">
      <c r="A3742" s="1" t="s">
        <v>12</v>
      </c>
      <c r="B3742" s="1" t="s">
        <v>12684</v>
      </c>
      <c r="C3742" s="1" t="s">
        <v>12681</v>
      </c>
      <c r="D3742" s="1" t="s">
        <v>12685</v>
      </c>
      <c r="E3742" s="2">
        <v>38575.0</v>
      </c>
      <c r="F3742" s="1" t="s">
        <v>53</v>
      </c>
      <c r="G3742" s="1" t="s">
        <v>17</v>
      </c>
      <c r="H3742" s="1" t="s">
        <v>18</v>
      </c>
      <c r="I3742" s="3">
        <f>+2250584388373</f>
        <v>2250584388373</v>
      </c>
      <c r="J3742" s="3">
        <f>+2250505127346</f>
        <v>2250505127346</v>
      </c>
      <c r="K3742" s="1" t="s">
        <v>19</v>
      </c>
      <c r="L3742" s="4" t="s">
        <v>12686</v>
      </c>
    </row>
    <row r="3743">
      <c r="A3743" s="1" t="s">
        <v>12</v>
      </c>
      <c r="B3743" s="1" t="s">
        <v>12687</v>
      </c>
      <c r="C3743" s="1" t="s">
        <v>12688</v>
      </c>
      <c r="D3743" s="1" t="s">
        <v>12689</v>
      </c>
      <c r="E3743" s="5">
        <v>37251.0</v>
      </c>
      <c r="F3743" s="1" t="s">
        <v>62</v>
      </c>
      <c r="G3743" s="1" t="s">
        <v>17</v>
      </c>
      <c r="H3743" s="1" t="s">
        <v>18</v>
      </c>
      <c r="I3743" s="3">
        <f>+2250566390458</f>
        <v>2250566390458</v>
      </c>
      <c r="J3743" s="3">
        <f>+2250708417608</f>
        <v>2250708417608</v>
      </c>
      <c r="K3743" s="1" t="s">
        <v>19</v>
      </c>
      <c r="L3743" s="4" t="s">
        <v>12690</v>
      </c>
    </row>
    <row r="3744">
      <c r="A3744" s="1" t="s">
        <v>12</v>
      </c>
      <c r="B3744" s="1" t="s">
        <v>12691</v>
      </c>
      <c r="C3744" s="1" t="s">
        <v>12692</v>
      </c>
      <c r="D3744" s="1" t="s">
        <v>10133</v>
      </c>
      <c r="E3744" s="2">
        <v>37124.0</v>
      </c>
      <c r="F3744" s="1" t="s">
        <v>138</v>
      </c>
      <c r="G3744" s="1" t="s">
        <v>76</v>
      </c>
      <c r="H3744" s="1" t="s">
        <v>32</v>
      </c>
      <c r="I3744" s="3">
        <f>+2250140927810</f>
        <v>2250140927810</v>
      </c>
      <c r="J3744" s="3">
        <f>+2250140876803</f>
        <v>2250140876803</v>
      </c>
      <c r="K3744" s="1" t="s">
        <v>19</v>
      </c>
      <c r="L3744" s="4" t="s">
        <v>12693</v>
      </c>
    </row>
    <row r="3745">
      <c r="A3745" s="1" t="s">
        <v>12</v>
      </c>
      <c r="B3745" s="1" t="s">
        <v>12694</v>
      </c>
      <c r="C3745" s="1" t="s">
        <v>12695</v>
      </c>
      <c r="D3745" s="1" t="s">
        <v>11416</v>
      </c>
      <c r="E3745" s="2">
        <v>36317.0</v>
      </c>
      <c r="F3745" s="1" t="s">
        <v>16</v>
      </c>
      <c r="G3745" s="1" t="s">
        <v>17</v>
      </c>
      <c r="H3745" s="1" t="s">
        <v>18</v>
      </c>
      <c r="I3745" s="3">
        <f>+2250702276172</f>
        <v>2250702276172</v>
      </c>
      <c r="J3745" s="3">
        <f>+2250585097574</f>
        <v>2250585097574</v>
      </c>
      <c r="K3745" s="1" t="s">
        <v>19</v>
      </c>
      <c r="L3745" s="4" t="s">
        <v>12696</v>
      </c>
    </row>
    <row r="3746">
      <c r="A3746" s="1" t="s">
        <v>12</v>
      </c>
      <c r="B3746" s="1" t="s">
        <v>12697</v>
      </c>
      <c r="C3746" s="1" t="s">
        <v>12698</v>
      </c>
      <c r="D3746" s="1" t="s">
        <v>12699</v>
      </c>
      <c r="E3746" s="5">
        <v>37240.0</v>
      </c>
      <c r="F3746" s="1" t="s">
        <v>92</v>
      </c>
      <c r="G3746" s="1" t="s">
        <v>31</v>
      </c>
      <c r="H3746" s="1" t="s">
        <v>32</v>
      </c>
      <c r="I3746" s="3">
        <f>+2250787444992</f>
        <v>2250787444992</v>
      </c>
      <c r="J3746" s="3">
        <f>+2250504162504</f>
        <v>2250504162504</v>
      </c>
      <c r="K3746" s="1" t="s">
        <v>19</v>
      </c>
      <c r="L3746" s="4" t="s">
        <v>12700</v>
      </c>
    </row>
    <row r="3747">
      <c r="A3747" s="1" t="s">
        <v>12</v>
      </c>
      <c r="B3747" s="1" t="s">
        <v>12701</v>
      </c>
      <c r="C3747" s="1" t="s">
        <v>12702</v>
      </c>
      <c r="D3747" s="1" t="s">
        <v>1053</v>
      </c>
      <c r="E3747" s="2">
        <v>37319.0</v>
      </c>
      <c r="F3747" s="1" t="s">
        <v>92</v>
      </c>
      <c r="G3747" s="1" t="s">
        <v>31</v>
      </c>
      <c r="H3747" s="1" t="s">
        <v>32</v>
      </c>
      <c r="I3747" s="3">
        <f>+2250779645296</f>
        <v>2250779645296</v>
      </c>
      <c r="J3747" s="3">
        <f>+2250707666055</f>
        <v>2250707666055</v>
      </c>
      <c r="K3747" s="1" t="s">
        <v>19</v>
      </c>
      <c r="L3747" s="4" t="s">
        <v>12703</v>
      </c>
    </row>
    <row r="3748">
      <c r="A3748" s="1" t="s">
        <v>12</v>
      </c>
      <c r="B3748" s="1" t="s">
        <v>12704</v>
      </c>
      <c r="C3748" s="1" t="s">
        <v>12705</v>
      </c>
      <c r="D3748" s="1" t="s">
        <v>12706</v>
      </c>
      <c r="E3748" s="2">
        <v>38547.0</v>
      </c>
      <c r="F3748" s="1" t="s">
        <v>70</v>
      </c>
      <c r="G3748" s="1" t="s">
        <v>76</v>
      </c>
      <c r="H3748" s="1" t="s">
        <v>32</v>
      </c>
      <c r="I3748" s="3">
        <f>+2250502911676</f>
        <v>2250502911676</v>
      </c>
      <c r="J3748" s="3">
        <f>+2250545326835</f>
        <v>2250545326835</v>
      </c>
      <c r="K3748" s="1" t="s">
        <v>19</v>
      </c>
      <c r="L3748" s="4" t="s">
        <v>12707</v>
      </c>
    </row>
    <row r="3749">
      <c r="A3749" s="1" t="s">
        <v>12</v>
      </c>
      <c r="B3749" s="1" t="s">
        <v>12708</v>
      </c>
      <c r="C3749" s="1" t="s">
        <v>12709</v>
      </c>
      <c r="D3749" s="1" t="s">
        <v>12710</v>
      </c>
      <c r="E3749" s="5">
        <v>37922.0</v>
      </c>
      <c r="F3749" s="1" t="s">
        <v>138</v>
      </c>
      <c r="G3749" s="1" t="s">
        <v>76</v>
      </c>
      <c r="H3749" s="1" t="s">
        <v>32</v>
      </c>
      <c r="I3749" s="3">
        <f>+2250150251702</f>
        <v>2250150251702</v>
      </c>
      <c r="J3749" s="3">
        <f>+2250153679443</f>
        <v>2250153679443</v>
      </c>
      <c r="K3749" s="1" t="s">
        <v>19</v>
      </c>
      <c r="L3749" s="4" t="s">
        <v>12711</v>
      </c>
    </row>
    <row r="3750">
      <c r="A3750" s="1" t="s">
        <v>12</v>
      </c>
      <c r="B3750" s="1" t="s">
        <v>12712</v>
      </c>
      <c r="C3750" s="1" t="s">
        <v>12713</v>
      </c>
      <c r="D3750" s="1" t="s">
        <v>12714</v>
      </c>
      <c r="E3750" s="2">
        <v>37140.0</v>
      </c>
      <c r="F3750" s="1" t="s">
        <v>62</v>
      </c>
      <c r="G3750" s="1" t="s">
        <v>25</v>
      </c>
      <c r="H3750" s="1" t="s">
        <v>18</v>
      </c>
      <c r="I3750" s="3">
        <f>+2250171179895</f>
        <v>2250171179895</v>
      </c>
      <c r="J3750" s="3">
        <f>+2250505504927</f>
        <v>2250505504927</v>
      </c>
      <c r="K3750" s="1" t="s">
        <v>19</v>
      </c>
      <c r="L3750" s="4" t="s">
        <v>12715</v>
      </c>
    </row>
    <row r="3751">
      <c r="A3751" s="1" t="s">
        <v>12</v>
      </c>
      <c r="B3751" s="1" t="s">
        <v>12716</v>
      </c>
      <c r="C3751" s="1" t="s">
        <v>12717</v>
      </c>
      <c r="D3751" s="1" t="s">
        <v>12718</v>
      </c>
      <c r="E3751" s="5">
        <v>37254.0</v>
      </c>
      <c r="F3751" s="1" t="s">
        <v>147</v>
      </c>
      <c r="G3751" s="1" t="s">
        <v>17</v>
      </c>
      <c r="H3751" s="1" t="s">
        <v>18</v>
      </c>
      <c r="I3751" s="3">
        <f>+2250150162866</f>
        <v>2250150162866</v>
      </c>
      <c r="J3751" s="3">
        <f>+2250102827751</f>
        <v>2250102827751</v>
      </c>
      <c r="K3751" s="1" t="s">
        <v>19</v>
      </c>
      <c r="L3751" s="4" t="s">
        <v>12719</v>
      </c>
    </row>
    <row r="3752">
      <c r="A3752" s="1" t="s">
        <v>12</v>
      </c>
      <c r="B3752" s="1" t="s">
        <v>12720</v>
      </c>
      <c r="C3752" s="1" t="s">
        <v>12721</v>
      </c>
      <c r="D3752" s="1" t="s">
        <v>12722</v>
      </c>
      <c r="E3752" s="2">
        <v>38520.0</v>
      </c>
      <c r="F3752" s="1" t="s">
        <v>30</v>
      </c>
      <c r="G3752" s="1" t="s">
        <v>76</v>
      </c>
      <c r="H3752" s="1" t="s">
        <v>32</v>
      </c>
      <c r="I3752" s="3">
        <f>+2250101100460</f>
        <v>2250101100460</v>
      </c>
      <c r="J3752" s="3">
        <f>+2250142281687</f>
        <v>2250142281687</v>
      </c>
      <c r="K3752" s="1" t="s">
        <v>19</v>
      </c>
      <c r="L3752" s="4" t="s">
        <v>12723</v>
      </c>
    </row>
    <row r="3753">
      <c r="A3753" s="1" t="s">
        <v>12</v>
      </c>
      <c r="B3753" s="1" t="s">
        <v>12724</v>
      </c>
      <c r="C3753" s="1" t="s">
        <v>12725</v>
      </c>
      <c r="D3753" s="1" t="s">
        <v>12726</v>
      </c>
      <c r="E3753" s="2">
        <v>38263.0</v>
      </c>
      <c r="F3753" s="1" t="s">
        <v>53</v>
      </c>
      <c r="G3753" s="1" t="s">
        <v>25</v>
      </c>
      <c r="H3753" s="1" t="s">
        <v>18</v>
      </c>
      <c r="I3753" s="3">
        <f>+2250556870100</f>
        <v>2250556870100</v>
      </c>
      <c r="J3753" s="3">
        <f>+2250747449207</f>
        <v>2250747449207</v>
      </c>
      <c r="K3753" s="1" t="s">
        <v>19</v>
      </c>
      <c r="L3753" s="4" t="s">
        <v>12727</v>
      </c>
    </row>
    <row r="3754">
      <c r="A3754" s="1" t="s">
        <v>12</v>
      </c>
      <c r="B3754" s="1" t="s">
        <v>12728</v>
      </c>
      <c r="C3754" s="1" t="s">
        <v>12729</v>
      </c>
      <c r="D3754" s="1" t="s">
        <v>12730</v>
      </c>
      <c r="E3754" s="5">
        <v>37986.0</v>
      </c>
      <c r="F3754" s="1" t="s">
        <v>155</v>
      </c>
      <c r="G3754" s="1" t="s">
        <v>82</v>
      </c>
      <c r="H3754" s="1" t="s">
        <v>18</v>
      </c>
      <c r="I3754" s="3">
        <f>+2250153540829</f>
        <v>2250153540829</v>
      </c>
      <c r="J3754" s="3">
        <f>+2250103020830</f>
        <v>2250103020830</v>
      </c>
      <c r="K3754" s="1" t="s">
        <v>19</v>
      </c>
      <c r="L3754" s="4" t="s">
        <v>12731</v>
      </c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  <hyperlink r:id="rId486" ref="L487"/>
    <hyperlink r:id="rId487" ref="L488"/>
    <hyperlink r:id="rId488" ref="L489"/>
    <hyperlink r:id="rId489" ref="L490"/>
    <hyperlink r:id="rId490" ref="L491"/>
    <hyperlink r:id="rId491" ref="L492"/>
    <hyperlink r:id="rId492" ref="L493"/>
    <hyperlink r:id="rId493" ref="L494"/>
    <hyperlink r:id="rId494" ref="L495"/>
    <hyperlink r:id="rId495" ref="L496"/>
    <hyperlink r:id="rId496" ref="L497"/>
    <hyperlink r:id="rId497" ref="L498"/>
    <hyperlink r:id="rId498" ref="L499"/>
    <hyperlink r:id="rId499" ref="L500"/>
    <hyperlink r:id="rId500" ref="L501"/>
    <hyperlink r:id="rId501" ref="L502"/>
    <hyperlink r:id="rId502" ref="L503"/>
    <hyperlink r:id="rId503" ref="L504"/>
    <hyperlink r:id="rId504" ref="L505"/>
    <hyperlink r:id="rId505" ref="L506"/>
    <hyperlink r:id="rId506" ref="L507"/>
    <hyperlink r:id="rId507" ref="L508"/>
    <hyperlink r:id="rId508" ref="L509"/>
    <hyperlink r:id="rId509" ref="L510"/>
    <hyperlink r:id="rId510" ref="L511"/>
    <hyperlink r:id="rId511" ref="L512"/>
    <hyperlink r:id="rId512" ref="L513"/>
    <hyperlink r:id="rId513" ref="L514"/>
    <hyperlink r:id="rId514" ref="L515"/>
    <hyperlink r:id="rId515" ref="L516"/>
    <hyperlink r:id="rId516" ref="L517"/>
    <hyperlink r:id="rId517" ref="L518"/>
    <hyperlink r:id="rId518" ref="L519"/>
    <hyperlink r:id="rId519" ref="L520"/>
    <hyperlink r:id="rId520" ref="L521"/>
    <hyperlink r:id="rId521" ref="L522"/>
    <hyperlink r:id="rId522" ref="L523"/>
    <hyperlink r:id="rId523" ref="L524"/>
    <hyperlink r:id="rId524" ref="L525"/>
    <hyperlink r:id="rId525" ref="L526"/>
    <hyperlink r:id="rId526" ref="L527"/>
    <hyperlink r:id="rId527" ref="L528"/>
    <hyperlink r:id="rId528" ref="L529"/>
    <hyperlink r:id="rId529" ref="L530"/>
    <hyperlink r:id="rId530" ref="L531"/>
    <hyperlink r:id="rId531" ref="L532"/>
    <hyperlink r:id="rId532" ref="L533"/>
    <hyperlink r:id="rId533" ref="L534"/>
    <hyperlink r:id="rId534" ref="L535"/>
    <hyperlink r:id="rId535" ref="L536"/>
    <hyperlink r:id="rId536" ref="L537"/>
    <hyperlink r:id="rId537" ref="L538"/>
    <hyperlink r:id="rId538" ref="L539"/>
    <hyperlink r:id="rId539" ref="L540"/>
    <hyperlink r:id="rId540" ref="L541"/>
    <hyperlink r:id="rId541" ref="L542"/>
    <hyperlink r:id="rId542" ref="L543"/>
    <hyperlink r:id="rId543" ref="L544"/>
    <hyperlink r:id="rId544" ref="L545"/>
    <hyperlink r:id="rId545" ref="L546"/>
    <hyperlink r:id="rId546" ref="L547"/>
    <hyperlink r:id="rId547" ref="L548"/>
    <hyperlink r:id="rId548" ref="L549"/>
    <hyperlink r:id="rId549" ref="L550"/>
    <hyperlink r:id="rId550" ref="L551"/>
    <hyperlink r:id="rId551" ref="L552"/>
    <hyperlink r:id="rId552" ref="L553"/>
    <hyperlink r:id="rId553" ref="L554"/>
    <hyperlink r:id="rId554" ref="L555"/>
    <hyperlink r:id="rId555" ref="L556"/>
    <hyperlink r:id="rId556" ref="L557"/>
    <hyperlink r:id="rId557" ref="L558"/>
    <hyperlink r:id="rId558" ref="L559"/>
    <hyperlink r:id="rId559" ref="L560"/>
    <hyperlink r:id="rId560" ref="L561"/>
    <hyperlink r:id="rId561" ref="L562"/>
    <hyperlink r:id="rId562" ref="L563"/>
    <hyperlink r:id="rId563" ref="L564"/>
    <hyperlink r:id="rId564" ref="L565"/>
    <hyperlink r:id="rId565" ref="L566"/>
    <hyperlink r:id="rId566" ref="L567"/>
    <hyperlink r:id="rId567" ref="L568"/>
    <hyperlink r:id="rId568" ref="L569"/>
    <hyperlink r:id="rId569" ref="L570"/>
    <hyperlink r:id="rId570" ref="L571"/>
    <hyperlink r:id="rId571" ref="L572"/>
    <hyperlink r:id="rId572" ref="L573"/>
    <hyperlink r:id="rId573" ref="L574"/>
    <hyperlink r:id="rId574" ref="L575"/>
    <hyperlink r:id="rId575" ref="L576"/>
    <hyperlink r:id="rId576" ref="L577"/>
    <hyperlink r:id="rId577" ref="L578"/>
    <hyperlink r:id="rId578" ref="L579"/>
    <hyperlink r:id="rId579" ref="L580"/>
    <hyperlink r:id="rId580" ref="L581"/>
    <hyperlink r:id="rId581" ref="L582"/>
    <hyperlink r:id="rId582" ref="L583"/>
    <hyperlink r:id="rId583" ref="L584"/>
    <hyperlink r:id="rId584" ref="L585"/>
    <hyperlink r:id="rId585" ref="L586"/>
    <hyperlink r:id="rId586" ref="L587"/>
    <hyperlink r:id="rId587" ref="L588"/>
    <hyperlink r:id="rId588" ref="L589"/>
    <hyperlink r:id="rId589" ref="L590"/>
    <hyperlink r:id="rId590" ref="L591"/>
    <hyperlink r:id="rId591" ref="L592"/>
    <hyperlink r:id="rId592" ref="L593"/>
    <hyperlink r:id="rId593" ref="L594"/>
    <hyperlink r:id="rId594" ref="L595"/>
    <hyperlink r:id="rId595" ref="L596"/>
    <hyperlink r:id="rId596" ref="L597"/>
    <hyperlink r:id="rId597" ref="L598"/>
    <hyperlink r:id="rId598" ref="L599"/>
    <hyperlink r:id="rId599" ref="L600"/>
    <hyperlink r:id="rId600" ref="L601"/>
    <hyperlink r:id="rId601" ref="L602"/>
    <hyperlink r:id="rId602" ref="L603"/>
    <hyperlink r:id="rId603" ref="L604"/>
    <hyperlink r:id="rId604" ref="L605"/>
    <hyperlink r:id="rId605" ref="L606"/>
    <hyperlink r:id="rId606" ref="L607"/>
    <hyperlink r:id="rId607" ref="L608"/>
    <hyperlink r:id="rId608" ref="L609"/>
    <hyperlink r:id="rId609" ref="L610"/>
    <hyperlink r:id="rId610" ref="L611"/>
    <hyperlink r:id="rId611" ref="L612"/>
    <hyperlink r:id="rId612" ref="L613"/>
    <hyperlink r:id="rId613" ref="L614"/>
    <hyperlink r:id="rId614" ref="L615"/>
    <hyperlink r:id="rId615" ref="L616"/>
    <hyperlink r:id="rId616" ref="L617"/>
    <hyperlink r:id="rId617" ref="L618"/>
    <hyperlink r:id="rId618" ref="L619"/>
    <hyperlink r:id="rId619" ref="L620"/>
    <hyperlink r:id="rId620" ref="L621"/>
    <hyperlink r:id="rId621" ref="L622"/>
    <hyperlink r:id="rId622" ref="L623"/>
    <hyperlink r:id="rId623" ref="L624"/>
    <hyperlink r:id="rId624" ref="L625"/>
    <hyperlink r:id="rId625" ref="L626"/>
    <hyperlink r:id="rId626" ref="L627"/>
    <hyperlink r:id="rId627" ref="L628"/>
    <hyperlink r:id="rId628" ref="L629"/>
    <hyperlink r:id="rId629" ref="L630"/>
    <hyperlink r:id="rId630" ref="L631"/>
    <hyperlink r:id="rId631" ref="L632"/>
    <hyperlink r:id="rId632" ref="L633"/>
    <hyperlink r:id="rId633" ref="L634"/>
    <hyperlink r:id="rId634" ref="L635"/>
    <hyperlink r:id="rId635" ref="L636"/>
    <hyperlink r:id="rId636" ref="L637"/>
    <hyperlink r:id="rId637" ref="L638"/>
    <hyperlink r:id="rId638" ref="L639"/>
    <hyperlink r:id="rId639" ref="L640"/>
    <hyperlink r:id="rId640" ref="L641"/>
    <hyperlink r:id="rId641" ref="L642"/>
    <hyperlink r:id="rId642" ref="L643"/>
    <hyperlink r:id="rId643" ref="L644"/>
    <hyperlink r:id="rId644" ref="L645"/>
    <hyperlink r:id="rId645" ref="L646"/>
    <hyperlink r:id="rId646" ref="L647"/>
    <hyperlink r:id="rId647" ref="L648"/>
    <hyperlink r:id="rId648" ref="L649"/>
    <hyperlink r:id="rId649" ref="L650"/>
    <hyperlink r:id="rId650" ref="L651"/>
    <hyperlink r:id="rId651" ref="L652"/>
    <hyperlink r:id="rId652" ref="L653"/>
    <hyperlink r:id="rId653" ref="L654"/>
    <hyperlink r:id="rId654" ref="L655"/>
    <hyperlink r:id="rId655" ref="L656"/>
    <hyperlink r:id="rId656" ref="L657"/>
    <hyperlink r:id="rId657" ref="L658"/>
    <hyperlink r:id="rId658" ref="L659"/>
    <hyperlink r:id="rId659" ref="L660"/>
    <hyperlink r:id="rId660" ref="L661"/>
    <hyperlink r:id="rId661" ref="L662"/>
    <hyperlink r:id="rId662" ref="L663"/>
    <hyperlink r:id="rId663" ref="L664"/>
    <hyperlink r:id="rId664" ref="L665"/>
    <hyperlink r:id="rId665" ref="L666"/>
    <hyperlink r:id="rId666" ref="L667"/>
    <hyperlink r:id="rId667" ref="L668"/>
    <hyperlink r:id="rId668" ref="L669"/>
    <hyperlink r:id="rId669" ref="L670"/>
    <hyperlink r:id="rId670" ref="L671"/>
    <hyperlink r:id="rId671" ref="L672"/>
    <hyperlink r:id="rId672" ref="L673"/>
    <hyperlink r:id="rId673" ref="L674"/>
    <hyperlink r:id="rId674" ref="L675"/>
    <hyperlink r:id="rId675" ref="L676"/>
    <hyperlink r:id="rId676" ref="L677"/>
    <hyperlink r:id="rId677" ref="L678"/>
    <hyperlink r:id="rId678" ref="L679"/>
    <hyperlink r:id="rId679" ref="L680"/>
    <hyperlink r:id="rId680" ref="L681"/>
    <hyperlink r:id="rId681" ref="L682"/>
    <hyperlink r:id="rId682" ref="L683"/>
    <hyperlink r:id="rId683" ref="L684"/>
    <hyperlink r:id="rId684" ref="L685"/>
    <hyperlink r:id="rId685" ref="L686"/>
    <hyperlink r:id="rId686" ref="L687"/>
    <hyperlink r:id="rId687" ref="L688"/>
    <hyperlink r:id="rId688" ref="L689"/>
    <hyperlink r:id="rId689" ref="L690"/>
    <hyperlink r:id="rId690" ref="L691"/>
    <hyperlink r:id="rId691" ref="L692"/>
    <hyperlink r:id="rId692" ref="L693"/>
    <hyperlink r:id="rId693" ref="L694"/>
    <hyperlink r:id="rId694" ref="L695"/>
    <hyperlink r:id="rId695" ref="L696"/>
    <hyperlink r:id="rId696" ref="L697"/>
    <hyperlink r:id="rId697" ref="L698"/>
    <hyperlink r:id="rId698" ref="L699"/>
    <hyperlink r:id="rId699" ref="L700"/>
    <hyperlink r:id="rId700" ref="L701"/>
    <hyperlink r:id="rId701" ref="L702"/>
    <hyperlink r:id="rId702" ref="L703"/>
    <hyperlink r:id="rId703" ref="L704"/>
    <hyperlink r:id="rId704" ref="L705"/>
    <hyperlink r:id="rId705" ref="L706"/>
    <hyperlink r:id="rId706" ref="L707"/>
    <hyperlink r:id="rId707" ref="L708"/>
    <hyperlink r:id="rId708" ref="L709"/>
    <hyperlink r:id="rId709" ref="L710"/>
    <hyperlink r:id="rId710" ref="L711"/>
    <hyperlink r:id="rId711" ref="L712"/>
    <hyperlink r:id="rId712" ref="L713"/>
    <hyperlink r:id="rId713" ref="L714"/>
    <hyperlink r:id="rId714" ref="L715"/>
    <hyperlink r:id="rId715" ref="L716"/>
    <hyperlink r:id="rId716" ref="L717"/>
    <hyperlink r:id="rId717" ref="L718"/>
    <hyperlink r:id="rId718" ref="L719"/>
    <hyperlink r:id="rId719" ref="L720"/>
    <hyperlink r:id="rId720" ref="L721"/>
    <hyperlink r:id="rId721" ref="L722"/>
    <hyperlink r:id="rId722" ref="L723"/>
    <hyperlink r:id="rId723" ref="L724"/>
    <hyperlink r:id="rId724" ref="L725"/>
    <hyperlink r:id="rId725" ref="L726"/>
    <hyperlink r:id="rId726" ref="L727"/>
    <hyperlink r:id="rId727" ref="L728"/>
    <hyperlink r:id="rId728" ref="L729"/>
    <hyperlink r:id="rId729" ref="L730"/>
    <hyperlink r:id="rId730" ref="L731"/>
    <hyperlink r:id="rId731" ref="L732"/>
    <hyperlink r:id="rId732" ref="L733"/>
    <hyperlink r:id="rId733" ref="L734"/>
    <hyperlink r:id="rId734" ref="L735"/>
    <hyperlink r:id="rId735" ref="L736"/>
    <hyperlink r:id="rId736" ref="L737"/>
    <hyperlink r:id="rId737" ref="L738"/>
    <hyperlink r:id="rId738" ref="L739"/>
    <hyperlink r:id="rId739" ref="L740"/>
    <hyperlink r:id="rId740" ref="L741"/>
    <hyperlink r:id="rId741" ref="L742"/>
    <hyperlink r:id="rId742" ref="L743"/>
    <hyperlink r:id="rId743" ref="L744"/>
    <hyperlink r:id="rId744" ref="L745"/>
    <hyperlink r:id="rId745" ref="L746"/>
    <hyperlink r:id="rId746" ref="L747"/>
    <hyperlink r:id="rId747" ref="L748"/>
    <hyperlink r:id="rId748" ref="L749"/>
    <hyperlink r:id="rId749" ref="L750"/>
    <hyperlink r:id="rId750" ref="L751"/>
    <hyperlink r:id="rId751" ref="L752"/>
    <hyperlink r:id="rId752" ref="L753"/>
    <hyperlink r:id="rId753" ref="L754"/>
    <hyperlink r:id="rId754" ref="L755"/>
    <hyperlink r:id="rId755" ref="L756"/>
    <hyperlink r:id="rId756" ref="L757"/>
    <hyperlink r:id="rId757" ref="L758"/>
    <hyperlink r:id="rId758" ref="L759"/>
    <hyperlink r:id="rId759" ref="L760"/>
    <hyperlink r:id="rId760" ref="L761"/>
    <hyperlink r:id="rId761" ref="L762"/>
    <hyperlink r:id="rId762" ref="L763"/>
    <hyperlink r:id="rId763" ref="L764"/>
    <hyperlink r:id="rId764" ref="L765"/>
    <hyperlink r:id="rId765" ref="L766"/>
    <hyperlink r:id="rId766" ref="L767"/>
    <hyperlink r:id="rId767" ref="L768"/>
    <hyperlink r:id="rId768" ref="L769"/>
    <hyperlink r:id="rId769" ref="L770"/>
    <hyperlink r:id="rId770" ref="L771"/>
    <hyperlink r:id="rId771" ref="L772"/>
    <hyperlink r:id="rId772" ref="L773"/>
    <hyperlink r:id="rId773" ref="L774"/>
    <hyperlink r:id="rId774" ref="L775"/>
    <hyperlink r:id="rId775" ref="L776"/>
    <hyperlink r:id="rId776" ref="L777"/>
    <hyperlink r:id="rId777" ref="L778"/>
    <hyperlink r:id="rId778" ref="L779"/>
    <hyperlink r:id="rId779" ref="L780"/>
    <hyperlink r:id="rId780" ref="L781"/>
    <hyperlink r:id="rId781" ref="L782"/>
    <hyperlink r:id="rId782" ref="L783"/>
    <hyperlink r:id="rId783" ref="L784"/>
    <hyperlink r:id="rId784" ref="L785"/>
    <hyperlink r:id="rId785" ref="L786"/>
    <hyperlink r:id="rId786" ref="L787"/>
    <hyperlink r:id="rId787" ref="L788"/>
    <hyperlink r:id="rId788" ref="L789"/>
    <hyperlink r:id="rId789" ref="L790"/>
    <hyperlink r:id="rId790" ref="L791"/>
    <hyperlink r:id="rId791" ref="L792"/>
    <hyperlink r:id="rId792" ref="L793"/>
    <hyperlink r:id="rId793" ref="L794"/>
    <hyperlink r:id="rId794" ref="L795"/>
    <hyperlink r:id="rId795" ref="L796"/>
    <hyperlink r:id="rId796" ref="L797"/>
    <hyperlink r:id="rId797" ref="L798"/>
    <hyperlink r:id="rId798" ref="L799"/>
    <hyperlink r:id="rId799" ref="L800"/>
    <hyperlink r:id="rId800" ref="L801"/>
    <hyperlink r:id="rId801" ref="L802"/>
    <hyperlink r:id="rId802" ref="L803"/>
    <hyperlink r:id="rId803" ref="L804"/>
    <hyperlink r:id="rId804" ref="L805"/>
    <hyperlink r:id="rId805" ref="L806"/>
    <hyperlink r:id="rId806" ref="L807"/>
    <hyperlink r:id="rId807" ref="L808"/>
    <hyperlink r:id="rId808" ref="L809"/>
    <hyperlink r:id="rId809" ref="L810"/>
    <hyperlink r:id="rId810" ref="L811"/>
    <hyperlink r:id="rId811" ref="L812"/>
    <hyperlink r:id="rId812" ref="L813"/>
    <hyperlink r:id="rId813" ref="L814"/>
    <hyperlink r:id="rId814" ref="L815"/>
    <hyperlink r:id="rId815" ref="L816"/>
    <hyperlink r:id="rId816" ref="L817"/>
    <hyperlink r:id="rId817" ref="L818"/>
    <hyperlink r:id="rId818" ref="L819"/>
    <hyperlink r:id="rId819" ref="L820"/>
    <hyperlink r:id="rId820" ref="L821"/>
    <hyperlink r:id="rId821" ref="L822"/>
    <hyperlink r:id="rId822" ref="L823"/>
    <hyperlink r:id="rId823" ref="L824"/>
    <hyperlink r:id="rId824" ref="L825"/>
    <hyperlink r:id="rId825" ref="L826"/>
    <hyperlink r:id="rId826" ref="L827"/>
    <hyperlink r:id="rId827" ref="L828"/>
    <hyperlink r:id="rId828" ref="L829"/>
    <hyperlink r:id="rId829" ref="L830"/>
    <hyperlink r:id="rId830" ref="L831"/>
    <hyperlink r:id="rId831" ref="L832"/>
    <hyperlink r:id="rId832" ref="L833"/>
    <hyperlink r:id="rId833" ref="L834"/>
    <hyperlink r:id="rId834" ref="L835"/>
    <hyperlink r:id="rId835" ref="L836"/>
    <hyperlink r:id="rId836" ref="L837"/>
    <hyperlink r:id="rId837" ref="L838"/>
    <hyperlink r:id="rId838" ref="L839"/>
    <hyperlink r:id="rId839" ref="L840"/>
    <hyperlink r:id="rId840" ref="L841"/>
    <hyperlink r:id="rId841" ref="L842"/>
    <hyperlink r:id="rId842" ref="L843"/>
    <hyperlink r:id="rId843" ref="L844"/>
    <hyperlink r:id="rId844" ref="L845"/>
    <hyperlink r:id="rId845" ref="L846"/>
    <hyperlink r:id="rId846" ref="L847"/>
    <hyperlink r:id="rId847" ref="L848"/>
    <hyperlink r:id="rId848" ref="L849"/>
    <hyperlink r:id="rId849" ref="L850"/>
    <hyperlink r:id="rId850" ref="L851"/>
    <hyperlink r:id="rId851" ref="L852"/>
    <hyperlink r:id="rId852" ref="L853"/>
    <hyperlink r:id="rId853" ref="L854"/>
    <hyperlink r:id="rId854" ref="L855"/>
    <hyperlink r:id="rId855" ref="L856"/>
    <hyperlink r:id="rId856" ref="L857"/>
    <hyperlink r:id="rId857" ref="L858"/>
    <hyperlink r:id="rId858" ref="L859"/>
    <hyperlink r:id="rId859" ref="L860"/>
    <hyperlink r:id="rId860" ref="L861"/>
    <hyperlink r:id="rId861" ref="L862"/>
    <hyperlink r:id="rId862" ref="L863"/>
    <hyperlink r:id="rId863" ref="L864"/>
    <hyperlink r:id="rId864" ref="L865"/>
    <hyperlink r:id="rId865" ref="L866"/>
    <hyperlink r:id="rId866" ref="L867"/>
    <hyperlink r:id="rId867" ref="L868"/>
    <hyperlink r:id="rId868" ref="L869"/>
    <hyperlink r:id="rId869" ref="L870"/>
    <hyperlink r:id="rId870" ref="L871"/>
    <hyperlink r:id="rId871" ref="L872"/>
    <hyperlink r:id="rId872" ref="L873"/>
    <hyperlink r:id="rId873" ref="L874"/>
    <hyperlink r:id="rId874" ref="L875"/>
    <hyperlink r:id="rId875" ref="L876"/>
    <hyperlink r:id="rId876" ref="L877"/>
    <hyperlink r:id="rId877" ref="L878"/>
    <hyperlink r:id="rId878" ref="L879"/>
    <hyperlink r:id="rId879" ref="L880"/>
    <hyperlink r:id="rId880" ref="L881"/>
    <hyperlink r:id="rId881" ref="L882"/>
    <hyperlink r:id="rId882" ref="L883"/>
    <hyperlink r:id="rId883" ref="L884"/>
    <hyperlink r:id="rId884" ref="L885"/>
    <hyperlink r:id="rId885" ref="L886"/>
    <hyperlink r:id="rId886" ref="L887"/>
    <hyperlink r:id="rId887" ref="L888"/>
    <hyperlink r:id="rId888" ref="L889"/>
    <hyperlink r:id="rId889" ref="L890"/>
    <hyperlink r:id="rId890" ref="L891"/>
    <hyperlink r:id="rId891" ref="L892"/>
    <hyperlink r:id="rId892" ref="L893"/>
    <hyperlink r:id="rId893" ref="L894"/>
    <hyperlink r:id="rId894" ref="L895"/>
    <hyperlink r:id="rId895" ref="L896"/>
    <hyperlink r:id="rId896" ref="L897"/>
    <hyperlink r:id="rId897" ref="L898"/>
    <hyperlink r:id="rId898" ref="L899"/>
    <hyperlink r:id="rId899" ref="L900"/>
    <hyperlink r:id="rId900" ref="L901"/>
    <hyperlink r:id="rId901" ref="L902"/>
    <hyperlink r:id="rId902" ref="L903"/>
    <hyperlink r:id="rId903" ref="L904"/>
    <hyperlink r:id="rId904" ref="L905"/>
    <hyperlink r:id="rId905" ref="L906"/>
    <hyperlink r:id="rId906" ref="L907"/>
    <hyperlink r:id="rId907" ref="L908"/>
    <hyperlink r:id="rId908" ref="L909"/>
    <hyperlink r:id="rId909" ref="L910"/>
    <hyperlink r:id="rId910" ref="L911"/>
    <hyperlink r:id="rId911" ref="L912"/>
    <hyperlink r:id="rId912" ref="L913"/>
    <hyperlink r:id="rId913" ref="L914"/>
    <hyperlink r:id="rId914" ref="L915"/>
    <hyperlink r:id="rId915" ref="L916"/>
    <hyperlink r:id="rId916" ref="L917"/>
    <hyperlink r:id="rId917" ref="L918"/>
    <hyperlink r:id="rId918" ref="L919"/>
    <hyperlink r:id="rId919" ref="L920"/>
    <hyperlink r:id="rId920" ref="L921"/>
    <hyperlink r:id="rId921" ref="L922"/>
    <hyperlink r:id="rId922" ref="L923"/>
    <hyperlink r:id="rId923" ref="L924"/>
    <hyperlink r:id="rId924" ref="L925"/>
    <hyperlink r:id="rId925" ref="L926"/>
    <hyperlink r:id="rId926" ref="L927"/>
    <hyperlink r:id="rId927" ref="L928"/>
    <hyperlink r:id="rId928" ref="L929"/>
    <hyperlink r:id="rId929" ref="L930"/>
    <hyperlink r:id="rId930" ref="L931"/>
    <hyperlink r:id="rId931" ref="L932"/>
    <hyperlink r:id="rId932" ref="L933"/>
    <hyperlink r:id="rId933" ref="L934"/>
    <hyperlink r:id="rId934" ref="L935"/>
    <hyperlink r:id="rId935" ref="L936"/>
    <hyperlink r:id="rId936" ref="L937"/>
    <hyperlink r:id="rId937" ref="L938"/>
    <hyperlink r:id="rId938" ref="L939"/>
    <hyperlink r:id="rId939" ref="L940"/>
    <hyperlink r:id="rId940" ref="L941"/>
    <hyperlink r:id="rId941" ref="L942"/>
    <hyperlink r:id="rId942" ref="L943"/>
    <hyperlink r:id="rId943" ref="L944"/>
    <hyperlink r:id="rId944" ref="L945"/>
    <hyperlink r:id="rId945" ref="L946"/>
    <hyperlink r:id="rId946" ref="L947"/>
    <hyperlink r:id="rId947" ref="L948"/>
    <hyperlink r:id="rId948" ref="L949"/>
    <hyperlink r:id="rId949" ref="L950"/>
    <hyperlink r:id="rId950" ref="L951"/>
    <hyperlink r:id="rId951" ref="L952"/>
    <hyperlink r:id="rId952" ref="L953"/>
    <hyperlink r:id="rId953" ref="L954"/>
    <hyperlink r:id="rId954" ref="L955"/>
    <hyperlink r:id="rId955" ref="L956"/>
    <hyperlink r:id="rId956" ref="L957"/>
    <hyperlink r:id="rId957" ref="L958"/>
    <hyperlink r:id="rId958" ref="L959"/>
    <hyperlink r:id="rId959" ref="L960"/>
    <hyperlink r:id="rId960" ref="L961"/>
    <hyperlink r:id="rId961" ref="L962"/>
    <hyperlink r:id="rId962" ref="L963"/>
    <hyperlink r:id="rId963" ref="L964"/>
    <hyperlink r:id="rId964" ref="L965"/>
    <hyperlink r:id="rId965" ref="L966"/>
    <hyperlink r:id="rId966" ref="L967"/>
    <hyperlink r:id="rId967" ref="L968"/>
    <hyperlink r:id="rId968" ref="L969"/>
    <hyperlink r:id="rId969" ref="L970"/>
    <hyperlink r:id="rId970" ref="L971"/>
    <hyperlink r:id="rId971" ref="L972"/>
    <hyperlink r:id="rId972" ref="L973"/>
    <hyperlink r:id="rId973" ref="L974"/>
    <hyperlink r:id="rId974" ref="L975"/>
    <hyperlink r:id="rId975" ref="L976"/>
    <hyperlink r:id="rId976" ref="L977"/>
    <hyperlink r:id="rId977" ref="L978"/>
    <hyperlink r:id="rId978" ref="L979"/>
    <hyperlink r:id="rId979" ref="L980"/>
    <hyperlink r:id="rId980" ref="L981"/>
    <hyperlink r:id="rId981" ref="L982"/>
    <hyperlink r:id="rId982" ref="L983"/>
    <hyperlink r:id="rId983" ref="L984"/>
    <hyperlink r:id="rId984" ref="L985"/>
    <hyperlink r:id="rId985" ref="L986"/>
    <hyperlink r:id="rId986" ref="L987"/>
    <hyperlink r:id="rId987" ref="L988"/>
    <hyperlink r:id="rId988" ref="L989"/>
    <hyperlink r:id="rId989" ref="L990"/>
    <hyperlink r:id="rId990" ref="L991"/>
    <hyperlink r:id="rId991" ref="L992"/>
    <hyperlink r:id="rId992" ref="L993"/>
    <hyperlink r:id="rId993" ref="L994"/>
    <hyperlink r:id="rId994" ref="L995"/>
    <hyperlink r:id="rId995" ref="L996"/>
    <hyperlink r:id="rId996" ref="L997"/>
    <hyperlink r:id="rId997" ref="L998"/>
    <hyperlink r:id="rId998" ref="L999"/>
    <hyperlink r:id="rId999" ref="L1000"/>
    <hyperlink r:id="rId1000" ref="L1001"/>
    <hyperlink r:id="rId1001" ref="L1002"/>
    <hyperlink r:id="rId1002" ref="L1003"/>
    <hyperlink r:id="rId1003" ref="L1004"/>
    <hyperlink r:id="rId1004" ref="L1005"/>
    <hyperlink r:id="rId1005" ref="L1006"/>
    <hyperlink r:id="rId1006" ref="L1007"/>
    <hyperlink r:id="rId1007" ref="L1008"/>
    <hyperlink r:id="rId1008" ref="L1009"/>
    <hyperlink r:id="rId1009" ref="L1010"/>
    <hyperlink r:id="rId1010" ref="L1011"/>
    <hyperlink r:id="rId1011" ref="L1012"/>
    <hyperlink r:id="rId1012" ref="L1013"/>
    <hyperlink r:id="rId1013" ref="L1014"/>
    <hyperlink r:id="rId1014" ref="L1015"/>
    <hyperlink r:id="rId1015" ref="L1016"/>
    <hyperlink r:id="rId1016" ref="L1017"/>
    <hyperlink r:id="rId1017" ref="L1018"/>
    <hyperlink r:id="rId1018" ref="L1019"/>
    <hyperlink r:id="rId1019" ref="L1020"/>
    <hyperlink r:id="rId1020" ref="L1021"/>
    <hyperlink r:id="rId1021" ref="L1022"/>
    <hyperlink r:id="rId1022" ref="L1023"/>
    <hyperlink r:id="rId1023" ref="L1024"/>
    <hyperlink r:id="rId1024" ref="L1025"/>
    <hyperlink r:id="rId1025" ref="L1026"/>
    <hyperlink r:id="rId1026" ref="L1027"/>
    <hyperlink r:id="rId1027" ref="L1028"/>
    <hyperlink r:id="rId1028" ref="L1029"/>
    <hyperlink r:id="rId1029" ref="L1030"/>
    <hyperlink r:id="rId1030" ref="L1031"/>
    <hyperlink r:id="rId1031" ref="L1032"/>
    <hyperlink r:id="rId1032" ref="L1033"/>
    <hyperlink r:id="rId1033" ref="L1034"/>
    <hyperlink r:id="rId1034" ref="L1035"/>
    <hyperlink r:id="rId1035" ref="L1036"/>
    <hyperlink r:id="rId1036" ref="L1037"/>
    <hyperlink r:id="rId1037" ref="L1038"/>
    <hyperlink r:id="rId1038" ref="L1039"/>
    <hyperlink r:id="rId1039" ref="L1040"/>
    <hyperlink r:id="rId1040" ref="L1041"/>
    <hyperlink r:id="rId1041" ref="L1042"/>
    <hyperlink r:id="rId1042" ref="L1043"/>
    <hyperlink r:id="rId1043" ref="L1044"/>
    <hyperlink r:id="rId1044" ref="L1045"/>
    <hyperlink r:id="rId1045" ref="L1046"/>
    <hyperlink r:id="rId1046" ref="L1047"/>
    <hyperlink r:id="rId1047" ref="L1048"/>
    <hyperlink r:id="rId1048" ref="L1049"/>
    <hyperlink r:id="rId1049" ref="L1050"/>
    <hyperlink r:id="rId1050" ref="L1051"/>
    <hyperlink r:id="rId1051" ref="L1052"/>
    <hyperlink r:id="rId1052" ref="L1053"/>
    <hyperlink r:id="rId1053" ref="L1054"/>
    <hyperlink r:id="rId1054" ref="L1055"/>
    <hyperlink r:id="rId1055" ref="L1056"/>
    <hyperlink r:id="rId1056" ref="L1057"/>
    <hyperlink r:id="rId1057" ref="L1058"/>
    <hyperlink r:id="rId1058" ref="L1059"/>
    <hyperlink r:id="rId1059" ref="L1060"/>
    <hyperlink r:id="rId1060" ref="L1061"/>
    <hyperlink r:id="rId1061" ref="L1062"/>
    <hyperlink r:id="rId1062" ref="L1063"/>
    <hyperlink r:id="rId1063" ref="L1064"/>
    <hyperlink r:id="rId1064" ref="L1065"/>
    <hyperlink r:id="rId1065" ref="L1066"/>
    <hyperlink r:id="rId1066" ref="L1067"/>
    <hyperlink r:id="rId1067" ref="L1068"/>
    <hyperlink r:id="rId1068" ref="L1069"/>
    <hyperlink r:id="rId1069" ref="L1070"/>
    <hyperlink r:id="rId1070" ref="L1071"/>
    <hyperlink r:id="rId1071" ref="L1072"/>
    <hyperlink r:id="rId1072" ref="L1073"/>
    <hyperlink r:id="rId1073" ref="L1074"/>
    <hyperlink r:id="rId1074" ref="L1075"/>
    <hyperlink r:id="rId1075" ref="L1076"/>
    <hyperlink r:id="rId1076" ref="L1077"/>
    <hyperlink r:id="rId1077" ref="L1078"/>
    <hyperlink r:id="rId1078" ref="L1079"/>
    <hyperlink r:id="rId1079" ref="L1080"/>
    <hyperlink r:id="rId1080" ref="L1081"/>
    <hyperlink r:id="rId1081" ref="L1082"/>
    <hyperlink r:id="rId1082" ref="L1083"/>
    <hyperlink r:id="rId1083" ref="L1084"/>
    <hyperlink r:id="rId1084" ref="L1085"/>
    <hyperlink r:id="rId1085" ref="L1086"/>
    <hyperlink r:id="rId1086" ref="L1087"/>
    <hyperlink r:id="rId1087" ref="L1088"/>
    <hyperlink r:id="rId1088" ref="L1089"/>
    <hyperlink r:id="rId1089" ref="L1090"/>
    <hyperlink r:id="rId1090" ref="L1091"/>
    <hyperlink r:id="rId1091" ref="L1092"/>
    <hyperlink r:id="rId1092" ref="L1093"/>
    <hyperlink r:id="rId1093" ref="L1094"/>
    <hyperlink r:id="rId1094" ref="L1095"/>
    <hyperlink r:id="rId1095" ref="L1096"/>
    <hyperlink r:id="rId1096" ref="L1097"/>
    <hyperlink r:id="rId1097" ref="L1098"/>
    <hyperlink r:id="rId1098" ref="L1099"/>
    <hyperlink r:id="rId1099" ref="L1100"/>
    <hyperlink r:id="rId1100" ref="L1101"/>
    <hyperlink r:id="rId1101" ref="L1102"/>
    <hyperlink r:id="rId1102" ref="L1103"/>
    <hyperlink r:id="rId1103" ref="L1104"/>
    <hyperlink r:id="rId1104" ref="L1105"/>
    <hyperlink r:id="rId1105" ref="L1106"/>
    <hyperlink r:id="rId1106" ref="L1107"/>
    <hyperlink r:id="rId1107" ref="L1108"/>
    <hyperlink r:id="rId1108" ref="L1109"/>
    <hyperlink r:id="rId1109" ref="L1110"/>
    <hyperlink r:id="rId1110" ref="L1111"/>
    <hyperlink r:id="rId1111" ref="L1112"/>
    <hyperlink r:id="rId1112" ref="L1113"/>
    <hyperlink r:id="rId1113" ref="L1114"/>
    <hyperlink r:id="rId1114" ref="L1115"/>
    <hyperlink r:id="rId1115" ref="L1116"/>
    <hyperlink r:id="rId1116" ref="L1117"/>
    <hyperlink r:id="rId1117" ref="L1118"/>
    <hyperlink r:id="rId1118" ref="L1119"/>
    <hyperlink r:id="rId1119" ref="L1120"/>
    <hyperlink r:id="rId1120" ref="L1121"/>
    <hyperlink r:id="rId1121" ref="L1122"/>
    <hyperlink r:id="rId1122" ref="L1123"/>
    <hyperlink r:id="rId1123" ref="L1124"/>
    <hyperlink r:id="rId1124" ref="L1125"/>
    <hyperlink r:id="rId1125" ref="L1126"/>
    <hyperlink r:id="rId1126" ref="L1127"/>
    <hyperlink r:id="rId1127" ref="L1128"/>
    <hyperlink r:id="rId1128" ref="L1129"/>
    <hyperlink r:id="rId1129" ref="L1130"/>
    <hyperlink r:id="rId1130" ref="L1131"/>
    <hyperlink r:id="rId1131" ref="L1132"/>
    <hyperlink r:id="rId1132" ref="L1133"/>
    <hyperlink r:id="rId1133" ref="L1134"/>
    <hyperlink r:id="rId1134" ref="L1135"/>
    <hyperlink r:id="rId1135" ref="L1136"/>
    <hyperlink r:id="rId1136" ref="L1137"/>
    <hyperlink r:id="rId1137" ref="L1138"/>
    <hyperlink r:id="rId1138" ref="L1139"/>
    <hyperlink r:id="rId1139" ref="L1140"/>
    <hyperlink r:id="rId1140" ref="L1141"/>
    <hyperlink r:id="rId1141" ref="L1142"/>
    <hyperlink r:id="rId1142" ref="L1143"/>
    <hyperlink r:id="rId1143" ref="L1144"/>
    <hyperlink r:id="rId1144" ref="L1145"/>
    <hyperlink r:id="rId1145" ref="L1146"/>
    <hyperlink r:id="rId1146" ref="L1147"/>
    <hyperlink r:id="rId1147" ref="L1148"/>
    <hyperlink r:id="rId1148" ref="L1149"/>
    <hyperlink r:id="rId1149" ref="L1150"/>
    <hyperlink r:id="rId1150" ref="L1151"/>
    <hyperlink r:id="rId1151" ref="L1152"/>
    <hyperlink r:id="rId1152" ref="L1153"/>
    <hyperlink r:id="rId1153" ref="L1154"/>
    <hyperlink r:id="rId1154" ref="L1155"/>
    <hyperlink r:id="rId1155" ref="L1156"/>
    <hyperlink r:id="rId1156" ref="L1157"/>
    <hyperlink r:id="rId1157" ref="L1158"/>
    <hyperlink r:id="rId1158" ref="L1159"/>
    <hyperlink r:id="rId1159" ref="L1160"/>
    <hyperlink r:id="rId1160" ref="L1161"/>
    <hyperlink r:id="rId1161" ref="L1162"/>
    <hyperlink r:id="rId1162" ref="L1163"/>
    <hyperlink r:id="rId1163" ref="L1164"/>
    <hyperlink r:id="rId1164" ref="L1165"/>
    <hyperlink r:id="rId1165" ref="L1166"/>
    <hyperlink r:id="rId1166" ref="L1167"/>
    <hyperlink r:id="rId1167" ref="L1168"/>
    <hyperlink r:id="rId1168" ref="L1169"/>
    <hyperlink r:id="rId1169" ref="L1170"/>
    <hyperlink r:id="rId1170" ref="L1171"/>
    <hyperlink r:id="rId1171" ref="L1172"/>
    <hyperlink r:id="rId1172" ref="L1173"/>
    <hyperlink r:id="rId1173" ref="L1174"/>
    <hyperlink r:id="rId1174" ref="L1175"/>
    <hyperlink r:id="rId1175" ref="L1176"/>
    <hyperlink r:id="rId1176" ref="L1177"/>
    <hyperlink r:id="rId1177" ref="L1178"/>
    <hyperlink r:id="rId1178" ref="L1179"/>
    <hyperlink r:id="rId1179" ref="L1180"/>
    <hyperlink r:id="rId1180" ref="L1181"/>
    <hyperlink r:id="rId1181" ref="L1182"/>
    <hyperlink r:id="rId1182" ref="L1183"/>
    <hyperlink r:id="rId1183" ref="L1184"/>
    <hyperlink r:id="rId1184" ref="L1185"/>
    <hyperlink r:id="rId1185" ref="L1186"/>
    <hyperlink r:id="rId1186" ref="L1187"/>
    <hyperlink r:id="rId1187" ref="L1188"/>
    <hyperlink r:id="rId1188" ref="L1189"/>
    <hyperlink r:id="rId1189" ref="L1190"/>
    <hyperlink r:id="rId1190" ref="L1191"/>
    <hyperlink r:id="rId1191" ref="L1192"/>
    <hyperlink r:id="rId1192" ref="L1193"/>
    <hyperlink r:id="rId1193" ref="L1194"/>
    <hyperlink r:id="rId1194" ref="L1195"/>
    <hyperlink r:id="rId1195" ref="L1196"/>
    <hyperlink r:id="rId1196" ref="L1197"/>
    <hyperlink r:id="rId1197" ref="L1198"/>
    <hyperlink r:id="rId1198" ref="L1199"/>
    <hyperlink r:id="rId1199" ref="L1200"/>
    <hyperlink r:id="rId1200" ref="L1201"/>
    <hyperlink r:id="rId1201" ref="L1202"/>
    <hyperlink r:id="rId1202" ref="L1203"/>
    <hyperlink r:id="rId1203" ref="L1204"/>
    <hyperlink r:id="rId1204" ref="L1205"/>
    <hyperlink r:id="rId1205" ref="L1206"/>
    <hyperlink r:id="rId1206" ref="L1207"/>
    <hyperlink r:id="rId1207" ref="L1208"/>
    <hyperlink r:id="rId1208" ref="L1209"/>
    <hyperlink r:id="rId1209" ref="L1210"/>
    <hyperlink r:id="rId1210" ref="L1211"/>
    <hyperlink r:id="rId1211" ref="L1212"/>
    <hyperlink r:id="rId1212" ref="L1213"/>
    <hyperlink r:id="rId1213" ref="L1214"/>
    <hyperlink r:id="rId1214" ref="L1215"/>
    <hyperlink r:id="rId1215" ref="L1216"/>
    <hyperlink r:id="rId1216" ref="L1217"/>
    <hyperlink r:id="rId1217" ref="L1218"/>
    <hyperlink r:id="rId1218" ref="L1219"/>
    <hyperlink r:id="rId1219" ref="L1220"/>
    <hyperlink r:id="rId1220" ref="L1221"/>
    <hyperlink r:id="rId1221" ref="L1222"/>
    <hyperlink r:id="rId1222" ref="L1223"/>
    <hyperlink r:id="rId1223" ref="L1224"/>
    <hyperlink r:id="rId1224" ref="L1225"/>
    <hyperlink r:id="rId1225" ref="L1226"/>
    <hyperlink r:id="rId1226" ref="L1227"/>
    <hyperlink r:id="rId1227" ref="L1228"/>
    <hyperlink r:id="rId1228" ref="L1229"/>
    <hyperlink r:id="rId1229" ref="L1230"/>
    <hyperlink r:id="rId1230" ref="L1231"/>
    <hyperlink r:id="rId1231" ref="L1232"/>
    <hyperlink r:id="rId1232" ref="L1233"/>
    <hyperlink r:id="rId1233" ref="L1234"/>
    <hyperlink r:id="rId1234" ref="L1235"/>
    <hyperlink r:id="rId1235" ref="L1236"/>
    <hyperlink r:id="rId1236" ref="L1237"/>
    <hyperlink r:id="rId1237" ref="L1238"/>
    <hyperlink r:id="rId1238" ref="L1239"/>
    <hyperlink r:id="rId1239" ref="L1240"/>
    <hyperlink r:id="rId1240" ref="L1241"/>
    <hyperlink r:id="rId1241" ref="L1242"/>
    <hyperlink r:id="rId1242" ref="L1243"/>
    <hyperlink r:id="rId1243" ref="L1244"/>
    <hyperlink r:id="rId1244" ref="L1245"/>
    <hyperlink r:id="rId1245" ref="L1246"/>
    <hyperlink r:id="rId1246" ref="L1247"/>
    <hyperlink r:id="rId1247" ref="L1248"/>
    <hyperlink r:id="rId1248" ref="L1249"/>
    <hyperlink r:id="rId1249" ref="L1250"/>
    <hyperlink r:id="rId1250" ref="L1251"/>
    <hyperlink r:id="rId1251" ref="L1252"/>
    <hyperlink r:id="rId1252" ref="L1253"/>
    <hyperlink r:id="rId1253" ref="L1254"/>
    <hyperlink r:id="rId1254" ref="L1255"/>
    <hyperlink r:id="rId1255" ref="L1256"/>
    <hyperlink r:id="rId1256" ref="L1257"/>
    <hyperlink r:id="rId1257" ref="L1258"/>
    <hyperlink r:id="rId1258" ref="L1259"/>
    <hyperlink r:id="rId1259" ref="L1260"/>
    <hyperlink r:id="rId1260" ref="L1261"/>
    <hyperlink r:id="rId1261" ref="L1262"/>
    <hyperlink r:id="rId1262" ref="L1263"/>
    <hyperlink r:id="rId1263" ref="L1264"/>
    <hyperlink r:id="rId1264" ref="L1265"/>
    <hyperlink r:id="rId1265" ref="L1266"/>
    <hyperlink r:id="rId1266" ref="L1267"/>
    <hyperlink r:id="rId1267" ref="L1268"/>
    <hyperlink r:id="rId1268" ref="L1269"/>
    <hyperlink r:id="rId1269" ref="L1270"/>
    <hyperlink r:id="rId1270" ref="L1271"/>
    <hyperlink r:id="rId1271" ref="L1272"/>
    <hyperlink r:id="rId1272" ref="L1273"/>
    <hyperlink r:id="rId1273" ref="L1274"/>
    <hyperlink r:id="rId1274" ref="L1275"/>
    <hyperlink r:id="rId1275" ref="L1276"/>
    <hyperlink r:id="rId1276" ref="L1277"/>
    <hyperlink r:id="rId1277" ref="L1278"/>
    <hyperlink r:id="rId1278" ref="L1279"/>
    <hyperlink r:id="rId1279" ref="L1280"/>
    <hyperlink r:id="rId1280" ref="L1281"/>
    <hyperlink r:id="rId1281" ref="L1282"/>
    <hyperlink r:id="rId1282" ref="L1283"/>
    <hyperlink r:id="rId1283" ref="L1284"/>
    <hyperlink r:id="rId1284" ref="L1285"/>
    <hyperlink r:id="rId1285" ref="L1286"/>
    <hyperlink r:id="rId1286" ref="L1287"/>
    <hyperlink r:id="rId1287" ref="L1288"/>
    <hyperlink r:id="rId1288" ref="L1289"/>
    <hyperlink r:id="rId1289" ref="L1290"/>
    <hyperlink r:id="rId1290" ref="L1291"/>
    <hyperlink r:id="rId1291" ref="L1292"/>
    <hyperlink r:id="rId1292" ref="L1293"/>
    <hyperlink r:id="rId1293" ref="L1294"/>
    <hyperlink r:id="rId1294" ref="L1295"/>
    <hyperlink r:id="rId1295" ref="L1296"/>
    <hyperlink r:id="rId1296" ref="L1297"/>
    <hyperlink r:id="rId1297" ref="L1298"/>
    <hyperlink r:id="rId1298" ref="L1299"/>
    <hyperlink r:id="rId1299" ref="L1300"/>
    <hyperlink r:id="rId1300" ref="L1301"/>
    <hyperlink r:id="rId1301" ref="L1302"/>
    <hyperlink r:id="rId1302" ref="L1303"/>
    <hyperlink r:id="rId1303" ref="L1304"/>
    <hyperlink r:id="rId1304" ref="L1305"/>
    <hyperlink r:id="rId1305" ref="L1306"/>
    <hyperlink r:id="rId1306" ref="L1307"/>
    <hyperlink r:id="rId1307" ref="L1308"/>
    <hyperlink r:id="rId1308" ref="L1309"/>
    <hyperlink r:id="rId1309" ref="L1310"/>
    <hyperlink r:id="rId1310" ref="L1311"/>
    <hyperlink r:id="rId1311" ref="L1312"/>
    <hyperlink r:id="rId1312" ref="L1313"/>
    <hyperlink r:id="rId1313" ref="L1314"/>
    <hyperlink r:id="rId1314" ref="L1315"/>
    <hyperlink r:id="rId1315" ref="L1316"/>
    <hyperlink r:id="rId1316" ref="L1317"/>
    <hyperlink r:id="rId1317" ref="L1318"/>
    <hyperlink r:id="rId1318" ref="L1319"/>
    <hyperlink r:id="rId1319" ref="L1320"/>
    <hyperlink r:id="rId1320" ref="L1321"/>
    <hyperlink r:id="rId1321" ref="L1322"/>
    <hyperlink r:id="rId1322" ref="L1323"/>
    <hyperlink r:id="rId1323" ref="L1324"/>
    <hyperlink r:id="rId1324" ref="L1325"/>
    <hyperlink r:id="rId1325" ref="L1326"/>
    <hyperlink r:id="rId1326" ref="L1327"/>
    <hyperlink r:id="rId1327" ref="L1328"/>
    <hyperlink r:id="rId1328" ref="L1329"/>
    <hyperlink r:id="rId1329" ref="L1330"/>
    <hyperlink r:id="rId1330" ref="L1331"/>
    <hyperlink r:id="rId1331" ref="L1332"/>
    <hyperlink r:id="rId1332" ref="L1333"/>
    <hyperlink r:id="rId1333" ref="L1334"/>
    <hyperlink r:id="rId1334" ref="L1335"/>
    <hyperlink r:id="rId1335" ref="L1336"/>
    <hyperlink r:id="rId1336" ref="L1337"/>
    <hyperlink r:id="rId1337" ref="L1338"/>
    <hyperlink r:id="rId1338" ref="L1339"/>
    <hyperlink r:id="rId1339" ref="L1340"/>
    <hyperlink r:id="rId1340" ref="L1341"/>
    <hyperlink r:id="rId1341" ref="L1342"/>
    <hyperlink r:id="rId1342" ref="L1343"/>
    <hyperlink r:id="rId1343" ref="L1344"/>
    <hyperlink r:id="rId1344" ref="L1345"/>
    <hyperlink r:id="rId1345" ref="L1346"/>
    <hyperlink r:id="rId1346" ref="L1347"/>
    <hyperlink r:id="rId1347" ref="L1348"/>
    <hyperlink r:id="rId1348" ref="L1349"/>
    <hyperlink r:id="rId1349" ref="L1350"/>
    <hyperlink r:id="rId1350" ref="L1351"/>
    <hyperlink r:id="rId1351" ref="L1352"/>
    <hyperlink r:id="rId1352" ref="L1353"/>
    <hyperlink r:id="rId1353" ref="L1354"/>
    <hyperlink r:id="rId1354" ref="L1355"/>
    <hyperlink r:id="rId1355" ref="L1356"/>
    <hyperlink r:id="rId1356" ref="L1357"/>
    <hyperlink r:id="rId1357" ref="L1358"/>
    <hyperlink r:id="rId1358" ref="L1359"/>
    <hyperlink r:id="rId1359" ref="L1360"/>
    <hyperlink r:id="rId1360" ref="L1361"/>
    <hyperlink r:id="rId1361" ref="L1362"/>
    <hyperlink r:id="rId1362" ref="L1363"/>
    <hyperlink r:id="rId1363" ref="L1364"/>
    <hyperlink r:id="rId1364" ref="L1365"/>
    <hyperlink r:id="rId1365" ref="L1366"/>
    <hyperlink r:id="rId1366" ref="L1367"/>
    <hyperlink r:id="rId1367" ref="L1368"/>
    <hyperlink r:id="rId1368" ref="L1369"/>
    <hyperlink r:id="rId1369" ref="L1370"/>
    <hyperlink r:id="rId1370" ref="L1371"/>
    <hyperlink r:id="rId1371" ref="L1372"/>
    <hyperlink r:id="rId1372" ref="L1373"/>
    <hyperlink r:id="rId1373" ref="L1374"/>
    <hyperlink r:id="rId1374" ref="L1375"/>
    <hyperlink r:id="rId1375" ref="L1376"/>
    <hyperlink r:id="rId1376" ref="L1377"/>
    <hyperlink r:id="rId1377" ref="L1378"/>
    <hyperlink r:id="rId1378" ref="L1379"/>
    <hyperlink r:id="rId1379" ref="L1380"/>
    <hyperlink r:id="rId1380" ref="L1381"/>
    <hyperlink r:id="rId1381" ref="L1382"/>
    <hyperlink r:id="rId1382" ref="L1383"/>
    <hyperlink r:id="rId1383" ref="L1384"/>
    <hyperlink r:id="rId1384" ref="L1385"/>
    <hyperlink r:id="rId1385" ref="L1386"/>
    <hyperlink r:id="rId1386" ref="L1387"/>
    <hyperlink r:id="rId1387" ref="L1388"/>
    <hyperlink r:id="rId1388" ref="L1389"/>
    <hyperlink r:id="rId1389" ref="L1390"/>
    <hyperlink r:id="rId1390" ref="L1391"/>
    <hyperlink r:id="rId1391" ref="L1392"/>
    <hyperlink r:id="rId1392" ref="L1393"/>
    <hyperlink r:id="rId1393" ref="L1394"/>
    <hyperlink r:id="rId1394" ref="L1395"/>
    <hyperlink r:id="rId1395" ref="L1396"/>
    <hyperlink r:id="rId1396" ref="L1397"/>
    <hyperlink r:id="rId1397" ref="L1398"/>
    <hyperlink r:id="rId1398" ref="L1399"/>
    <hyperlink r:id="rId1399" ref="L1400"/>
    <hyperlink r:id="rId1400" ref="L1401"/>
    <hyperlink r:id="rId1401" ref="L1402"/>
    <hyperlink r:id="rId1402" ref="L1403"/>
    <hyperlink r:id="rId1403" ref="L1404"/>
    <hyperlink r:id="rId1404" ref="L1405"/>
    <hyperlink r:id="rId1405" ref="L1406"/>
    <hyperlink r:id="rId1406" ref="L1407"/>
    <hyperlink r:id="rId1407" ref="L1408"/>
    <hyperlink r:id="rId1408" ref="L1409"/>
    <hyperlink r:id="rId1409" ref="L1410"/>
    <hyperlink r:id="rId1410" ref="L1411"/>
    <hyperlink r:id="rId1411" ref="L1412"/>
    <hyperlink r:id="rId1412" ref="L1413"/>
    <hyperlink r:id="rId1413" ref="L1414"/>
    <hyperlink r:id="rId1414" ref="L1415"/>
    <hyperlink r:id="rId1415" ref="L1416"/>
    <hyperlink r:id="rId1416" ref="L1417"/>
    <hyperlink r:id="rId1417" ref="L1418"/>
    <hyperlink r:id="rId1418" ref="L1419"/>
    <hyperlink r:id="rId1419" ref="L1420"/>
    <hyperlink r:id="rId1420" ref="L1421"/>
    <hyperlink r:id="rId1421" ref="L1422"/>
    <hyperlink r:id="rId1422" ref="L1423"/>
    <hyperlink r:id="rId1423" ref="L1424"/>
    <hyperlink r:id="rId1424" ref="L1425"/>
    <hyperlink r:id="rId1425" ref="L1426"/>
    <hyperlink r:id="rId1426" ref="L1427"/>
    <hyperlink r:id="rId1427" ref="L1428"/>
    <hyperlink r:id="rId1428" ref="L1429"/>
    <hyperlink r:id="rId1429" ref="L1430"/>
    <hyperlink r:id="rId1430" ref="L1431"/>
    <hyperlink r:id="rId1431" ref="L1432"/>
    <hyperlink r:id="rId1432" ref="L1433"/>
    <hyperlink r:id="rId1433" ref="L1434"/>
    <hyperlink r:id="rId1434" ref="L1435"/>
    <hyperlink r:id="rId1435" ref="L1436"/>
    <hyperlink r:id="rId1436" ref="L1437"/>
    <hyperlink r:id="rId1437" ref="L1438"/>
    <hyperlink r:id="rId1438" ref="L1439"/>
    <hyperlink r:id="rId1439" ref="L1440"/>
    <hyperlink r:id="rId1440" ref="L1441"/>
    <hyperlink r:id="rId1441" ref="L1442"/>
    <hyperlink r:id="rId1442" ref="L1443"/>
    <hyperlink r:id="rId1443" ref="L1444"/>
    <hyperlink r:id="rId1444" ref="L1445"/>
    <hyperlink r:id="rId1445" ref="L1446"/>
    <hyperlink r:id="rId1446" ref="L1447"/>
    <hyperlink r:id="rId1447" ref="L1448"/>
    <hyperlink r:id="rId1448" ref="L1449"/>
    <hyperlink r:id="rId1449" ref="L1450"/>
    <hyperlink r:id="rId1450" ref="L1451"/>
    <hyperlink r:id="rId1451" ref="L1452"/>
    <hyperlink r:id="rId1452" ref="L1453"/>
    <hyperlink r:id="rId1453" ref="L1454"/>
    <hyperlink r:id="rId1454" ref="L1455"/>
    <hyperlink r:id="rId1455" ref="L1456"/>
    <hyperlink r:id="rId1456" ref="L1457"/>
    <hyperlink r:id="rId1457" ref="L1458"/>
    <hyperlink r:id="rId1458" ref="L1459"/>
    <hyperlink r:id="rId1459" ref="L1460"/>
    <hyperlink r:id="rId1460" ref="L1461"/>
    <hyperlink r:id="rId1461" ref="L1462"/>
    <hyperlink r:id="rId1462" ref="L1463"/>
    <hyperlink r:id="rId1463" ref="L1464"/>
    <hyperlink r:id="rId1464" ref="L1465"/>
    <hyperlink r:id="rId1465" ref="L1466"/>
    <hyperlink r:id="rId1466" ref="L1467"/>
    <hyperlink r:id="rId1467" ref="L1468"/>
    <hyperlink r:id="rId1468" ref="L1469"/>
    <hyperlink r:id="rId1469" ref="L1470"/>
    <hyperlink r:id="rId1470" ref="L1471"/>
    <hyperlink r:id="rId1471" ref="L1472"/>
    <hyperlink r:id="rId1472" ref="L1473"/>
    <hyperlink r:id="rId1473" ref="L1474"/>
    <hyperlink r:id="rId1474" ref="L1475"/>
    <hyperlink r:id="rId1475" ref="L1476"/>
    <hyperlink r:id="rId1476" ref="L1477"/>
    <hyperlink r:id="rId1477" ref="L1478"/>
    <hyperlink r:id="rId1478" ref="L1479"/>
    <hyperlink r:id="rId1479" ref="L1480"/>
    <hyperlink r:id="rId1480" ref="L1481"/>
    <hyperlink r:id="rId1481" ref="L1482"/>
    <hyperlink r:id="rId1482" ref="L1483"/>
    <hyperlink r:id="rId1483" ref="L1484"/>
    <hyperlink r:id="rId1484" ref="L1485"/>
    <hyperlink r:id="rId1485" ref="L1486"/>
    <hyperlink r:id="rId1486" ref="L1487"/>
    <hyperlink r:id="rId1487" ref="L1488"/>
    <hyperlink r:id="rId1488" ref="L1489"/>
    <hyperlink r:id="rId1489" ref="L1490"/>
    <hyperlink r:id="rId1490" ref="L1491"/>
    <hyperlink r:id="rId1491" ref="L1492"/>
    <hyperlink r:id="rId1492" ref="L1493"/>
    <hyperlink r:id="rId1493" ref="L1494"/>
    <hyperlink r:id="rId1494" ref="L1495"/>
    <hyperlink r:id="rId1495" ref="L1496"/>
    <hyperlink r:id="rId1496" ref="L1497"/>
    <hyperlink r:id="rId1497" ref="L1498"/>
    <hyperlink r:id="rId1498" ref="L1499"/>
    <hyperlink r:id="rId1499" ref="L1500"/>
    <hyperlink r:id="rId1500" ref="L1501"/>
    <hyperlink r:id="rId1501" ref="L1502"/>
    <hyperlink r:id="rId1502" ref="L1503"/>
    <hyperlink r:id="rId1503" ref="L1504"/>
    <hyperlink r:id="rId1504" ref="L1505"/>
    <hyperlink r:id="rId1505" ref="L1506"/>
    <hyperlink r:id="rId1506" ref="L1507"/>
    <hyperlink r:id="rId1507" ref="L1508"/>
    <hyperlink r:id="rId1508" ref="L1509"/>
    <hyperlink r:id="rId1509" ref="L1510"/>
    <hyperlink r:id="rId1510" ref="L1511"/>
    <hyperlink r:id="rId1511" ref="L1512"/>
    <hyperlink r:id="rId1512" ref="L1513"/>
    <hyperlink r:id="rId1513" ref="L1514"/>
    <hyperlink r:id="rId1514" ref="L1515"/>
    <hyperlink r:id="rId1515" ref="L1516"/>
    <hyperlink r:id="rId1516" ref="L1517"/>
    <hyperlink r:id="rId1517" ref="L1518"/>
    <hyperlink r:id="rId1518" ref="L1519"/>
    <hyperlink r:id="rId1519" ref="L1520"/>
    <hyperlink r:id="rId1520" ref="L1521"/>
    <hyperlink r:id="rId1521" ref="L1522"/>
    <hyperlink r:id="rId1522" ref="L1523"/>
    <hyperlink r:id="rId1523" ref="L1524"/>
    <hyperlink r:id="rId1524" ref="L1525"/>
    <hyperlink r:id="rId1525" ref="L1526"/>
    <hyperlink r:id="rId1526" ref="L1527"/>
    <hyperlink r:id="rId1527" ref="L1528"/>
    <hyperlink r:id="rId1528" ref="L1529"/>
    <hyperlink r:id="rId1529" ref="L1530"/>
    <hyperlink r:id="rId1530" ref="L1531"/>
    <hyperlink r:id="rId1531" ref="L1532"/>
    <hyperlink r:id="rId1532" ref="L1533"/>
    <hyperlink r:id="rId1533" ref="L1534"/>
    <hyperlink r:id="rId1534" ref="L1535"/>
    <hyperlink r:id="rId1535" ref="L1536"/>
    <hyperlink r:id="rId1536" ref="L1537"/>
    <hyperlink r:id="rId1537" ref="L1538"/>
    <hyperlink r:id="rId1538" ref="L1539"/>
    <hyperlink r:id="rId1539" ref="L1540"/>
    <hyperlink r:id="rId1540" ref="L1541"/>
    <hyperlink r:id="rId1541" ref="L1542"/>
    <hyperlink r:id="rId1542" ref="L1543"/>
    <hyperlink r:id="rId1543" ref="L1544"/>
    <hyperlink r:id="rId1544" ref="L1545"/>
    <hyperlink r:id="rId1545" ref="L1546"/>
    <hyperlink r:id="rId1546" ref="L1547"/>
    <hyperlink r:id="rId1547" ref="L1548"/>
    <hyperlink r:id="rId1548" ref="L1549"/>
    <hyperlink r:id="rId1549" ref="L1550"/>
    <hyperlink r:id="rId1550" ref="L1551"/>
    <hyperlink r:id="rId1551" ref="L1552"/>
    <hyperlink r:id="rId1552" ref="L1553"/>
    <hyperlink r:id="rId1553" ref="L1554"/>
    <hyperlink r:id="rId1554" ref="L1555"/>
    <hyperlink r:id="rId1555" ref="L1556"/>
    <hyperlink r:id="rId1556" ref="L1557"/>
    <hyperlink r:id="rId1557" ref="L1558"/>
    <hyperlink r:id="rId1558" ref="L1559"/>
    <hyperlink r:id="rId1559" ref="L1560"/>
    <hyperlink r:id="rId1560" ref="L1561"/>
    <hyperlink r:id="rId1561" ref="L1562"/>
    <hyperlink r:id="rId1562" ref="L1563"/>
    <hyperlink r:id="rId1563" ref="L1564"/>
    <hyperlink r:id="rId1564" ref="L1565"/>
    <hyperlink r:id="rId1565" ref="L1566"/>
    <hyperlink r:id="rId1566" ref="L1567"/>
    <hyperlink r:id="rId1567" ref="L1568"/>
    <hyperlink r:id="rId1568" ref="L1569"/>
    <hyperlink r:id="rId1569" ref="L1570"/>
    <hyperlink r:id="rId1570" ref="L1571"/>
    <hyperlink r:id="rId1571" ref="L1572"/>
    <hyperlink r:id="rId1572" ref="L1573"/>
    <hyperlink r:id="rId1573" ref="L1574"/>
    <hyperlink r:id="rId1574" ref="L1575"/>
    <hyperlink r:id="rId1575" ref="L1576"/>
    <hyperlink r:id="rId1576" ref="L1577"/>
    <hyperlink r:id="rId1577" ref="L1578"/>
    <hyperlink r:id="rId1578" ref="L1579"/>
    <hyperlink r:id="rId1579" ref="L1580"/>
    <hyperlink r:id="rId1580" ref="L1581"/>
    <hyperlink r:id="rId1581" ref="L1582"/>
    <hyperlink r:id="rId1582" ref="L1583"/>
    <hyperlink r:id="rId1583" ref="L1584"/>
    <hyperlink r:id="rId1584" ref="L1585"/>
    <hyperlink r:id="rId1585" ref="L1586"/>
    <hyperlink r:id="rId1586" ref="L1587"/>
    <hyperlink r:id="rId1587" ref="L1588"/>
    <hyperlink r:id="rId1588" ref="L1589"/>
    <hyperlink r:id="rId1589" ref="L1590"/>
    <hyperlink r:id="rId1590" ref="L1591"/>
    <hyperlink r:id="rId1591" ref="L1592"/>
    <hyperlink r:id="rId1592" ref="L1593"/>
    <hyperlink r:id="rId1593" ref="L1594"/>
    <hyperlink r:id="rId1594" ref="L1595"/>
    <hyperlink r:id="rId1595" ref="L1596"/>
    <hyperlink r:id="rId1596" ref="L1597"/>
    <hyperlink r:id="rId1597" ref="L1598"/>
    <hyperlink r:id="rId1598" ref="L1599"/>
    <hyperlink r:id="rId1599" ref="L1600"/>
    <hyperlink r:id="rId1600" ref="L1601"/>
    <hyperlink r:id="rId1601" ref="L1602"/>
    <hyperlink r:id="rId1602" ref="L1603"/>
    <hyperlink r:id="rId1603" ref="L1604"/>
    <hyperlink r:id="rId1604" ref="L1605"/>
    <hyperlink r:id="rId1605" ref="L1606"/>
    <hyperlink r:id="rId1606" ref="L1607"/>
    <hyperlink r:id="rId1607" ref="L1608"/>
    <hyperlink r:id="rId1608" ref="L1609"/>
    <hyperlink r:id="rId1609" ref="L1610"/>
    <hyperlink r:id="rId1610" ref="L1611"/>
    <hyperlink r:id="rId1611" ref="L1612"/>
    <hyperlink r:id="rId1612" ref="L1613"/>
    <hyperlink r:id="rId1613" ref="L1614"/>
    <hyperlink r:id="rId1614" ref="L1615"/>
    <hyperlink r:id="rId1615" ref="L1616"/>
    <hyperlink r:id="rId1616" ref="L1617"/>
    <hyperlink r:id="rId1617" ref="L1618"/>
    <hyperlink r:id="rId1618" ref="L1619"/>
    <hyperlink r:id="rId1619" ref="L1620"/>
    <hyperlink r:id="rId1620" ref="L1621"/>
    <hyperlink r:id="rId1621" ref="L1622"/>
    <hyperlink r:id="rId1622" ref="L1623"/>
    <hyperlink r:id="rId1623" ref="L1624"/>
    <hyperlink r:id="rId1624" ref="L1625"/>
    <hyperlink r:id="rId1625" ref="L1626"/>
    <hyperlink r:id="rId1626" ref="L1627"/>
    <hyperlink r:id="rId1627" ref="L1628"/>
    <hyperlink r:id="rId1628" ref="L1629"/>
    <hyperlink r:id="rId1629" ref="L1630"/>
    <hyperlink r:id="rId1630" ref="L1631"/>
    <hyperlink r:id="rId1631" ref="L1632"/>
    <hyperlink r:id="rId1632" ref="L1633"/>
    <hyperlink r:id="rId1633" ref="L1634"/>
    <hyperlink r:id="rId1634" ref="L1635"/>
    <hyperlink r:id="rId1635" ref="L1636"/>
    <hyperlink r:id="rId1636" ref="L1637"/>
    <hyperlink r:id="rId1637" ref="L1638"/>
    <hyperlink r:id="rId1638" ref="L1639"/>
    <hyperlink r:id="rId1639" ref="L1640"/>
    <hyperlink r:id="rId1640" ref="L1641"/>
    <hyperlink r:id="rId1641" ref="L1642"/>
    <hyperlink r:id="rId1642" ref="L1643"/>
    <hyperlink r:id="rId1643" ref="L1644"/>
    <hyperlink r:id="rId1644" ref="L1645"/>
    <hyperlink r:id="rId1645" ref="L1646"/>
    <hyperlink r:id="rId1646" ref="L1647"/>
    <hyperlink r:id="rId1647" ref="L1648"/>
    <hyperlink r:id="rId1648" ref="L1649"/>
    <hyperlink r:id="rId1649" ref="L1650"/>
    <hyperlink r:id="rId1650" ref="L1651"/>
    <hyperlink r:id="rId1651" ref="L1652"/>
    <hyperlink r:id="rId1652" ref="L1653"/>
    <hyperlink r:id="rId1653" ref="L1654"/>
    <hyperlink r:id="rId1654" ref="L1655"/>
    <hyperlink r:id="rId1655" ref="L1656"/>
    <hyperlink r:id="rId1656" ref="L1657"/>
    <hyperlink r:id="rId1657" ref="L1658"/>
    <hyperlink r:id="rId1658" ref="L1659"/>
    <hyperlink r:id="rId1659" ref="L1660"/>
    <hyperlink r:id="rId1660" ref="L1661"/>
    <hyperlink r:id="rId1661" ref="L1662"/>
    <hyperlink r:id="rId1662" ref="L1663"/>
    <hyperlink r:id="rId1663" ref="L1664"/>
    <hyperlink r:id="rId1664" ref="L1665"/>
    <hyperlink r:id="rId1665" ref="L1666"/>
    <hyperlink r:id="rId1666" ref="L1667"/>
    <hyperlink r:id="rId1667" ref="L1668"/>
    <hyperlink r:id="rId1668" ref="L1669"/>
    <hyperlink r:id="rId1669" ref="L1670"/>
    <hyperlink r:id="rId1670" ref="L1671"/>
    <hyperlink r:id="rId1671" ref="L1672"/>
    <hyperlink r:id="rId1672" ref="L1673"/>
    <hyperlink r:id="rId1673" ref="L1674"/>
    <hyperlink r:id="rId1674" ref="L1675"/>
    <hyperlink r:id="rId1675" ref="L1676"/>
    <hyperlink r:id="rId1676" ref="L1677"/>
    <hyperlink r:id="rId1677" ref="L1678"/>
    <hyperlink r:id="rId1678" ref="L1679"/>
    <hyperlink r:id="rId1679" ref="L1680"/>
    <hyperlink r:id="rId1680" ref="L1681"/>
    <hyperlink r:id="rId1681" ref="L1682"/>
    <hyperlink r:id="rId1682" ref="L1683"/>
    <hyperlink r:id="rId1683" ref="L1684"/>
    <hyperlink r:id="rId1684" ref="L1685"/>
    <hyperlink r:id="rId1685" ref="L1686"/>
    <hyperlink r:id="rId1686" ref="L1687"/>
    <hyperlink r:id="rId1687" ref="L1688"/>
    <hyperlink r:id="rId1688" ref="L1689"/>
    <hyperlink r:id="rId1689" ref="L1690"/>
    <hyperlink r:id="rId1690" ref="L1691"/>
    <hyperlink r:id="rId1691" ref="L1692"/>
    <hyperlink r:id="rId1692" ref="L1693"/>
    <hyperlink r:id="rId1693" ref="L1694"/>
    <hyperlink r:id="rId1694" ref="L1695"/>
    <hyperlink r:id="rId1695" ref="L1696"/>
    <hyperlink r:id="rId1696" ref="L1697"/>
    <hyperlink r:id="rId1697" ref="L1698"/>
    <hyperlink r:id="rId1698" ref="L1699"/>
    <hyperlink r:id="rId1699" ref="L1700"/>
    <hyperlink r:id="rId1700" ref="L1701"/>
    <hyperlink r:id="rId1701" ref="L1702"/>
    <hyperlink r:id="rId1702" ref="L1703"/>
    <hyperlink r:id="rId1703" ref="L1704"/>
    <hyperlink r:id="rId1704" ref="L1705"/>
    <hyperlink r:id="rId1705" ref="L1706"/>
    <hyperlink r:id="rId1706" ref="L1707"/>
    <hyperlink r:id="rId1707" ref="L1708"/>
    <hyperlink r:id="rId1708" ref="L1709"/>
    <hyperlink r:id="rId1709" ref="L1710"/>
    <hyperlink r:id="rId1710" ref="L1711"/>
    <hyperlink r:id="rId1711" ref="L1712"/>
    <hyperlink r:id="rId1712" ref="L1713"/>
    <hyperlink r:id="rId1713" ref="L1714"/>
    <hyperlink r:id="rId1714" ref="L1715"/>
    <hyperlink r:id="rId1715" ref="L1716"/>
    <hyperlink r:id="rId1716" ref="L1717"/>
    <hyperlink r:id="rId1717" ref="L1718"/>
    <hyperlink r:id="rId1718" ref="L1719"/>
    <hyperlink r:id="rId1719" ref="L1720"/>
    <hyperlink r:id="rId1720" ref="L1721"/>
    <hyperlink r:id="rId1721" ref="L1722"/>
    <hyperlink r:id="rId1722" ref="L1723"/>
    <hyperlink r:id="rId1723" ref="L1724"/>
    <hyperlink r:id="rId1724" ref="L1725"/>
    <hyperlink r:id="rId1725" ref="L1726"/>
    <hyperlink r:id="rId1726" ref="L1727"/>
    <hyperlink r:id="rId1727" ref="L1728"/>
    <hyperlink r:id="rId1728" ref="L1729"/>
    <hyperlink r:id="rId1729" ref="L1730"/>
    <hyperlink r:id="rId1730" ref="L1731"/>
    <hyperlink r:id="rId1731" ref="L1732"/>
    <hyperlink r:id="rId1732" ref="L1733"/>
    <hyperlink r:id="rId1733" ref="L1734"/>
    <hyperlink r:id="rId1734" ref="L1735"/>
    <hyperlink r:id="rId1735" ref="L1736"/>
    <hyperlink r:id="rId1736" ref="L1737"/>
    <hyperlink r:id="rId1737" ref="L1738"/>
    <hyperlink r:id="rId1738" ref="L1739"/>
    <hyperlink r:id="rId1739" ref="L1740"/>
    <hyperlink r:id="rId1740" ref="L1741"/>
    <hyperlink r:id="rId1741" ref="L1742"/>
    <hyperlink r:id="rId1742" ref="L1743"/>
    <hyperlink r:id="rId1743" ref="L1744"/>
    <hyperlink r:id="rId1744" ref="L1745"/>
    <hyperlink r:id="rId1745" ref="L1746"/>
    <hyperlink r:id="rId1746" ref="L1747"/>
    <hyperlink r:id="rId1747" ref="L1748"/>
    <hyperlink r:id="rId1748" ref="L1749"/>
    <hyperlink r:id="rId1749" ref="L1750"/>
    <hyperlink r:id="rId1750" ref="L1751"/>
    <hyperlink r:id="rId1751" ref="L1752"/>
    <hyperlink r:id="rId1752" ref="L1753"/>
    <hyperlink r:id="rId1753" ref="L1754"/>
    <hyperlink r:id="rId1754" ref="L1755"/>
    <hyperlink r:id="rId1755" ref="L1756"/>
    <hyperlink r:id="rId1756" ref="L1757"/>
    <hyperlink r:id="rId1757" ref="L1758"/>
    <hyperlink r:id="rId1758" ref="L1759"/>
    <hyperlink r:id="rId1759" ref="L1760"/>
    <hyperlink r:id="rId1760" ref="L1761"/>
    <hyperlink r:id="rId1761" ref="L1762"/>
    <hyperlink r:id="rId1762" ref="L1763"/>
    <hyperlink r:id="rId1763" ref="L1764"/>
    <hyperlink r:id="rId1764" ref="L1765"/>
    <hyperlink r:id="rId1765" ref="L1766"/>
    <hyperlink r:id="rId1766" ref="L1767"/>
    <hyperlink r:id="rId1767" ref="L1768"/>
    <hyperlink r:id="rId1768" ref="L1769"/>
    <hyperlink r:id="rId1769" ref="L1770"/>
    <hyperlink r:id="rId1770" ref="L1771"/>
    <hyperlink r:id="rId1771" ref="L1772"/>
    <hyperlink r:id="rId1772" ref="L1773"/>
    <hyperlink r:id="rId1773" ref="L1774"/>
    <hyperlink r:id="rId1774" ref="L1775"/>
    <hyperlink r:id="rId1775" ref="L1776"/>
    <hyperlink r:id="rId1776" ref="L1777"/>
    <hyperlink r:id="rId1777" ref="L1778"/>
    <hyperlink r:id="rId1778" ref="L1779"/>
    <hyperlink r:id="rId1779" ref="L1780"/>
    <hyperlink r:id="rId1780" ref="L1781"/>
    <hyperlink r:id="rId1781" ref="L1782"/>
    <hyperlink r:id="rId1782" ref="L1783"/>
    <hyperlink r:id="rId1783" ref="L1784"/>
    <hyperlink r:id="rId1784" ref="L1785"/>
    <hyperlink r:id="rId1785" ref="L1786"/>
    <hyperlink r:id="rId1786" ref="L1787"/>
    <hyperlink r:id="rId1787" ref="L1788"/>
    <hyperlink r:id="rId1788" ref="L1789"/>
    <hyperlink r:id="rId1789" ref="L1790"/>
    <hyperlink r:id="rId1790" ref="L1791"/>
    <hyperlink r:id="rId1791" ref="L1792"/>
    <hyperlink r:id="rId1792" ref="L1793"/>
    <hyperlink r:id="rId1793" ref="L1794"/>
    <hyperlink r:id="rId1794" ref="L1795"/>
    <hyperlink r:id="rId1795" ref="L1796"/>
    <hyperlink r:id="rId1796" ref="L1797"/>
    <hyperlink r:id="rId1797" ref="L1798"/>
    <hyperlink r:id="rId1798" ref="L1799"/>
    <hyperlink r:id="rId1799" ref="L1800"/>
    <hyperlink r:id="rId1800" ref="L1801"/>
    <hyperlink r:id="rId1801" ref="L1802"/>
    <hyperlink r:id="rId1802" ref="L1803"/>
    <hyperlink r:id="rId1803" ref="L1804"/>
    <hyperlink r:id="rId1804" ref="L1805"/>
    <hyperlink r:id="rId1805" ref="L1806"/>
    <hyperlink r:id="rId1806" ref="L1807"/>
    <hyperlink r:id="rId1807" ref="L1808"/>
    <hyperlink r:id="rId1808" ref="L1809"/>
    <hyperlink r:id="rId1809" ref="L1810"/>
    <hyperlink r:id="rId1810" ref="L1811"/>
    <hyperlink r:id="rId1811" ref="L1812"/>
    <hyperlink r:id="rId1812" ref="L1813"/>
    <hyperlink r:id="rId1813" ref="L1814"/>
    <hyperlink r:id="rId1814" ref="L1815"/>
    <hyperlink r:id="rId1815" ref="L1816"/>
    <hyperlink r:id="rId1816" ref="L1817"/>
    <hyperlink r:id="rId1817" ref="L1818"/>
    <hyperlink r:id="rId1818" ref="L1819"/>
    <hyperlink r:id="rId1819" ref="L1820"/>
    <hyperlink r:id="rId1820" ref="L1821"/>
    <hyperlink r:id="rId1821" ref="L1822"/>
    <hyperlink r:id="rId1822" ref="L1823"/>
    <hyperlink r:id="rId1823" ref="L1824"/>
    <hyperlink r:id="rId1824" ref="L1825"/>
    <hyperlink r:id="rId1825" ref="L1826"/>
    <hyperlink r:id="rId1826" ref="L1827"/>
    <hyperlink r:id="rId1827" ref="L1828"/>
    <hyperlink r:id="rId1828" ref="L1829"/>
    <hyperlink r:id="rId1829" ref="L1830"/>
    <hyperlink r:id="rId1830" ref="L1831"/>
    <hyperlink r:id="rId1831" ref="L1832"/>
    <hyperlink r:id="rId1832" ref="L1833"/>
    <hyperlink r:id="rId1833" ref="L1834"/>
    <hyperlink r:id="rId1834" ref="L1835"/>
    <hyperlink r:id="rId1835" ref="L1836"/>
    <hyperlink r:id="rId1836" ref="L1837"/>
    <hyperlink r:id="rId1837" ref="L1838"/>
    <hyperlink r:id="rId1838" ref="L1839"/>
    <hyperlink r:id="rId1839" ref="L1840"/>
    <hyperlink r:id="rId1840" ref="L1841"/>
    <hyperlink r:id="rId1841" ref="L1842"/>
    <hyperlink r:id="rId1842" ref="L1843"/>
    <hyperlink r:id="rId1843" ref="L1844"/>
    <hyperlink r:id="rId1844" ref="L1845"/>
    <hyperlink r:id="rId1845" ref="L1846"/>
    <hyperlink r:id="rId1846" ref="L1847"/>
    <hyperlink r:id="rId1847" ref="L1848"/>
    <hyperlink r:id="rId1848" ref="L1849"/>
    <hyperlink r:id="rId1849" ref="L1850"/>
    <hyperlink r:id="rId1850" ref="L1851"/>
    <hyperlink r:id="rId1851" ref="L1852"/>
    <hyperlink r:id="rId1852" ref="L1853"/>
    <hyperlink r:id="rId1853" ref="L1854"/>
    <hyperlink r:id="rId1854" ref="L1855"/>
    <hyperlink r:id="rId1855" ref="L1856"/>
    <hyperlink r:id="rId1856" ref="L1857"/>
    <hyperlink r:id="rId1857" ref="L1858"/>
    <hyperlink r:id="rId1858" ref="L1859"/>
    <hyperlink r:id="rId1859" ref="L1860"/>
    <hyperlink r:id="rId1860" ref="L1861"/>
    <hyperlink r:id="rId1861" ref="L1862"/>
    <hyperlink r:id="rId1862" ref="L1863"/>
    <hyperlink r:id="rId1863" ref="L1864"/>
    <hyperlink r:id="rId1864" ref="L1865"/>
    <hyperlink r:id="rId1865" ref="L1866"/>
    <hyperlink r:id="rId1866" ref="L1867"/>
    <hyperlink r:id="rId1867" ref="L1868"/>
    <hyperlink r:id="rId1868" ref="L1869"/>
    <hyperlink r:id="rId1869" ref="L1870"/>
    <hyperlink r:id="rId1870" ref="L1871"/>
    <hyperlink r:id="rId1871" ref="L1872"/>
    <hyperlink r:id="rId1872" ref="L1873"/>
    <hyperlink r:id="rId1873" ref="L1874"/>
    <hyperlink r:id="rId1874" ref="L1875"/>
    <hyperlink r:id="rId1875" ref="L1876"/>
    <hyperlink r:id="rId1876" ref="L1877"/>
    <hyperlink r:id="rId1877" ref="L1878"/>
    <hyperlink r:id="rId1878" ref="L1879"/>
    <hyperlink r:id="rId1879" ref="L1880"/>
    <hyperlink r:id="rId1880" ref="L1881"/>
    <hyperlink r:id="rId1881" ref="L1882"/>
    <hyperlink r:id="rId1882" ref="L1883"/>
    <hyperlink r:id="rId1883" ref="L1884"/>
    <hyperlink r:id="rId1884" ref="L1885"/>
    <hyperlink r:id="rId1885" ref="L1886"/>
    <hyperlink r:id="rId1886" ref="L1887"/>
    <hyperlink r:id="rId1887" ref="L1888"/>
    <hyperlink r:id="rId1888" ref="L1889"/>
    <hyperlink r:id="rId1889" ref="L1890"/>
    <hyperlink r:id="rId1890" ref="L1891"/>
    <hyperlink r:id="rId1891" ref="L1892"/>
    <hyperlink r:id="rId1892" ref="L1893"/>
    <hyperlink r:id="rId1893" ref="L1894"/>
    <hyperlink r:id="rId1894" ref="L1895"/>
    <hyperlink r:id="rId1895" ref="L1896"/>
    <hyperlink r:id="rId1896" ref="L1897"/>
    <hyperlink r:id="rId1897" ref="L1898"/>
    <hyperlink r:id="rId1898" ref="L1899"/>
    <hyperlink r:id="rId1899" ref="L1900"/>
    <hyperlink r:id="rId1900" ref="L1901"/>
    <hyperlink r:id="rId1901" ref="L1902"/>
    <hyperlink r:id="rId1902" ref="L1903"/>
    <hyperlink r:id="rId1903" ref="L1904"/>
    <hyperlink r:id="rId1904" ref="L1905"/>
    <hyperlink r:id="rId1905" ref="L1906"/>
    <hyperlink r:id="rId1906" ref="L1907"/>
    <hyperlink r:id="rId1907" ref="L1908"/>
    <hyperlink r:id="rId1908" ref="L1909"/>
    <hyperlink r:id="rId1909" ref="L1910"/>
    <hyperlink r:id="rId1910" ref="L1911"/>
    <hyperlink r:id="rId1911" ref="L1912"/>
    <hyperlink r:id="rId1912" ref="L1913"/>
    <hyperlink r:id="rId1913" ref="L1914"/>
    <hyperlink r:id="rId1914" ref="L1915"/>
    <hyperlink r:id="rId1915" ref="L1916"/>
    <hyperlink r:id="rId1916" ref="L1917"/>
    <hyperlink r:id="rId1917" ref="L1918"/>
    <hyperlink r:id="rId1918" ref="L1919"/>
    <hyperlink r:id="rId1919" ref="L1920"/>
    <hyperlink r:id="rId1920" ref="L1921"/>
    <hyperlink r:id="rId1921" ref="L1922"/>
    <hyperlink r:id="rId1922" ref="L1923"/>
    <hyperlink r:id="rId1923" ref="L1924"/>
    <hyperlink r:id="rId1924" ref="L1925"/>
    <hyperlink r:id="rId1925" ref="L1926"/>
    <hyperlink r:id="rId1926" ref="L1927"/>
    <hyperlink r:id="rId1927" ref="L1928"/>
    <hyperlink r:id="rId1928" ref="L1929"/>
    <hyperlink r:id="rId1929" ref="L1930"/>
    <hyperlink r:id="rId1930" ref="L1931"/>
    <hyperlink r:id="rId1931" ref="L1932"/>
    <hyperlink r:id="rId1932" ref="L1933"/>
    <hyperlink r:id="rId1933" ref="L1934"/>
    <hyperlink r:id="rId1934" ref="L1935"/>
    <hyperlink r:id="rId1935" ref="L1936"/>
    <hyperlink r:id="rId1936" ref="L1937"/>
    <hyperlink r:id="rId1937" ref="L1938"/>
    <hyperlink r:id="rId1938" ref="L1939"/>
    <hyperlink r:id="rId1939" ref="L1940"/>
    <hyperlink r:id="rId1940" ref="L1941"/>
    <hyperlink r:id="rId1941" ref="L1942"/>
    <hyperlink r:id="rId1942" ref="L1943"/>
    <hyperlink r:id="rId1943" ref="L1944"/>
    <hyperlink r:id="rId1944" ref="L1945"/>
    <hyperlink r:id="rId1945" ref="L1946"/>
    <hyperlink r:id="rId1946" ref="L1947"/>
    <hyperlink r:id="rId1947" ref="L1948"/>
    <hyperlink r:id="rId1948" ref="L1949"/>
    <hyperlink r:id="rId1949" ref="L1950"/>
    <hyperlink r:id="rId1950" ref="L1951"/>
    <hyperlink r:id="rId1951" ref="L1952"/>
    <hyperlink r:id="rId1952" ref="L1953"/>
    <hyperlink r:id="rId1953" ref="L1954"/>
    <hyperlink r:id="rId1954" ref="L1955"/>
    <hyperlink r:id="rId1955" ref="L1956"/>
    <hyperlink r:id="rId1956" ref="L1957"/>
    <hyperlink r:id="rId1957" ref="L1958"/>
    <hyperlink r:id="rId1958" ref="L1959"/>
    <hyperlink r:id="rId1959" ref="L1960"/>
    <hyperlink r:id="rId1960" ref="L1961"/>
    <hyperlink r:id="rId1961" ref="L1962"/>
    <hyperlink r:id="rId1962" ref="L1963"/>
    <hyperlink r:id="rId1963" ref="L1964"/>
    <hyperlink r:id="rId1964" ref="L1965"/>
    <hyperlink r:id="rId1965" ref="L1966"/>
    <hyperlink r:id="rId1966" ref="L1967"/>
    <hyperlink r:id="rId1967" ref="L1968"/>
    <hyperlink r:id="rId1968" ref="L1969"/>
    <hyperlink r:id="rId1969" ref="L1970"/>
    <hyperlink r:id="rId1970" ref="L1971"/>
    <hyperlink r:id="rId1971" ref="L1972"/>
    <hyperlink r:id="rId1972" ref="L1973"/>
    <hyperlink r:id="rId1973" ref="L1974"/>
    <hyperlink r:id="rId1974" ref="L1975"/>
    <hyperlink r:id="rId1975" ref="L1976"/>
    <hyperlink r:id="rId1976" ref="L1977"/>
    <hyperlink r:id="rId1977" ref="L1978"/>
    <hyperlink r:id="rId1978" ref="L1979"/>
    <hyperlink r:id="rId1979" ref="L1980"/>
    <hyperlink r:id="rId1980" ref="L1981"/>
    <hyperlink r:id="rId1981" ref="L1982"/>
    <hyperlink r:id="rId1982" ref="L1983"/>
    <hyperlink r:id="rId1983" ref="L1984"/>
    <hyperlink r:id="rId1984" ref="L1985"/>
    <hyperlink r:id="rId1985" ref="L1986"/>
    <hyperlink r:id="rId1986" ref="L1987"/>
    <hyperlink r:id="rId1987" ref="L1988"/>
    <hyperlink r:id="rId1988" ref="L1989"/>
    <hyperlink r:id="rId1989" ref="L1990"/>
    <hyperlink r:id="rId1990" ref="L1991"/>
    <hyperlink r:id="rId1991" ref="L1992"/>
    <hyperlink r:id="rId1992" ref="L1993"/>
    <hyperlink r:id="rId1993" ref="L1994"/>
    <hyperlink r:id="rId1994" ref="L1995"/>
    <hyperlink r:id="rId1995" ref="L1996"/>
    <hyperlink r:id="rId1996" ref="L1997"/>
    <hyperlink r:id="rId1997" ref="L1998"/>
    <hyperlink r:id="rId1998" ref="L1999"/>
    <hyperlink r:id="rId1999" ref="L2000"/>
    <hyperlink r:id="rId2000" ref="L2001"/>
    <hyperlink r:id="rId2001" ref="L2002"/>
    <hyperlink r:id="rId2002" ref="L2003"/>
    <hyperlink r:id="rId2003" ref="L2004"/>
    <hyperlink r:id="rId2004" ref="L2005"/>
    <hyperlink r:id="rId2005" ref="L2006"/>
    <hyperlink r:id="rId2006" ref="L2007"/>
    <hyperlink r:id="rId2007" ref="L2008"/>
    <hyperlink r:id="rId2008" ref="L2009"/>
    <hyperlink r:id="rId2009" ref="L2010"/>
    <hyperlink r:id="rId2010" ref="L2011"/>
    <hyperlink r:id="rId2011" ref="L2012"/>
    <hyperlink r:id="rId2012" ref="L2013"/>
    <hyperlink r:id="rId2013" ref="L2014"/>
    <hyperlink r:id="rId2014" ref="L2015"/>
    <hyperlink r:id="rId2015" ref="L2016"/>
    <hyperlink r:id="rId2016" ref="L2017"/>
    <hyperlink r:id="rId2017" ref="L2018"/>
    <hyperlink r:id="rId2018" ref="L2019"/>
    <hyperlink r:id="rId2019" ref="L2020"/>
    <hyperlink r:id="rId2020" ref="L2021"/>
    <hyperlink r:id="rId2021" ref="L2022"/>
    <hyperlink r:id="rId2022" ref="L2023"/>
    <hyperlink r:id="rId2023" ref="L2024"/>
    <hyperlink r:id="rId2024" ref="L2025"/>
    <hyperlink r:id="rId2025" ref="L2026"/>
    <hyperlink r:id="rId2026" ref="L2027"/>
    <hyperlink r:id="rId2027" ref="L2028"/>
    <hyperlink r:id="rId2028" ref="L2029"/>
    <hyperlink r:id="rId2029" ref="L2030"/>
    <hyperlink r:id="rId2030" ref="L2031"/>
    <hyperlink r:id="rId2031" ref="L2032"/>
    <hyperlink r:id="rId2032" ref="L2033"/>
    <hyperlink r:id="rId2033" ref="L2034"/>
    <hyperlink r:id="rId2034" ref="L2035"/>
    <hyperlink r:id="rId2035" ref="L2036"/>
    <hyperlink r:id="rId2036" ref="L2037"/>
    <hyperlink r:id="rId2037" ref="L2038"/>
    <hyperlink r:id="rId2038" ref="L2039"/>
    <hyperlink r:id="rId2039" ref="L2040"/>
    <hyperlink r:id="rId2040" ref="L2041"/>
    <hyperlink r:id="rId2041" ref="L2042"/>
    <hyperlink r:id="rId2042" ref="L2043"/>
    <hyperlink r:id="rId2043" ref="L2044"/>
    <hyperlink r:id="rId2044" ref="L2045"/>
    <hyperlink r:id="rId2045" ref="L2046"/>
    <hyperlink r:id="rId2046" ref="L2047"/>
    <hyperlink r:id="rId2047" ref="L2048"/>
    <hyperlink r:id="rId2048" ref="L2049"/>
    <hyperlink r:id="rId2049" ref="L2050"/>
    <hyperlink r:id="rId2050" ref="L2051"/>
    <hyperlink r:id="rId2051" ref="L2052"/>
    <hyperlink r:id="rId2052" ref="L2053"/>
    <hyperlink r:id="rId2053" ref="L2054"/>
    <hyperlink r:id="rId2054" ref="L2055"/>
    <hyperlink r:id="rId2055" ref="L2056"/>
    <hyperlink r:id="rId2056" ref="L2057"/>
    <hyperlink r:id="rId2057" ref="L2058"/>
    <hyperlink r:id="rId2058" ref="L2059"/>
    <hyperlink r:id="rId2059" ref="L2060"/>
    <hyperlink r:id="rId2060" ref="L2061"/>
    <hyperlink r:id="rId2061" ref="L2062"/>
    <hyperlink r:id="rId2062" ref="L2063"/>
    <hyperlink r:id="rId2063" ref="L2064"/>
    <hyperlink r:id="rId2064" ref="L2065"/>
    <hyperlink r:id="rId2065" ref="L2066"/>
    <hyperlink r:id="rId2066" ref="L2067"/>
    <hyperlink r:id="rId2067" ref="L2068"/>
    <hyperlink r:id="rId2068" ref="L2069"/>
    <hyperlink r:id="rId2069" ref="L2070"/>
    <hyperlink r:id="rId2070" ref="L2071"/>
    <hyperlink r:id="rId2071" ref="L2072"/>
    <hyperlink r:id="rId2072" ref="L2073"/>
    <hyperlink r:id="rId2073" ref="L2074"/>
    <hyperlink r:id="rId2074" ref="L2075"/>
    <hyperlink r:id="rId2075" ref="L2076"/>
    <hyperlink r:id="rId2076" ref="L2077"/>
    <hyperlink r:id="rId2077" ref="L2078"/>
    <hyperlink r:id="rId2078" ref="L2079"/>
    <hyperlink r:id="rId2079" ref="L2080"/>
    <hyperlink r:id="rId2080" ref="L2081"/>
    <hyperlink r:id="rId2081" ref="L2082"/>
    <hyperlink r:id="rId2082" ref="L2083"/>
    <hyperlink r:id="rId2083" ref="L2084"/>
    <hyperlink r:id="rId2084" ref="L2085"/>
    <hyperlink r:id="rId2085" ref="L2086"/>
    <hyperlink r:id="rId2086" ref="L2087"/>
    <hyperlink r:id="rId2087" ref="L2088"/>
    <hyperlink r:id="rId2088" ref="L2089"/>
    <hyperlink r:id="rId2089" ref="L2090"/>
    <hyperlink r:id="rId2090" ref="L2091"/>
    <hyperlink r:id="rId2091" ref="L2092"/>
    <hyperlink r:id="rId2092" ref="L2093"/>
    <hyperlink r:id="rId2093" ref="L2094"/>
    <hyperlink r:id="rId2094" ref="L2095"/>
    <hyperlink r:id="rId2095" ref="L2096"/>
    <hyperlink r:id="rId2096" ref="L2097"/>
    <hyperlink r:id="rId2097" ref="L2098"/>
    <hyperlink r:id="rId2098" ref="L2099"/>
    <hyperlink r:id="rId2099" ref="L2100"/>
    <hyperlink r:id="rId2100" ref="L2101"/>
    <hyperlink r:id="rId2101" ref="L2102"/>
    <hyperlink r:id="rId2102" ref="L2103"/>
    <hyperlink r:id="rId2103" ref="L2104"/>
    <hyperlink r:id="rId2104" ref="L2105"/>
    <hyperlink r:id="rId2105" ref="L2106"/>
    <hyperlink r:id="rId2106" ref="L2107"/>
    <hyperlink r:id="rId2107" ref="L2108"/>
    <hyperlink r:id="rId2108" ref="L2109"/>
    <hyperlink r:id="rId2109" ref="L2110"/>
    <hyperlink r:id="rId2110" ref="L2111"/>
    <hyperlink r:id="rId2111" ref="L2112"/>
    <hyperlink r:id="rId2112" ref="L2113"/>
    <hyperlink r:id="rId2113" ref="L2114"/>
    <hyperlink r:id="rId2114" ref="L2115"/>
    <hyperlink r:id="rId2115" ref="L2116"/>
    <hyperlink r:id="rId2116" ref="L2117"/>
    <hyperlink r:id="rId2117" ref="L2118"/>
    <hyperlink r:id="rId2118" ref="L2119"/>
    <hyperlink r:id="rId2119" ref="L2120"/>
    <hyperlink r:id="rId2120" ref="L2121"/>
    <hyperlink r:id="rId2121" ref="L2122"/>
    <hyperlink r:id="rId2122" ref="L2123"/>
    <hyperlink r:id="rId2123" ref="L2124"/>
    <hyperlink r:id="rId2124" ref="L2125"/>
    <hyperlink r:id="rId2125" ref="L2126"/>
    <hyperlink r:id="rId2126" ref="L2127"/>
    <hyperlink r:id="rId2127" ref="L2128"/>
    <hyperlink r:id="rId2128" ref="L2129"/>
    <hyperlink r:id="rId2129" ref="L2130"/>
    <hyperlink r:id="rId2130" ref="L2131"/>
    <hyperlink r:id="rId2131" ref="L2132"/>
    <hyperlink r:id="rId2132" ref="L2133"/>
    <hyperlink r:id="rId2133" ref="L2134"/>
    <hyperlink r:id="rId2134" ref="L2135"/>
    <hyperlink r:id="rId2135" ref="L2136"/>
    <hyperlink r:id="rId2136" ref="L2137"/>
    <hyperlink r:id="rId2137" ref="L2138"/>
    <hyperlink r:id="rId2138" ref="L2139"/>
    <hyperlink r:id="rId2139" ref="L2140"/>
    <hyperlink r:id="rId2140" ref="L2141"/>
    <hyperlink r:id="rId2141" ref="L2142"/>
    <hyperlink r:id="rId2142" ref="L2143"/>
    <hyperlink r:id="rId2143" ref="L2144"/>
    <hyperlink r:id="rId2144" ref="L2145"/>
    <hyperlink r:id="rId2145" ref="L2146"/>
    <hyperlink r:id="rId2146" ref="L2147"/>
    <hyperlink r:id="rId2147" ref="L2148"/>
    <hyperlink r:id="rId2148" ref="L2149"/>
    <hyperlink r:id="rId2149" ref="L2150"/>
    <hyperlink r:id="rId2150" ref="L2151"/>
    <hyperlink r:id="rId2151" ref="L2152"/>
    <hyperlink r:id="rId2152" ref="L2153"/>
    <hyperlink r:id="rId2153" ref="L2154"/>
    <hyperlink r:id="rId2154" ref="L2155"/>
    <hyperlink r:id="rId2155" ref="L2156"/>
    <hyperlink r:id="rId2156" ref="L2157"/>
    <hyperlink r:id="rId2157" ref="L2158"/>
    <hyperlink r:id="rId2158" ref="L2159"/>
    <hyperlink r:id="rId2159" ref="L2160"/>
    <hyperlink r:id="rId2160" ref="L2161"/>
    <hyperlink r:id="rId2161" ref="L2162"/>
    <hyperlink r:id="rId2162" ref="L2163"/>
    <hyperlink r:id="rId2163" ref="L2164"/>
    <hyperlink r:id="rId2164" ref="L2165"/>
    <hyperlink r:id="rId2165" ref="L2166"/>
    <hyperlink r:id="rId2166" ref="L2167"/>
    <hyperlink r:id="rId2167" ref="L2168"/>
    <hyperlink r:id="rId2168" ref="L2169"/>
    <hyperlink r:id="rId2169" ref="L2170"/>
    <hyperlink r:id="rId2170" ref="L2171"/>
    <hyperlink r:id="rId2171" ref="L2172"/>
    <hyperlink r:id="rId2172" ref="L2173"/>
    <hyperlink r:id="rId2173" ref="L2174"/>
    <hyperlink r:id="rId2174" ref="L2175"/>
    <hyperlink r:id="rId2175" ref="L2176"/>
    <hyperlink r:id="rId2176" ref="L2177"/>
    <hyperlink r:id="rId2177" ref="L2178"/>
    <hyperlink r:id="rId2178" ref="L2179"/>
    <hyperlink r:id="rId2179" ref="L2180"/>
    <hyperlink r:id="rId2180" ref="L2181"/>
    <hyperlink r:id="rId2181" ref="L2182"/>
    <hyperlink r:id="rId2182" ref="L2183"/>
    <hyperlink r:id="rId2183" ref="L2184"/>
    <hyperlink r:id="rId2184" ref="L2185"/>
    <hyperlink r:id="rId2185" ref="L2186"/>
    <hyperlink r:id="rId2186" ref="L2187"/>
    <hyperlink r:id="rId2187" ref="L2188"/>
    <hyperlink r:id="rId2188" ref="L2189"/>
    <hyperlink r:id="rId2189" ref="L2190"/>
    <hyperlink r:id="rId2190" ref="L2191"/>
    <hyperlink r:id="rId2191" ref="L2192"/>
    <hyperlink r:id="rId2192" ref="L2193"/>
    <hyperlink r:id="rId2193" ref="L2194"/>
    <hyperlink r:id="rId2194" ref="L2195"/>
    <hyperlink r:id="rId2195" ref="L2196"/>
    <hyperlink r:id="rId2196" ref="L2197"/>
    <hyperlink r:id="rId2197" ref="L2198"/>
    <hyperlink r:id="rId2198" ref="L2199"/>
    <hyperlink r:id="rId2199" ref="L2200"/>
    <hyperlink r:id="rId2200" ref="L2201"/>
    <hyperlink r:id="rId2201" ref="L2202"/>
    <hyperlink r:id="rId2202" ref="L2203"/>
    <hyperlink r:id="rId2203" ref="L2204"/>
    <hyperlink r:id="rId2204" ref="L2205"/>
    <hyperlink r:id="rId2205" ref="L2206"/>
    <hyperlink r:id="rId2206" ref="L2207"/>
    <hyperlink r:id="rId2207" ref="L2208"/>
    <hyperlink r:id="rId2208" ref="L2209"/>
    <hyperlink r:id="rId2209" ref="L2210"/>
    <hyperlink r:id="rId2210" ref="L2211"/>
    <hyperlink r:id="rId2211" ref="L2212"/>
    <hyperlink r:id="rId2212" ref="L2213"/>
    <hyperlink r:id="rId2213" ref="L2214"/>
    <hyperlink r:id="rId2214" ref="L2215"/>
    <hyperlink r:id="rId2215" ref="L2216"/>
    <hyperlink r:id="rId2216" ref="L2217"/>
    <hyperlink r:id="rId2217" ref="L2218"/>
    <hyperlink r:id="rId2218" ref="L2219"/>
    <hyperlink r:id="rId2219" ref="L2220"/>
    <hyperlink r:id="rId2220" ref="L2221"/>
    <hyperlink r:id="rId2221" ref="L2222"/>
    <hyperlink r:id="rId2222" ref="L2223"/>
    <hyperlink r:id="rId2223" ref="L2224"/>
    <hyperlink r:id="rId2224" ref="L2225"/>
    <hyperlink r:id="rId2225" ref="L2226"/>
    <hyperlink r:id="rId2226" ref="L2227"/>
    <hyperlink r:id="rId2227" ref="L2228"/>
    <hyperlink r:id="rId2228" ref="L2229"/>
    <hyperlink r:id="rId2229" ref="L2230"/>
    <hyperlink r:id="rId2230" ref="L2231"/>
    <hyperlink r:id="rId2231" ref="L2232"/>
    <hyperlink r:id="rId2232" ref="L2233"/>
    <hyperlink r:id="rId2233" ref="L2234"/>
    <hyperlink r:id="rId2234" ref="L2235"/>
    <hyperlink r:id="rId2235" ref="L2236"/>
    <hyperlink r:id="rId2236" ref="L2237"/>
    <hyperlink r:id="rId2237" ref="L2238"/>
    <hyperlink r:id="rId2238" ref="L2239"/>
    <hyperlink r:id="rId2239" ref="L2240"/>
    <hyperlink r:id="rId2240" ref="L2241"/>
    <hyperlink r:id="rId2241" ref="L2242"/>
    <hyperlink r:id="rId2242" ref="L2243"/>
    <hyperlink r:id="rId2243" ref="L2244"/>
    <hyperlink r:id="rId2244" ref="L2245"/>
    <hyperlink r:id="rId2245" ref="L2246"/>
    <hyperlink r:id="rId2246" ref="L2247"/>
    <hyperlink r:id="rId2247" ref="L2248"/>
    <hyperlink r:id="rId2248" ref="L2249"/>
    <hyperlink r:id="rId2249" ref="L2250"/>
    <hyperlink r:id="rId2250" ref="L2251"/>
    <hyperlink r:id="rId2251" ref="L2252"/>
    <hyperlink r:id="rId2252" ref="L2253"/>
    <hyperlink r:id="rId2253" ref="L2254"/>
    <hyperlink r:id="rId2254" ref="L2255"/>
    <hyperlink r:id="rId2255" ref="L2256"/>
    <hyperlink r:id="rId2256" ref="L2257"/>
    <hyperlink r:id="rId2257" ref="L2258"/>
    <hyperlink r:id="rId2258" ref="L2259"/>
    <hyperlink r:id="rId2259" ref="L2260"/>
    <hyperlink r:id="rId2260" ref="L2261"/>
    <hyperlink r:id="rId2261" ref="L2262"/>
    <hyperlink r:id="rId2262" ref="L2263"/>
    <hyperlink r:id="rId2263" ref="L2264"/>
    <hyperlink r:id="rId2264" ref="L2265"/>
    <hyperlink r:id="rId2265" ref="L2266"/>
    <hyperlink r:id="rId2266" ref="L2267"/>
    <hyperlink r:id="rId2267" ref="L2268"/>
    <hyperlink r:id="rId2268" ref="L2269"/>
    <hyperlink r:id="rId2269" ref="L2270"/>
    <hyperlink r:id="rId2270" ref="L2271"/>
    <hyperlink r:id="rId2271" ref="L2272"/>
    <hyperlink r:id="rId2272" ref="L2273"/>
    <hyperlink r:id="rId2273" ref="L2274"/>
    <hyperlink r:id="rId2274" ref="L2275"/>
    <hyperlink r:id="rId2275" ref="L2276"/>
    <hyperlink r:id="rId2276" ref="L2277"/>
    <hyperlink r:id="rId2277" ref="L2278"/>
    <hyperlink r:id="rId2278" ref="L2279"/>
    <hyperlink r:id="rId2279" ref="L2280"/>
    <hyperlink r:id="rId2280" ref="L2281"/>
    <hyperlink r:id="rId2281" ref="L2282"/>
    <hyperlink r:id="rId2282" ref="L2283"/>
    <hyperlink r:id="rId2283" ref="L2284"/>
    <hyperlink r:id="rId2284" ref="L2285"/>
    <hyperlink r:id="rId2285" ref="L2286"/>
    <hyperlink r:id="rId2286" ref="L2287"/>
    <hyperlink r:id="rId2287" ref="L2288"/>
    <hyperlink r:id="rId2288" ref="L2289"/>
    <hyperlink r:id="rId2289" ref="L2290"/>
    <hyperlink r:id="rId2290" ref="L2291"/>
    <hyperlink r:id="rId2291" ref="L2292"/>
    <hyperlink r:id="rId2292" ref="L2293"/>
    <hyperlink r:id="rId2293" ref="L2294"/>
    <hyperlink r:id="rId2294" ref="L2295"/>
    <hyperlink r:id="rId2295" ref="L2296"/>
    <hyperlink r:id="rId2296" ref="L2297"/>
    <hyperlink r:id="rId2297" ref="L2298"/>
    <hyperlink r:id="rId2298" ref="L2299"/>
    <hyperlink r:id="rId2299" ref="L2300"/>
    <hyperlink r:id="rId2300" ref="L2301"/>
    <hyperlink r:id="rId2301" ref="L2302"/>
    <hyperlink r:id="rId2302" ref="L2303"/>
    <hyperlink r:id="rId2303" ref="L2304"/>
    <hyperlink r:id="rId2304" ref="L2305"/>
    <hyperlink r:id="rId2305" ref="L2306"/>
    <hyperlink r:id="rId2306" ref="L2307"/>
    <hyperlink r:id="rId2307" ref="L2308"/>
    <hyperlink r:id="rId2308" ref="L2309"/>
    <hyperlink r:id="rId2309" ref="L2310"/>
    <hyperlink r:id="rId2310" ref="L2311"/>
    <hyperlink r:id="rId2311" ref="L2312"/>
    <hyperlink r:id="rId2312" ref="L2313"/>
    <hyperlink r:id="rId2313" ref="L2314"/>
    <hyperlink r:id="rId2314" ref="L2315"/>
    <hyperlink r:id="rId2315" ref="L2316"/>
    <hyperlink r:id="rId2316" ref="L2317"/>
    <hyperlink r:id="rId2317" ref="L2318"/>
    <hyperlink r:id="rId2318" ref="L2319"/>
    <hyperlink r:id="rId2319" ref="L2320"/>
    <hyperlink r:id="rId2320" ref="L2321"/>
    <hyperlink r:id="rId2321" ref="L2322"/>
    <hyperlink r:id="rId2322" ref="L2323"/>
    <hyperlink r:id="rId2323" ref="L2324"/>
    <hyperlink r:id="rId2324" ref="L2325"/>
    <hyperlink r:id="rId2325" ref="L2326"/>
    <hyperlink r:id="rId2326" ref="L2327"/>
    <hyperlink r:id="rId2327" ref="L2328"/>
    <hyperlink r:id="rId2328" ref="L2329"/>
    <hyperlink r:id="rId2329" ref="L2330"/>
    <hyperlink r:id="rId2330" ref="L2331"/>
    <hyperlink r:id="rId2331" ref="L2332"/>
    <hyperlink r:id="rId2332" ref="L2333"/>
    <hyperlink r:id="rId2333" ref="L2334"/>
    <hyperlink r:id="rId2334" ref="L2335"/>
    <hyperlink r:id="rId2335" ref="L2336"/>
    <hyperlink r:id="rId2336" ref="L2337"/>
    <hyperlink r:id="rId2337" ref="L2338"/>
    <hyperlink r:id="rId2338" ref="L2339"/>
    <hyperlink r:id="rId2339" ref="L2340"/>
    <hyperlink r:id="rId2340" ref="L2341"/>
    <hyperlink r:id="rId2341" ref="L2342"/>
    <hyperlink r:id="rId2342" ref="L2343"/>
    <hyperlink r:id="rId2343" ref="L2344"/>
    <hyperlink r:id="rId2344" ref="L2345"/>
    <hyperlink r:id="rId2345" ref="L2346"/>
    <hyperlink r:id="rId2346" ref="L2347"/>
    <hyperlink r:id="rId2347" ref="L2348"/>
    <hyperlink r:id="rId2348" ref="L2349"/>
    <hyperlink r:id="rId2349" ref="L2350"/>
    <hyperlink r:id="rId2350" ref="L2351"/>
    <hyperlink r:id="rId2351" ref="L2352"/>
    <hyperlink r:id="rId2352" ref="L2353"/>
    <hyperlink r:id="rId2353" ref="L2354"/>
    <hyperlink r:id="rId2354" ref="L2355"/>
    <hyperlink r:id="rId2355" ref="L2356"/>
    <hyperlink r:id="rId2356" ref="L2357"/>
    <hyperlink r:id="rId2357" ref="L2358"/>
    <hyperlink r:id="rId2358" ref="L2359"/>
    <hyperlink r:id="rId2359" ref="L2360"/>
    <hyperlink r:id="rId2360" ref="L2361"/>
    <hyperlink r:id="rId2361" ref="L2362"/>
    <hyperlink r:id="rId2362" ref="L2363"/>
    <hyperlink r:id="rId2363" ref="L2364"/>
    <hyperlink r:id="rId2364" ref="L2365"/>
    <hyperlink r:id="rId2365" ref="L2366"/>
    <hyperlink r:id="rId2366" ref="L2367"/>
    <hyperlink r:id="rId2367" ref="L2368"/>
    <hyperlink r:id="rId2368" ref="L2369"/>
    <hyperlink r:id="rId2369" ref="L2370"/>
    <hyperlink r:id="rId2370" ref="L2371"/>
    <hyperlink r:id="rId2371" ref="L2372"/>
    <hyperlink r:id="rId2372" ref="L2373"/>
    <hyperlink r:id="rId2373" ref="L2374"/>
    <hyperlink r:id="rId2374" ref="L2375"/>
    <hyperlink r:id="rId2375" ref="L2376"/>
    <hyperlink r:id="rId2376" ref="L2377"/>
    <hyperlink r:id="rId2377" ref="L2378"/>
    <hyperlink r:id="rId2378" ref="L2379"/>
    <hyperlink r:id="rId2379" ref="L2380"/>
    <hyperlink r:id="rId2380" ref="L2381"/>
    <hyperlink r:id="rId2381" ref="L2382"/>
    <hyperlink r:id="rId2382" ref="L2383"/>
    <hyperlink r:id="rId2383" ref="L2384"/>
    <hyperlink r:id="rId2384" ref="L2385"/>
    <hyperlink r:id="rId2385" ref="L2386"/>
    <hyperlink r:id="rId2386" ref="L2387"/>
    <hyperlink r:id="rId2387" ref="L2388"/>
    <hyperlink r:id="rId2388" ref="L2389"/>
    <hyperlink r:id="rId2389" ref="L2390"/>
    <hyperlink r:id="rId2390" ref="L2391"/>
    <hyperlink r:id="rId2391" ref="L2392"/>
    <hyperlink r:id="rId2392" ref="L2393"/>
    <hyperlink r:id="rId2393" ref="L2394"/>
    <hyperlink r:id="rId2394" ref="L2395"/>
    <hyperlink r:id="rId2395" ref="L2396"/>
    <hyperlink r:id="rId2396" ref="L2397"/>
    <hyperlink r:id="rId2397" ref="L2398"/>
    <hyperlink r:id="rId2398" ref="L2399"/>
    <hyperlink r:id="rId2399" ref="L2400"/>
    <hyperlink r:id="rId2400" ref="L2401"/>
    <hyperlink r:id="rId2401" ref="L2402"/>
    <hyperlink r:id="rId2402" ref="L2403"/>
    <hyperlink r:id="rId2403" ref="L2404"/>
    <hyperlink r:id="rId2404" ref="L2405"/>
    <hyperlink r:id="rId2405" ref="L2406"/>
    <hyperlink r:id="rId2406" ref="L2407"/>
    <hyperlink r:id="rId2407" ref="L2408"/>
    <hyperlink r:id="rId2408" ref="L2409"/>
    <hyperlink r:id="rId2409" ref="L2410"/>
    <hyperlink r:id="rId2410" ref="L2411"/>
    <hyperlink r:id="rId2411" ref="L2412"/>
    <hyperlink r:id="rId2412" ref="L2413"/>
    <hyperlink r:id="rId2413" ref="L2414"/>
    <hyperlink r:id="rId2414" ref="L2415"/>
    <hyperlink r:id="rId2415" ref="L2416"/>
    <hyperlink r:id="rId2416" ref="L2417"/>
    <hyperlink r:id="rId2417" ref="L2418"/>
    <hyperlink r:id="rId2418" ref="L2419"/>
    <hyperlink r:id="rId2419" ref="L2420"/>
    <hyperlink r:id="rId2420" ref="L2421"/>
    <hyperlink r:id="rId2421" ref="L2422"/>
    <hyperlink r:id="rId2422" ref="L2423"/>
    <hyperlink r:id="rId2423" ref="L2424"/>
    <hyperlink r:id="rId2424" ref="L2425"/>
    <hyperlink r:id="rId2425" ref="L2426"/>
    <hyperlink r:id="rId2426" ref="L2427"/>
    <hyperlink r:id="rId2427" ref="L2428"/>
    <hyperlink r:id="rId2428" ref="L2429"/>
    <hyperlink r:id="rId2429" ref="L2430"/>
    <hyperlink r:id="rId2430" ref="L2431"/>
    <hyperlink r:id="rId2431" ref="L2432"/>
    <hyperlink r:id="rId2432" ref="L2433"/>
    <hyperlink r:id="rId2433" ref="L2434"/>
    <hyperlink r:id="rId2434" ref="L2435"/>
    <hyperlink r:id="rId2435" ref="L2436"/>
    <hyperlink r:id="rId2436" ref="L2437"/>
    <hyperlink r:id="rId2437" ref="L2438"/>
    <hyperlink r:id="rId2438" ref="L2439"/>
    <hyperlink r:id="rId2439" ref="L2440"/>
    <hyperlink r:id="rId2440" ref="L2441"/>
    <hyperlink r:id="rId2441" ref="L2442"/>
    <hyperlink r:id="rId2442" ref="L2443"/>
    <hyperlink r:id="rId2443" ref="L2444"/>
    <hyperlink r:id="rId2444" ref="L2445"/>
    <hyperlink r:id="rId2445" ref="L2446"/>
    <hyperlink r:id="rId2446" ref="L2447"/>
    <hyperlink r:id="rId2447" ref="L2448"/>
    <hyperlink r:id="rId2448" ref="L2449"/>
    <hyperlink r:id="rId2449" ref="L2450"/>
    <hyperlink r:id="rId2450" ref="L2451"/>
    <hyperlink r:id="rId2451" ref="L2452"/>
    <hyperlink r:id="rId2452" ref="L2453"/>
    <hyperlink r:id="rId2453" ref="L2454"/>
    <hyperlink r:id="rId2454" ref="L2455"/>
    <hyperlink r:id="rId2455" ref="L2456"/>
    <hyperlink r:id="rId2456" ref="L2457"/>
    <hyperlink r:id="rId2457" ref="L2458"/>
    <hyperlink r:id="rId2458" ref="L2459"/>
    <hyperlink r:id="rId2459" ref="L2460"/>
    <hyperlink r:id="rId2460" ref="L2461"/>
    <hyperlink r:id="rId2461" ref="L2462"/>
    <hyperlink r:id="rId2462" ref="L2463"/>
    <hyperlink r:id="rId2463" ref="L2464"/>
    <hyperlink r:id="rId2464" ref="L2465"/>
    <hyperlink r:id="rId2465" ref="L2466"/>
    <hyperlink r:id="rId2466" ref="L2467"/>
    <hyperlink r:id="rId2467" ref="L2468"/>
    <hyperlink r:id="rId2468" ref="L2469"/>
    <hyperlink r:id="rId2469" ref="L2470"/>
    <hyperlink r:id="rId2470" ref="L2471"/>
    <hyperlink r:id="rId2471" ref="L2472"/>
    <hyperlink r:id="rId2472" ref="L2473"/>
    <hyperlink r:id="rId2473" ref="L2474"/>
    <hyperlink r:id="rId2474" ref="L2475"/>
    <hyperlink r:id="rId2475" ref="L2476"/>
    <hyperlink r:id="rId2476" ref="L2477"/>
    <hyperlink r:id="rId2477" ref="L2478"/>
    <hyperlink r:id="rId2478" ref="L2479"/>
    <hyperlink r:id="rId2479" ref="L2480"/>
    <hyperlink r:id="rId2480" ref="L2481"/>
    <hyperlink r:id="rId2481" ref="L2482"/>
    <hyperlink r:id="rId2482" ref="L2483"/>
    <hyperlink r:id="rId2483" ref="L2484"/>
    <hyperlink r:id="rId2484" ref="L2485"/>
    <hyperlink r:id="rId2485" ref="L2486"/>
    <hyperlink r:id="rId2486" ref="L2487"/>
    <hyperlink r:id="rId2487" ref="L2488"/>
    <hyperlink r:id="rId2488" ref="L2489"/>
    <hyperlink r:id="rId2489" ref="L2490"/>
    <hyperlink r:id="rId2490" ref="L2491"/>
    <hyperlink r:id="rId2491" ref="L2492"/>
    <hyperlink r:id="rId2492" ref="L2493"/>
    <hyperlink r:id="rId2493" ref="L2494"/>
    <hyperlink r:id="rId2494" ref="L2495"/>
    <hyperlink r:id="rId2495" ref="L2496"/>
    <hyperlink r:id="rId2496" ref="L2497"/>
    <hyperlink r:id="rId2497" ref="L2498"/>
    <hyperlink r:id="rId2498" ref="L2499"/>
    <hyperlink r:id="rId2499" ref="L2500"/>
    <hyperlink r:id="rId2500" ref="L2501"/>
    <hyperlink r:id="rId2501" ref="L2502"/>
    <hyperlink r:id="rId2502" ref="L2503"/>
    <hyperlink r:id="rId2503" ref="L2504"/>
    <hyperlink r:id="rId2504" ref="L2505"/>
    <hyperlink r:id="rId2505" ref="L2506"/>
    <hyperlink r:id="rId2506" ref="L2507"/>
    <hyperlink r:id="rId2507" ref="L2508"/>
    <hyperlink r:id="rId2508" ref="L2509"/>
    <hyperlink r:id="rId2509" ref="L2510"/>
    <hyperlink r:id="rId2510" ref="L2511"/>
    <hyperlink r:id="rId2511" ref="L2512"/>
    <hyperlink r:id="rId2512" ref="L2513"/>
    <hyperlink r:id="rId2513" ref="L2514"/>
    <hyperlink r:id="rId2514" ref="L2515"/>
    <hyperlink r:id="rId2515" ref="L2516"/>
    <hyperlink r:id="rId2516" ref="L2517"/>
    <hyperlink r:id="rId2517" ref="L2518"/>
    <hyperlink r:id="rId2518" ref="L2519"/>
    <hyperlink r:id="rId2519" ref="L2520"/>
    <hyperlink r:id="rId2520" ref="L2521"/>
    <hyperlink r:id="rId2521" ref="L2522"/>
    <hyperlink r:id="rId2522" ref="L2523"/>
    <hyperlink r:id="rId2523" ref="L2524"/>
    <hyperlink r:id="rId2524" ref="L2525"/>
    <hyperlink r:id="rId2525" ref="L2526"/>
    <hyperlink r:id="rId2526" ref="L2527"/>
    <hyperlink r:id="rId2527" ref="L2528"/>
    <hyperlink r:id="rId2528" ref="L2529"/>
    <hyperlink r:id="rId2529" ref="L2530"/>
    <hyperlink r:id="rId2530" ref="L2531"/>
    <hyperlink r:id="rId2531" ref="L2532"/>
    <hyperlink r:id="rId2532" ref="L2533"/>
    <hyperlink r:id="rId2533" ref="L2534"/>
    <hyperlink r:id="rId2534" ref="L2535"/>
    <hyperlink r:id="rId2535" ref="L2536"/>
    <hyperlink r:id="rId2536" ref="L2537"/>
    <hyperlink r:id="rId2537" ref="L2538"/>
    <hyperlink r:id="rId2538" ref="L2539"/>
    <hyperlink r:id="rId2539" ref="L2540"/>
    <hyperlink r:id="rId2540" ref="L2541"/>
    <hyperlink r:id="rId2541" ref="L2542"/>
    <hyperlink r:id="rId2542" ref="L2543"/>
    <hyperlink r:id="rId2543" ref="L2544"/>
    <hyperlink r:id="rId2544" ref="L2545"/>
    <hyperlink r:id="rId2545" ref="L2546"/>
    <hyperlink r:id="rId2546" ref="L2547"/>
    <hyperlink r:id="rId2547" ref="L2548"/>
    <hyperlink r:id="rId2548" ref="L2549"/>
    <hyperlink r:id="rId2549" ref="L2550"/>
    <hyperlink r:id="rId2550" ref="L2551"/>
    <hyperlink r:id="rId2551" ref="L2552"/>
    <hyperlink r:id="rId2552" ref="L2553"/>
    <hyperlink r:id="rId2553" ref="L2554"/>
    <hyperlink r:id="rId2554" ref="L2555"/>
    <hyperlink r:id="rId2555" ref="L2556"/>
    <hyperlink r:id="rId2556" ref="L2557"/>
    <hyperlink r:id="rId2557" ref="L2558"/>
    <hyperlink r:id="rId2558" ref="L2559"/>
    <hyperlink r:id="rId2559" ref="L2560"/>
    <hyperlink r:id="rId2560" ref="L2561"/>
    <hyperlink r:id="rId2561" ref="L2562"/>
    <hyperlink r:id="rId2562" ref="L2563"/>
    <hyperlink r:id="rId2563" ref="L2564"/>
    <hyperlink r:id="rId2564" ref="L2565"/>
    <hyperlink r:id="rId2565" ref="L2566"/>
    <hyperlink r:id="rId2566" ref="L2567"/>
    <hyperlink r:id="rId2567" ref="L2568"/>
    <hyperlink r:id="rId2568" ref="L2569"/>
    <hyperlink r:id="rId2569" ref="L2570"/>
    <hyperlink r:id="rId2570" ref="L2571"/>
    <hyperlink r:id="rId2571" ref="L2572"/>
    <hyperlink r:id="rId2572" ref="L2573"/>
    <hyperlink r:id="rId2573" ref="L2574"/>
    <hyperlink r:id="rId2574" ref="L2575"/>
    <hyperlink r:id="rId2575" ref="L2576"/>
    <hyperlink r:id="rId2576" ref="L2577"/>
    <hyperlink r:id="rId2577" ref="L2578"/>
    <hyperlink r:id="rId2578" ref="L2579"/>
    <hyperlink r:id="rId2579" ref="L2580"/>
    <hyperlink r:id="rId2580" ref="L2581"/>
    <hyperlink r:id="rId2581" ref="L2582"/>
    <hyperlink r:id="rId2582" ref="L2583"/>
    <hyperlink r:id="rId2583" ref="L2584"/>
    <hyperlink r:id="rId2584" ref="L2585"/>
    <hyperlink r:id="rId2585" ref="L2586"/>
    <hyperlink r:id="rId2586" ref="L2587"/>
    <hyperlink r:id="rId2587" ref="L2588"/>
    <hyperlink r:id="rId2588" ref="L2589"/>
    <hyperlink r:id="rId2589" ref="L2590"/>
    <hyperlink r:id="rId2590" ref="L2591"/>
    <hyperlink r:id="rId2591" ref="L2592"/>
    <hyperlink r:id="rId2592" ref="L2593"/>
    <hyperlink r:id="rId2593" ref="L2594"/>
    <hyperlink r:id="rId2594" ref="L2595"/>
    <hyperlink r:id="rId2595" ref="L2596"/>
    <hyperlink r:id="rId2596" ref="L2597"/>
    <hyperlink r:id="rId2597" ref="L2598"/>
    <hyperlink r:id="rId2598" ref="L2599"/>
    <hyperlink r:id="rId2599" ref="L2600"/>
    <hyperlink r:id="rId2600" ref="L2601"/>
    <hyperlink r:id="rId2601" ref="L2602"/>
    <hyperlink r:id="rId2602" ref="L2603"/>
    <hyperlink r:id="rId2603" ref="L2604"/>
    <hyperlink r:id="rId2604" ref="L2605"/>
    <hyperlink r:id="rId2605" ref="L2606"/>
    <hyperlink r:id="rId2606" ref="L2607"/>
    <hyperlink r:id="rId2607" ref="L2608"/>
    <hyperlink r:id="rId2608" ref="L2609"/>
    <hyperlink r:id="rId2609" ref="L2610"/>
    <hyperlink r:id="rId2610" ref="L2611"/>
    <hyperlink r:id="rId2611" ref="L2612"/>
    <hyperlink r:id="rId2612" ref="L2613"/>
    <hyperlink r:id="rId2613" ref="L2614"/>
    <hyperlink r:id="rId2614" ref="L2615"/>
    <hyperlink r:id="rId2615" ref="L2616"/>
    <hyperlink r:id="rId2616" ref="L2617"/>
    <hyperlink r:id="rId2617" ref="L2618"/>
    <hyperlink r:id="rId2618" ref="L2619"/>
    <hyperlink r:id="rId2619" ref="L2620"/>
    <hyperlink r:id="rId2620" ref="L2621"/>
    <hyperlink r:id="rId2621" ref="L2622"/>
    <hyperlink r:id="rId2622" ref="L2623"/>
    <hyperlink r:id="rId2623" ref="L2624"/>
    <hyperlink r:id="rId2624" ref="L2625"/>
    <hyperlink r:id="rId2625" ref="L2626"/>
    <hyperlink r:id="rId2626" ref="L2627"/>
    <hyperlink r:id="rId2627" ref="L2628"/>
    <hyperlink r:id="rId2628" ref="L2629"/>
    <hyperlink r:id="rId2629" ref="L2630"/>
    <hyperlink r:id="rId2630" ref="L2631"/>
    <hyperlink r:id="rId2631" ref="L2632"/>
    <hyperlink r:id="rId2632" ref="L2633"/>
    <hyperlink r:id="rId2633" ref="L2634"/>
    <hyperlink r:id="rId2634" ref="L2635"/>
    <hyperlink r:id="rId2635" ref="L2636"/>
    <hyperlink r:id="rId2636" ref="L2637"/>
    <hyperlink r:id="rId2637" ref="L2638"/>
    <hyperlink r:id="rId2638" ref="L2639"/>
    <hyperlink r:id="rId2639" ref="L2640"/>
    <hyperlink r:id="rId2640" ref="L2641"/>
    <hyperlink r:id="rId2641" ref="L2642"/>
    <hyperlink r:id="rId2642" ref="L2643"/>
    <hyperlink r:id="rId2643" ref="L2644"/>
    <hyperlink r:id="rId2644" ref="L2645"/>
    <hyperlink r:id="rId2645" ref="L2646"/>
    <hyperlink r:id="rId2646" ref="L2647"/>
    <hyperlink r:id="rId2647" ref="L2648"/>
    <hyperlink r:id="rId2648" ref="L2649"/>
    <hyperlink r:id="rId2649" ref="L2650"/>
    <hyperlink r:id="rId2650" ref="L2651"/>
    <hyperlink r:id="rId2651" ref="L2652"/>
    <hyperlink r:id="rId2652" ref="L2653"/>
    <hyperlink r:id="rId2653" ref="L2654"/>
    <hyperlink r:id="rId2654" ref="L2655"/>
    <hyperlink r:id="rId2655" ref="L2656"/>
    <hyperlink r:id="rId2656" ref="L2657"/>
    <hyperlink r:id="rId2657" ref="L2658"/>
    <hyperlink r:id="rId2658" ref="L2659"/>
    <hyperlink r:id="rId2659" ref="L2660"/>
    <hyperlink r:id="rId2660" ref="L2661"/>
    <hyperlink r:id="rId2661" ref="L2662"/>
    <hyperlink r:id="rId2662" ref="L2663"/>
    <hyperlink r:id="rId2663" ref="L2664"/>
    <hyperlink r:id="rId2664" ref="L2665"/>
    <hyperlink r:id="rId2665" ref="L2666"/>
    <hyperlink r:id="rId2666" ref="L2667"/>
    <hyperlink r:id="rId2667" ref="L2668"/>
    <hyperlink r:id="rId2668" ref="L2669"/>
    <hyperlink r:id="rId2669" ref="L2670"/>
    <hyperlink r:id="rId2670" ref="L2671"/>
    <hyperlink r:id="rId2671" ref="L2672"/>
    <hyperlink r:id="rId2672" ref="L2673"/>
    <hyperlink r:id="rId2673" ref="L2674"/>
    <hyperlink r:id="rId2674" ref="L2675"/>
    <hyperlink r:id="rId2675" ref="L2676"/>
    <hyperlink r:id="rId2676" ref="L2677"/>
    <hyperlink r:id="rId2677" ref="L2678"/>
    <hyperlink r:id="rId2678" ref="L2679"/>
    <hyperlink r:id="rId2679" ref="L2680"/>
    <hyperlink r:id="rId2680" ref="L2681"/>
    <hyperlink r:id="rId2681" ref="L2682"/>
    <hyperlink r:id="rId2682" ref="L2683"/>
    <hyperlink r:id="rId2683" ref="L2684"/>
    <hyperlink r:id="rId2684" ref="L2685"/>
    <hyperlink r:id="rId2685" ref="L2686"/>
    <hyperlink r:id="rId2686" ref="L2687"/>
    <hyperlink r:id="rId2687" ref="L2688"/>
    <hyperlink r:id="rId2688" ref="L2689"/>
    <hyperlink r:id="rId2689" ref="L2690"/>
    <hyperlink r:id="rId2690" ref="L2691"/>
    <hyperlink r:id="rId2691" ref="L2692"/>
    <hyperlink r:id="rId2692" ref="L2693"/>
    <hyperlink r:id="rId2693" ref="L2694"/>
    <hyperlink r:id="rId2694" ref="L2695"/>
    <hyperlink r:id="rId2695" ref="L2696"/>
    <hyperlink r:id="rId2696" ref="L2697"/>
    <hyperlink r:id="rId2697" ref="L2698"/>
    <hyperlink r:id="rId2698" ref="L2699"/>
    <hyperlink r:id="rId2699" ref="L2700"/>
    <hyperlink r:id="rId2700" ref="L2701"/>
    <hyperlink r:id="rId2701" ref="L2702"/>
    <hyperlink r:id="rId2702" ref="L2703"/>
    <hyperlink r:id="rId2703" ref="L2704"/>
    <hyperlink r:id="rId2704" ref="L2705"/>
    <hyperlink r:id="rId2705" ref="L2706"/>
    <hyperlink r:id="rId2706" ref="L2707"/>
    <hyperlink r:id="rId2707" ref="L2708"/>
    <hyperlink r:id="rId2708" ref="L2709"/>
    <hyperlink r:id="rId2709" ref="L2710"/>
    <hyperlink r:id="rId2710" ref="L2711"/>
    <hyperlink r:id="rId2711" ref="L2712"/>
    <hyperlink r:id="rId2712" ref="L2713"/>
    <hyperlink r:id="rId2713" ref="L2714"/>
    <hyperlink r:id="rId2714" ref="L2715"/>
    <hyperlink r:id="rId2715" ref="L2716"/>
    <hyperlink r:id="rId2716" ref="L2717"/>
    <hyperlink r:id="rId2717" ref="L2718"/>
    <hyperlink r:id="rId2718" ref="L2719"/>
    <hyperlink r:id="rId2719" ref="L2720"/>
    <hyperlink r:id="rId2720" ref="L2721"/>
    <hyperlink r:id="rId2721" ref="L2722"/>
    <hyperlink r:id="rId2722" ref="L2723"/>
    <hyperlink r:id="rId2723" ref="L2724"/>
    <hyperlink r:id="rId2724" ref="L2725"/>
    <hyperlink r:id="rId2725" ref="L2726"/>
    <hyperlink r:id="rId2726" ref="L2727"/>
    <hyperlink r:id="rId2727" ref="L2728"/>
    <hyperlink r:id="rId2728" ref="L2729"/>
    <hyperlink r:id="rId2729" ref="L2730"/>
    <hyperlink r:id="rId2730" ref="L2731"/>
    <hyperlink r:id="rId2731" ref="L2732"/>
    <hyperlink r:id="rId2732" ref="L2733"/>
    <hyperlink r:id="rId2733" ref="L2734"/>
    <hyperlink r:id="rId2734" ref="L2735"/>
    <hyperlink r:id="rId2735" ref="L2736"/>
    <hyperlink r:id="rId2736" ref="L2737"/>
    <hyperlink r:id="rId2737" ref="L2738"/>
    <hyperlink r:id="rId2738" ref="L2739"/>
    <hyperlink r:id="rId2739" ref="L2740"/>
    <hyperlink r:id="rId2740" ref="L2741"/>
    <hyperlink r:id="rId2741" ref="L2742"/>
    <hyperlink r:id="rId2742" ref="L2743"/>
    <hyperlink r:id="rId2743" ref="L2744"/>
    <hyperlink r:id="rId2744" ref="L2745"/>
    <hyperlink r:id="rId2745" ref="L2746"/>
    <hyperlink r:id="rId2746" ref="L2747"/>
    <hyperlink r:id="rId2747" ref="L2748"/>
    <hyperlink r:id="rId2748" ref="L2749"/>
    <hyperlink r:id="rId2749" ref="L2750"/>
    <hyperlink r:id="rId2750" ref="L2751"/>
    <hyperlink r:id="rId2751" ref="L2752"/>
    <hyperlink r:id="rId2752" ref="L2753"/>
    <hyperlink r:id="rId2753" ref="L2754"/>
    <hyperlink r:id="rId2754" ref="L2755"/>
    <hyperlink r:id="rId2755" ref="L2756"/>
    <hyperlink r:id="rId2756" ref="L2757"/>
    <hyperlink r:id="rId2757" ref="L2758"/>
    <hyperlink r:id="rId2758" ref="L2759"/>
    <hyperlink r:id="rId2759" ref="L2760"/>
    <hyperlink r:id="rId2760" ref="L2761"/>
    <hyperlink r:id="rId2761" ref="L2762"/>
    <hyperlink r:id="rId2762" ref="L2763"/>
    <hyperlink r:id="rId2763" ref="L2764"/>
    <hyperlink r:id="rId2764" ref="L2765"/>
    <hyperlink r:id="rId2765" ref="L2766"/>
    <hyperlink r:id="rId2766" ref="L2767"/>
    <hyperlink r:id="rId2767" ref="L2768"/>
    <hyperlink r:id="rId2768" ref="L2769"/>
    <hyperlink r:id="rId2769" ref="L2770"/>
    <hyperlink r:id="rId2770" ref="L2771"/>
    <hyperlink r:id="rId2771" ref="L2772"/>
    <hyperlink r:id="rId2772" ref="L2773"/>
    <hyperlink r:id="rId2773" ref="L2774"/>
    <hyperlink r:id="rId2774" ref="L2775"/>
    <hyperlink r:id="rId2775" ref="L2776"/>
    <hyperlink r:id="rId2776" ref="L2777"/>
    <hyperlink r:id="rId2777" ref="L2778"/>
    <hyperlink r:id="rId2778" ref="L2779"/>
    <hyperlink r:id="rId2779" ref="L2780"/>
    <hyperlink r:id="rId2780" ref="L2781"/>
    <hyperlink r:id="rId2781" ref="L2782"/>
    <hyperlink r:id="rId2782" ref="L2783"/>
    <hyperlink r:id="rId2783" ref="L2784"/>
    <hyperlink r:id="rId2784" ref="L2785"/>
    <hyperlink r:id="rId2785" ref="L2786"/>
    <hyperlink r:id="rId2786" ref="L2787"/>
    <hyperlink r:id="rId2787" ref="L2788"/>
    <hyperlink r:id="rId2788" ref="L2789"/>
    <hyperlink r:id="rId2789" ref="L2790"/>
    <hyperlink r:id="rId2790" ref="L2791"/>
    <hyperlink r:id="rId2791" ref="L2792"/>
    <hyperlink r:id="rId2792" ref="L2793"/>
    <hyperlink r:id="rId2793" ref="L2794"/>
    <hyperlink r:id="rId2794" ref="L2795"/>
    <hyperlink r:id="rId2795" ref="L2796"/>
    <hyperlink r:id="rId2796" ref="L2797"/>
    <hyperlink r:id="rId2797" ref="L2798"/>
    <hyperlink r:id="rId2798" ref="L2799"/>
    <hyperlink r:id="rId2799" ref="L2800"/>
    <hyperlink r:id="rId2800" ref="L2801"/>
    <hyperlink r:id="rId2801" ref="L2802"/>
    <hyperlink r:id="rId2802" ref="L2803"/>
    <hyperlink r:id="rId2803" ref="L2804"/>
    <hyperlink r:id="rId2804" ref="L2805"/>
    <hyperlink r:id="rId2805" ref="L2806"/>
    <hyperlink r:id="rId2806" ref="L2807"/>
    <hyperlink r:id="rId2807" ref="L2808"/>
    <hyperlink r:id="rId2808" ref="L2809"/>
    <hyperlink r:id="rId2809" ref="L2810"/>
    <hyperlink r:id="rId2810" ref="L2811"/>
    <hyperlink r:id="rId2811" ref="L2812"/>
    <hyperlink r:id="rId2812" ref="L2813"/>
    <hyperlink r:id="rId2813" ref="L2814"/>
    <hyperlink r:id="rId2814" ref="L2815"/>
    <hyperlink r:id="rId2815" ref="L2816"/>
    <hyperlink r:id="rId2816" ref="L2817"/>
    <hyperlink r:id="rId2817" ref="L2818"/>
    <hyperlink r:id="rId2818" ref="L2819"/>
    <hyperlink r:id="rId2819" ref="L2820"/>
    <hyperlink r:id="rId2820" ref="L2821"/>
    <hyperlink r:id="rId2821" ref="L2822"/>
    <hyperlink r:id="rId2822" ref="L2823"/>
    <hyperlink r:id="rId2823" ref="L2824"/>
    <hyperlink r:id="rId2824" ref="L2825"/>
    <hyperlink r:id="rId2825" ref="L2826"/>
    <hyperlink r:id="rId2826" ref="L2827"/>
    <hyperlink r:id="rId2827" ref="L2828"/>
    <hyperlink r:id="rId2828" ref="L2829"/>
    <hyperlink r:id="rId2829" ref="L2830"/>
    <hyperlink r:id="rId2830" ref="L2831"/>
    <hyperlink r:id="rId2831" ref="L2832"/>
    <hyperlink r:id="rId2832" ref="L2833"/>
    <hyperlink r:id="rId2833" ref="L2834"/>
    <hyperlink r:id="rId2834" ref="L2835"/>
    <hyperlink r:id="rId2835" ref="L2836"/>
    <hyperlink r:id="rId2836" ref="L2837"/>
    <hyperlink r:id="rId2837" ref="L2838"/>
    <hyperlink r:id="rId2838" ref="L2839"/>
    <hyperlink r:id="rId2839" ref="L2840"/>
    <hyperlink r:id="rId2840" ref="L2841"/>
    <hyperlink r:id="rId2841" ref="L2842"/>
    <hyperlink r:id="rId2842" ref="L2843"/>
    <hyperlink r:id="rId2843" ref="L2844"/>
    <hyperlink r:id="rId2844" ref="L2845"/>
    <hyperlink r:id="rId2845" ref="L2846"/>
    <hyperlink r:id="rId2846" ref="L2847"/>
    <hyperlink r:id="rId2847" ref="L2848"/>
    <hyperlink r:id="rId2848" ref="L2849"/>
    <hyperlink r:id="rId2849" ref="L2850"/>
    <hyperlink r:id="rId2850" ref="L2851"/>
    <hyperlink r:id="rId2851" ref="L2852"/>
    <hyperlink r:id="rId2852" ref="L2853"/>
    <hyperlink r:id="rId2853" ref="L2854"/>
    <hyperlink r:id="rId2854" ref="L2855"/>
    <hyperlink r:id="rId2855" ref="L2856"/>
    <hyperlink r:id="rId2856" ref="L2857"/>
    <hyperlink r:id="rId2857" ref="L2858"/>
    <hyperlink r:id="rId2858" ref="L2859"/>
    <hyperlink r:id="rId2859" ref="L2860"/>
    <hyperlink r:id="rId2860" ref="L2861"/>
    <hyperlink r:id="rId2861" ref="L2862"/>
    <hyperlink r:id="rId2862" ref="L2863"/>
    <hyperlink r:id="rId2863" ref="L2864"/>
    <hyperlink r:id="rId2864" ref="L2865"/>
    <hyperlink r:id="rId2865" ref="L2866"/>
    <hyperlink r:id="rId2866" ref="L2867"/>
    <hyperlink r:id="rId2867" ref="L2868"/>
    <hyperlink r:id="rId2868" ref="L2869"/>
    <hyperlink r:id="rId2869" ref="L2870"/>
    <hyperlink r:id="rId2870" ref="L2871"/>
    <hyperlink r:id="rId2871" ref="L2872"/>
    <hyperlink r:id="rId2872" ref="L2873"/>
    <hyperlink r:id="rId2873" ref="L2874"/>
    <hyperlink r:id="rId2874" ref="L2875"/>
    <hyperlink r:id="rId2875" ref="L2876"/>
    <hyperlink r:id="rId2876" ref="L2877"/>
    <hyperlink r:id="rId2877" ref="L2878"/>
    <hyperlink r:id="rId2878" ref="L2879"/>
    <hyperlink r:id="rId2879" ref="L2880"/>
    <hyperlink r:id="rId2880" ref="L2881"/>
    <hyperlink r:id="rId2881" ref="L2882"/>
    <hyperlink r:id="rId2882" ref="L2883"/>
    <hyperlink r:id="rId2883" ref="L2884"/>
    <hyperlink r:id="rId2884" ref="L2885"/>
    <hyperlink r:id="rId2885" ref="L2886"/>
    <hyperlink r:id="rId2886" ref="L2887"/>
    <hyperlink r:id="rId2887" ref="L2888"/>
    <hyperlink r:id="rId2888" ref="L2889"/>
    <hyperlink r:id="rId2889" ref="L2890"/>
    <hyperlink r:id="rId2890" ref="L2891"/>
    <hyperlink r:id="rId2891" ref="L2892"/>
    <hyperlink r:id="rId2892" ref="L2893"/>
    <hyperlink r:id="rId2893" ref="L2894"/>
    <hyperlink r:id="rId2894" ref="L2895"/>
    <hyperlink r:id="rId2895" ref="L2896"/>
    <hyperlink r:id="rId2896" ref="L2897"/>
    <hyperlink r:id="rId2897" ref="L2898"/>
    <hyperlink r:id="rId2898" ref="L2899"/>
    <hyperlink r:id="rId2899" ref="L2900"/>
    <hyperlink r:id="rId2900" ref="L2901"/>
    <hyperlink r:id="rId2901" ref="L2902"/>
    <hyperlink r:id="rId2902" ref="L2903"/>
    <hyperlink r:id="rId2903" ref="L2904"/>
    <hyperlink r:id="rId2904" ref="L2905"/>
    <hyperlink r:id="rId2905" ref="L2906"/>
    <hyperlink r:id="rId2906" ref="L2907"/>
    <hyperlink r:id="rId2907" ref="L2908"/>
    <hyperlink r:id="rId2908" ref="L2909"/>
    <hyperlink r:id="rId2909" ref="L2910"/>
    <hyperlink r:id="rId2910" ref="L2911"/>
    <hyperlink r:id="rId2911" ref="L2912"/>
    <hyperlink r:id="rId2912" ref="L2913"/>
    <hyperlink r:id="rId2913" ref="L2914"/>
    <hyperlink r:id="rId2914" ref="L2915"/>
    <hyperlink r:id="rId2915" ref="L2916"/>
    <hyperlink r:id="rId2916" ref="L2917"/>
    <hyperlink r:id="rId2917" ref="L2918"/>
    <hyperlink r:id="rId2918" ref="L2919"/>
    <hyperlink r:id="rId2919" ref="L2920"/>
    <hyperlink r:id="rId2920" ref="L2921"/>
    <hyperlink r:id="rId2921" ref="L2922"/>
    <hyperlink r:id="rId2922" ref="L2923"/>
    <hyperlink r:id="rId2923" ref="L2924"/>
    <hyperlink r:id="rId2924" ref="L2925"/>
    <hyperlink r:id="rId2925" ref="L2926"/>
    <hyperlink r:id="rId2926" ref="L2927"/>
    <hyperlink r:id="rId2927" ref="L2928"/>
    <hyperlink r:id="rId2928" ref="L2929"/>
    <hyperlink r:id="rId2929" ref="L2930"/>
    <hyperlink r:id="rId2930" ref="L2931"/>
    <hyperlink r:id="rId2931" ref="L2932"/>
    <hyperlink r:id="rId2932" ref="L2933"/>
    <hyperlink r:id="rId2933" ref="L2934"/>
    <hyperlink r:id="rId2934" ref="L2935"/>
    <hyperlink r:id="rId2935" ref="L2936"/>
    <hyperlink r:id="rId2936" ref="L2937"/>
    <hyperlink r:id="rId2937" ref="L2938"/>
    <hyperlink r:id="rId2938" ref="L2939"/>
    <hyperlink r:id="rId2939" ref="L2940"/>
    <hyperlink r:id="rId2940" ref="L2941"/>
    <hyperlink r:id="rId2941" ref="L2942"/>
    <hyperlink r:id="rId2942" ref="L2943"/>
    <hyperlink r:id="rId2943" ref="L2944"/>
    <hyperlink r:id="rId2944" ref="L2945"/>
    <hyperlink r:id="rId2945" ref="L2946"/>
    <hyperlink r:id="rId2946" ref="L2947"/>
    <hyperlink r:id="rId2947" ref="L2948"/>
    <hyperlink r:id="rId2948" ref="L2949"/>
    <hyperlink r:id="rId2949" ref="L2950"/>
    <hyperlink r:id="rId2950" ref="L2951"/>
    <hyperlink r:id="rId2951" ref="L2952"/>
    <hyperlink r:id="rId2952" ref="L2953"/>
    <hyperlink r:id="rId2953" ref="L2954"/>
    <hyperlink r:id="rId2954" ref="L2955"/>
    <hyperlink r:id="rId2955" ref="L2956"/>
    <hyperlink r:id="rId2956" ref="L2957"/>
    <hyperlink r:id="rId2957" ref="L2958"/>
    <hyperlink r:id="rId2958" ref="L2959"/>
    <hyperlink r:id="rId2959" ref="L2960"/>
    <hyperlink r:id="rId2960" ref="L2961"/>
    <hyperlink r:id="rId2961" ref="L2962"/>
    <hyperlink r:id="rId2962" ref="L2963"/>
    <hyperlink r:id="rId2963" ref="L2964"/>
    <hyperlink r:id="rId2964" ref="L2965"/>
    <hyperlink r:id="rId2965" ref="L2966"/>
    <hyperlink r:id="rId2966" ref="L2967"/>
    <hyperlink r:id="rId2967" ref="L2968"/>
    <hyperlink r:id="rId2968" ref="L2969"/>
    <hyperlink r:id="rId2969" ref="L2970"/>
    <hyperlink r:id="rId2970" ref="L2971"/>
    <hyperlink r:id="rId2971" ref="L2972"/>
    <hyperlink r:id="rId2972" ref="L2973"/>
    <hyperlink r:id="rId2973" ref="L2974"/>
    <hyperlink r:id="rId2974" ref="L2975"/>
    <hyperlink r:id="rId2975" ref="L2976"/>
    <hyperlink r:id="rId2976" ref="L2977"/>
    <hyperlink r:id="rId2977" ref="L2978"/>
    <hyperlink r:id="rId2978" ref="L2979"/>
    <hyperlink r:id="rId2979" ref="L2980"/>
    <hyperlink r:id="rId2980" ref="L2981"/>
    <hyperlink r:id="rId2981" ref="L2982"/>
    <hyperlink r:id="rId2982" ref="L2983"/>
    <hyperlink r:id="rId2983" ref="L2984"/>
    <hyperlink r:id="rId2984" ref="L2985"/>
    <hyperlink r:id="rId2985" ref="L2986"/>
    <hyperlink r:id="rId2986" ref="L2987"/>
    <hyperlink r:id="rId2987" ref="L2988"/>
    <hyperlink r:id="rId2988" ref="L2989"/>
    <hyperlink r:id="rId2989" ref="L2990"/>
    <hyperlink r:id="rId2990" ref="L2991"/>
    <hyperlink r:id="rId2991" ref="L2992"/>
    <hyperlink r:id="rId2992" ref="L2993"/>
    <hyperlink r:id="rId2993" ref="L2994"/>
    <hyperlink r:id="rId2994" ref="L2995"/>
    <hyperlink r:id="rId2995" ref="L2996"/>
    <hyperlink r:id="rId2996" ref="L2997"/>
    <hyperlink r:id="rId2997" ref="L2998"/>
    <hyperlink r:id="rId2998" ref="L2999"/>
    <hyperlink r:id="rId2999" ref="L3000"/>
    <hyperlink r:id="rId3000" ref="L3001"/>
    <hyperlink r:id="rId3001" ref="L3002"/>
    <hyperlink r:id="rId3002" ref="L3003"/>
    <hyperlink r:id="rId3003" ref="L3004"/>
    <hyperlink r:id="rId3004" ref="L3005"/>
    <hyperlink r:id="rId3005" ref="L3006"/>
    <hyperlink r:id="rId3006" ref="L3007"/>
    <hyperlink r:id="rId3007" ref="L3008"/>
    <hyperlink r:id="rId3008" ref="L3009"/>
    <hyperlink r:id="rId3009" ref="L3010"/>
    <hyperlink r:id="rId3010" ref="L3011"/>
    <hyperlink r:id="rId3011" ref="L3012"/>
    <hyperlink r:id="rId3012" ref="L3013"/>
    <hyperlink r:id="rId3013" ref="L3014"/>
    <hyperlink r:id="rId3014" ref="L3015"/>
    <hyperlink r:id="rId3015" ref="L3016"/>
    <hyperlink r:id="rId3016" ref="L3017"/>
    <hyperlink r:id="rId3017" ref="L3018"/>
    <hyperlink r:id="rId3018" ref="L3019"/>
    <hyperlink r:id="rId3019" ref="L3020"/>
    <hyperlink r:id="rId3020" ref="L3021"/>
    <hyperlink r:id="rId3021" ref="L3022"/>
    <hyperlink r:id="rId3022" ref="L3023"/>
    <hyperlink r:id="rId3023" ref="L3024"/>
    <hyperlink r:id="rId3024" ref="L3025"/>
    <hyperlink r:id="rId3025" ref="L3026"/>
    <hyperlink r:id="rId3026" ref="L3027"/>
    <hyperlink r:id="rId3027" ref="L3028"/>
    <hyperlink r:id="rId3028" ref="L3029"/>
    <hyperlink r:id="rId3029" ref="L3030"/>
    <hyperlink r:id="rId3030" ref="L3031"/>
    <hyperlink r:id="rId3031" ref="L3032"/>
    <hyperlink r:id="rId3032" ref="L3033"/>
    <hyperlink r:id="rId3033" ref="L3034"/>
    <hyperlink r:id="rId3034" ref="L3035"/>
    <hyperlink r:id="rId3035" ref="L3036"/>
    <hyperlink r:id="rId3036" ref="L3037"/>
    <hyperlink r:id="rId3037" ref="L3038"/>
    <hyperlink r:id="rId3038" ref="L3039"/>
    <hyperlink r:id="rId3039" ref="L3040"/>
    <hyperlink r:id="rId3040" ref="L3041"/>
    <hyperlink r:id="rId3041" ref="L3042"/>
    <hyperlink r:id="rId3042" ref="L3043"/>
    <hyperlink r:id="rId3043" ref="L3044"/>
    <hyperlink r:id="rId3044" ref="L3045"/>
    <hyperlink r:id="rId3045" ref="L3046"/>
    <hyperlink r:id="rId3046" ref="L3047"/>
    <hyperlink r:id="rId3047" ref="L3048"/>
    <hyperlink r:id="rId3048" ref="L3049"/>
    <hyperlink r:id="rId3049" ref="L3050"/>
    <hyperlink r:id="rId3050" ref="L3051"/>
    <hyperlink r:id="rId3051" ref="L3052"/>
    <hyperlink r:id="rId3052" ref="L3053"/>
    <hyperlink r:id="rId3053" ref="L3054"/>
    <hyperlink r:id="rId3054" ref="L3055"/>
    <hyperlink r:id="rId3055" ref="L3056"/>
    <hyperlink r:id="rId3056" ref="L3057"/>
    <hyperlink r:id="rId3057" ref="L3058"/>
    <hyperlink r:id="rId3058" ref="L3059"/>
    <hyperlink r:id="rId3059" ref="L3060"/>
    <hyperlink r:id="rId3060" ref="L3061"/>
    <hyperlink r:id="rId3061" ref="L3062"/>
    <hyperlink r:id="rId3062" ref="L3063"/>
    <hyperlink r:id="rId3063" ref="L3064"/>
    <hyperlink r:id="rId3064" ref="L3065"/>
    <hyperlink r:id="rId3065" ref="L3066"/>
    <hyperlink r:id="rId3066" ref="L3067"/>
    <hyperlink r:id="rId3067" ref="L3068"/>
    <hyperlink r:id="rId3068" ref="L3069"/>
    <hyperlink r:id="rId3069" ref="L3070"/>
    <hyperlink r:id="rId3070" ref="L3071"/>
    <hyperlink r:id="rId3071" ref="L3072"/>
    <hyperlink r:id="rId3072" ref="L3073"/>
    <hyperlink r:id="rId3073" ref="L3074"/>
    <hyperlink r:id="rId3074" ref="L3075"/>
    <hyperlink r:id="rId3075" ref="L3076"/>
    <hyperlink r:id="rId3076" ref="L3077"/>
    <hyperlink r:id="rId3077" ref="L3078"/>
    <hyperlink r:id="rId3078" ref="L3079"/>
    <hyperlink r:id="rId3079" ref="L3080"/>
    <hyperlink r:id="rId3080" ref="L3081"/>
    <hyperlink r:id="rId3081" ref="L3082"/>
    <hyperlink r:id="rId3082" ref="L3083"/>
    <hyperlink r:id="rId3083" ref="L3084"/>
    <hyperlink r:id="rId3084" ref="L3085"/>
    <hyperlink r:id="rId3085" ref="L3086"/>
    <hyperlink r:id="rId3086" ref="L3087"/>
    <hyperlink r:id="rId3087" ref="L3088"/>
    <hyperlink r:id="rId3088" ref="L3089"/>
    <hyperlink r:id="rId3089" ref="L3090"/>
    <hyperlink r:id="rId3090" ref="L3091"/>
    <hyperlink r:id="rId3091" ref="L3092"/>
    <hyperlink r:id="rId3092" ref="L3093"/>
    <hyperlink r:id="rId3093" ref="L3094"/>
    <hyperlink r:id="rId3094" ref="L3095"/>
    <hyperlink r:id="rId3095" ref="L3096"/>
    <hyperlink r:id="rId3096" ref="L3097"/>
    <hyperlink r:id="rId3097" ref="L3098"/>
    <hyperlink r:id="rId3098" ref="L3099"/>
    <hyperlink r:id="rId3099" ref="L3100"/>
    <hyperlink r:id="rId3100" ref="L3101"/>
    <hyperlink r:id="rId3101" ref="L3102"/>
    <hyperlink r:id="rId3102" ref="L3103"/>
    <hyperlink r:id="rId3103" ref="L3104"/>
    <hyperlink r:id="rId3104" ref="L3105"/>
    <hyperlink r:id="rId3105" ref="L3106"/>
    <hyperlink r:id="rId3106" ref="L3107"/>
    <hyperlink r:id="rId3107" ref="L3108"/>
    <hyperlink r:id="rId3108" ref="L3109"/>
    <hyperlink r:id="rId3109" ref="L3110"/>
    <hyperlink r:id="rId3110" ref="L3111"/>
    <hyperlink r:id="rId3111" ref="L3112"/>
    <hyperlink r:id="rId3112" ref="L3113"/>
    <hyperlink r:id="rId3113" ref="L3114"/>
    <hyperlink r:id="rId3114" ref="L3115"/>
    <hyperlink r:id="rId3115" ref="L3116"/>
    <hyperlink r:id="rId3116" ref="L3117"/>
    <hyperlink r:id="rId3117" ref="L3118"/>
    <hyperlink r:id="rId3118" ref="L3119"/>
    <hyperlink r:id="rId3119" ref="L3120"/>
    <hyperlink r:id="rId3120" ref="L3121"/>
    <hyperlink r:id="rId3121" ref="L3122"/>
    <hyperlink r:id="rId3122" ref="L3123"/>
    <hyperlink r:id="rId3123" ref="L3124"/>
    <hyperlink r:id="rId3124" ref="L3125"/>
    <hyperlink r:id="rId3125" ref="L3126"/>
    <hyperlink r:id="rId3126" ref="L3127"/>
    <hyperlink r:id="rId3127" ref="L3128"/>
    <hyperlink r:id="rId3128" ref="L3129"/>
    <hyperlink r:id="rId3129" ref="L3130"/>
    <hyperlink r:id="rId3130" ref="L3131"/>
    <hyperlink r:id="rId3131" ref="L3132"/>
    <hyperlink r:id="rId3132" ref="L3133"/>
    <hyperlink r:id="rId3133" ref="L3134"/>
    <hyperlink r:id="rId3134" ref="L3135"/>
    <hyperlink r:id="rId3135" ref="L3136"/>
    <hyperlink r:id="rId3136" ref="L3137"/>
    <hyperlink r:id="rId3137" ref="L3138"/>
    <hyperlink r:id="rId3138" ref="L3139"/>
    <hyperlink r:id="rId3139" ref="L3140"/>
    <hyperlink r:id="rId3140" ref="L3141"/>
    <hyperlink r:id="rId3141" ref="L3142"/>
    <hyperlink r:id="rId3142" ref="L3143"/>
    <hyperlink r:id="rId3143" ref="L3144"/>
    <hyperlink r:id="rId3144" ref="L3145"/>
    <hyperlink r:id="rId3145" ref="L3146"/>
    <hyperlink r:id="rId3146" ref="L3147"/>
    <hyperlink r:id="rId3147" ref="L3148"/>
    <hyperlink r:id="rId3148" ref="L3149"/>
    <hyperlink r:id="rId3149" ref="L3150"/>
    <hyperlink r:id="rId3150" ref="L3151"/>
    <hyperlink r:id="rId3151" ref="L3152"/>
    <hyperlink r:id="rId3152" ref="L3153"/>
    <hyperlink r:id="rId3153" ref="L3154"/>
    <hyperlink r:id="rId3154" ref="L3155"/>
    <hyperlink r:id="rId3155" ref="L3156"/>
    <hyperlink r:id="rId3156" ref="L3157"/>
    <hyperlink r:id="rId3157" ref="L3158"/>
    <hyperlink r:id="rId3158" ref="L3159"/>
    <hyperlink r:id="rId3159" ref="L3160"/>
    <hyperlink r:id="rId3160" ref="L3161"/>
    <hyperlink r:id="rId3161" ref="L3162"/>
    <hyperlink r:id="rId3162" ref="L3163"/>
    <hyperlink r:id="rId3163" ref="L3164"/>
    <hyperlink r:id="rId3164" ref="L3165"/>
    <hyperlink r:id="rId3165" ref="L3166"/>
    <hyperlink r:id="rId3166" ref="L3167"/>
    <hyperlink r:id="rId3167" ref="L3168"/>
    <hyperlink r:id="rId3168" ref="L3169"/>
    <hyperlink r:id="rId3169" ref="L3170"/>
    <hyperlink r:id="rId3170" ref="L3171"/>
    <hyperlink r:id="rId3171" ref="L3172"/>
    <hyperlink r:id="rId3172" ref="L3173"/>
    <hyperlink r:id="rId3173" ref="L3174"/>
    <hyperlink r:id="rId3174" ref="L3175"/>
    <hyperlink r:id="rId3175" ref="L3176"/>
    <hyperlink r:id="rId3176" ref="L3177"/>
    <hyperlink r:id="rId3177" ref="L3178"/>
    <hyperlink r:id="rId3178" ref="L3179"/>
    <hyperlink r:id="rId3179" ref="L3180"/>
    <hyperlink r:id="rId3180" ref="L3181"/>
    <hyperlink r:id="rId3181" ref="L3182"/>
    <hyperlink r:id="rId3182" ref="L3183"/>
    <hyperlink r:id="rId3183" ref="L3184"/>
    <hyperlink r:id="rId3184" ref="L3185"/>
    <hyperlink r:id="rId3185" ref="L3186"/>
    <hyperlink r:id="rId3186" ref="L3187"/>
    <hyperlink r:id="rId3187" ref="L3188"/>
    <hyperlink r:id="rId3188" ref="L3189"/>
    <hyperlink r:id="rId3189" ref="L3190"/>
    <hyperlink r:id="rId3190" ref="L3191"/>
    <hyperlink r:id="rId3191" ref="L3192"/>
    <hyperlink r:id="rId3192" ref="L3193"/>
    <hyperlink r:id="rId3193" ref="L3194"/>
    <hyperlink r:id="rId3194" ref="L3195"/>
    <hyperlink r:id="rId3195" ref="L3196"/>
    <hyperlink r:id="rId3196" ref="L3197"/>
    <hyperlink r:id="rId3197" ref="L3198"/>
    <hyperlink r:id="rId3198" ref="L3199"/>
    <hyperlink r:id="rId3199" ref="L3200"/>
    <hyperlink r:id="rId3200" ref="L3201"/>
    <hyperlink r:id="rId3201" ref="L3202"/>
    <hyperlink r:id="rId3202" ref="L3203"/>
    <hyperlink r:id="rId3203" ref="L3204"/>
    <hyperlink r:id="rId3204" ref="L3205"/>
    <hyperlink r:id="rId3205" ref="L3206"/>
    <hyperlink r:id="rId3206" ref="L3207"/>
    <hyperlink r:id="rId3207" ref="L3208"/>
    <hyperlink r:id="rId3208" ref="L3209"/>
    <hyperlink r:id="rId3209" ref="L3210"/>
    <hyperlink r:id="rId3210" ref="L3211"/>
    <hyperlink r:id="rId3211" ref="L3212"/>
    <hyperlink r:id="rId3212" ref="L3213"/>
    <hyperlink r:id="rId3213" ref="L3214"/>
    <hyperlink r:id="rId3214" ref="L3215"/>
    <hyperlink r:id="rId3215" ref="L3216"/>
    <hyperlink r:id="rId3216" ref="L3217"/>
    <hyperlink r:id="rId3217" ref="L3218"/>
    <hyperlink r:id="rId3218" ref="L3219"/>
    <hyperlink r:id="rId3219" ref="L3220"/>
    <hyperlink r:id="rId3220" ref="L3221"/>
    <hyperlink r:id="rId3221" ref="L3222"/>
    <hyperlink r:id="rId3222" ref="L3223"/>
    <hyperlink r:id="rId3223" ref="L3224"/>
    <hyperlink r:id="rId3224" ref="L3225"/>
    <hyperlink r:id="rId3225" ref="L3226"/>
    <hyperlink r:id="rId3226" ref="L3227"/>
    <hyperlink r:id="rId3227" ref="L3228"/>
    <hyperlink r:id="rId3228" ref="L3229"/>
    <hyperlink r:id="rId3229" ref="L3230"/>
    <hyperlink r:id="rId3230" ref="L3231"/>
    <hyperlink r:id="rId3231" ref="L3232"/>
    <hyperlink r:id="rId3232" ref="L3233"/>
    <hyperlink r:id="rId3233" ref="L3234"/>
    <hyperlink r:id="rId3234" ref="L3235"/>
    <hyperlink r:id="rId3235" ref="L3236"/>
    <hyperlink r:id="rId3236" ref="L3237"/>
    <hyperlink r:id="rId3237" ref="L3238"/>
    <hyperlink r:id="rId3238" ref="L3239"/>
    <hyperlink r:id="rId3239" ref="L3240"/>
    <hyperlink r:id="rId3240" ref="L3241"/>
    <hyperlink r:id="rId3241" ref="L3242"/>
    <hyperlink r:id="rId3242" ref="L3243"/>
    <hyperlink r:id="rId3243" ref="L3244"/>
    <hyperlink r:id="rId3244" ref="L3245"/>
    <hyperlink r:id="rId3245" ref="L3246"/>
    <hyperlink r:id="rId3246" ref="L3247"/>
    <hyperlink r:id="rId3247" ref="L3248"/>
    <hyperlink r:id="rId3248" ref="L3249"/>
    <hyperlink r:id="rId3249" ref="L3250"/>
    <hyperlink r:id="rId3250" ref="L3251"/>
    <hyperlink r:id="rId3251" ref="L3252"/>
    <hyperlink r:id="rId3252" ref="L3253"/>
    <hyperlink r:id="rId3253" ref="L3254"/>
    <hyperlink r:id="rId3254" ref="L3255"/>
    <hyperlink r:id="rId3255" ref="L3256"/>
    <hyperlink r:id="rId3256" ref="L3257"/>
    <hyperlink r:id="rId3257" ref="L3258"/>
    <hyperlink r:id="rId3258" ref="L3259"/>
    <hyperlink r:id="rId3259" ref="L3260"/>
    <hyperlink r:id="rId3260" ref="L3261"/>
    <hyperlink r:id="rId3261" ref="L3262"/>
    <hyperlink r:id="rId3262" ref="L3263"/>
    <hyperlink r:id="rId3263" ref="L3264"/>
    <hyperlink r:id="rId3264" ref="L3265"/>
    <hyperlink r:id="rId3265" ref="L3266"/>
    <hyperlink r:id="rId3266" ref="L3267"/>
    <hyperlink r:id="rId3267" ref="L3268"/>
    <hyperlink r:id="rId3268" ref="L3269"/>
    <hyperlink r:id="rId3269" ref="L3270"/>
    <hyperlink r:id="rId3270" ref="L3271"/>
    <hyperlink r:id="rId3271" ref="L3272"/>
    <hyperlink r:id="rId3272" ref="L3273"/>
    <hyperlink r:id="rId3273" ref="L3274"/>
    <hyperlink r:id="rId3274" ref="L3275"/>
    <hyperlink r:id="rId3275" ref="L3276"/>
    <hyperlink r:id="rId3276" ref="L3277"/>
    <hyperlink r:id="rId3277" ref="L3278"/>
    <hyperlink r:id="rId3278" ref="L3279"/>
    <hyperlink r:id="rId3279" ref="L3280"/>
    <hyperlink r:id="rId3280" ref="L3281"/>
    <hyperlink r:id="rId3281" ref="L3282"/>
    <hyperlink r:id="rId3282" ref="L3283"/>
    <hyperlink r:id="rId3283" ref="L3284"/>
    <hyperlink r:id="rId3284" ref="L3285"/>
    <hyperlink r:id="rId3285" ref="L3286"/>
    <hyperlink r:id="rId3286" ref="L3287"/>
    <hyperlink r:id="rId3287" ref="L3288"/>
    <hyperlink r:id="rId3288" ref="L3289"/>
    <hyperlink r:id="rId3289" ref="L3290"/>
    <hyperlink r:id="rId3290" ref="L3291"/>
    <hyperlink r:id="rId3291" ref="L3292"/>
    <hyperlink r:id="rId3292" ref="L3293"/>
    <hyperlink r:id="rId3293" ref="L3294"/>
    <hyperlink r:id="rId3294" ref="L3295"/>
    <hyperlink r:id="rId3295" ref="L3296"/>
    <hyperlink r:id="rId3296" ref="L3297"/>
    <hyperlink r:id="rId3297" ref="L3298"/>
    <hyperlink r:id="rId3298" ref="L3299"/>
    <hyperlink r:id="rId3299" ref="L3300"/>
    <hyperlink r:id="rId3300" ref="L3301"/>
    <hyperlink r:id="rId3301" ref="L3302"/>
    <hyperlink r:id="rId3302" ref="L3303"/>
    <hyperlink r:id="rId3303" ref="L3304"/>
    <hyperlink r:id="rId3304" ref="L3305"/>
    <hyperlink r:id="rId3305" ref="L3306"/>
    <hyperlink r:id="rId3306" ref="L3307"/>
    <hyperlink r:id="rId3307" ref="L3308"/>
    <hyperlink r:id="rId3308" ref="L3309"/>
    <hyperlink r:id="rId3309" ref="L3310"/>
    <hyperlink r:id="rId3310" ref="L3311"/>
    <hyperlink r:id="rId3311" ref="L3312"/>
    <hyperlink r:id="rId3312" ref="L3313"/>
    <hyperlink r:id="rId3313" ref="L3314"/>
    <hyperlink r:id="rId3314" ref="L3315"/>
    <hyperlink r:id="rId3315" ref="L3316"/>
    <hyperlink r:id="rId3316" ref="L3317"/>
    <hyperlink r:id="rId3317" ref="L3318"/>
    <hyperlink r:id="rId3318" ref="L3319"/>
    <hyperlink r:id="rId3319" ref="L3320"/>
    <hyperlink r:id="rId3320" ref="L3321"/>
    <hyperlink r:id="rId3321" ref="L3322"/>
    <hyperlink r:id="rId3322" ref="L3323"/>
    <hyperlink r:id="rId3323" ref="L3324"/>
    <hyperlink r:id="rId3324" ref="L3325"/>
    <hyperlink r:id="rId3325" ref="L3326"/>
    <hyperlink r:id="rId3326" ref="L3327"/>
    <hyperlink r:id="rId3327" ref="L3328"/>
    <hyperlink r:id="rId3328" ref="L3329"/>
    <hyperlink r:id="rId3329" ref="L3330"/>
    <hyperlink r:id="rId3330" ref="L3331"/>
    <hyperlink r:id="rId3331" ref="L3332"/>
    <hyperlink r:id="rId3332" ref="L3333"/>
    <hyperlink r:id="rId3333" ref="L3334"/>
    <hyperlink r:id="rId3334" ref="L3335"/>
    <hyperlink r:id="rId3335" ref="L3336"/>
    <hyperlink r:id="rId3336" ref="L3337"/>
    <hyperlink r:id="rId3337" ref="L3338"/>
    <hyperlink r:id="rId3338" ref="L3339"/>
    <hyperlink r:id="rId3339" ref="L3340"/>
    <hyperlink r:id="rId3340" ref="L3341"/>
    <hyperlink r:id="rId3341" ref="L3342"/>
    <hyperlink r:id="rId3342" ref="L3343"/>
    <hyperlink r:id="rId3343" ref="L3344"/>
    <hyperlink r:id="rId3344" ref="L3345"/>
    <hyperlink r:id="rId3345" ref="L3346"/>
    <hyperlink r:id="rId3346" ref="L3347"/>
    <hyperlink r:id="rId3347" ref="L3348"/>
    <hyperlink r:id="rId3348" ref="L3349"/>
    <hyperlink r:id="rId3349" ref="L3350"/>
    <hyperlink r:id="rId3350" ref="L3351"/>
    <hyperlink r:id="rId3351" ref="L3352"/>
    <hyperlink r:id="rId3352" ref="L3353"/>
    <hyperlink r:id="rId3353" ref="L3354"/>
    <hyperlink r:id="rId3354" ref="L3355"/>
    <hyperlink r:id="rId3355" ref="L3356"/>
    <hyperlink r:id="rId3356" ref="L3357"/>
    <hyperlink r:id="rId3357" ref="L3358"/>
    <hyperlink r:id="rId3358" ref="L3359"/>
    <hyperlink r:id="rId3359" ref="L3360"/>
    <hyperlink r:id="rId3360" ref="L3361"/>
    <hyperlink r:id="rId3361" ref="L3362"/>
    <hyperlink r:id="rId3362" ref="L3363"/>
    <hyperlink r:id="rId3363" ref="L3364"/>
    <hyperlink r:id="rId3364" ref="L3365"/>
    <hyperlink r:id="rId3365" ref="L3366"/>
    <hyperlink r:id="rId3366" ref="L3367"/>
    <hyperlink r:id="rId3367" ref="L3368"/>
    <hyperlink r:id="rId3368" ref="L3369"/>
    <hyperlink r:id="rId3369" ref="L3370"/>
    <hyperlink r:id="rId3370" ref="L3371"/>
    <hyperlink r:id="rId3371" ref="L3372"/>
    <hyperlink r:id="rId3372" ref="L3373"/>
    <hyperlink r:id="rId3373" ref="L3374"/>
    <hyperlink r:id="rId3374" ref="L3375"/>
    <hyperlink r:id="rId3375" ref="L3376"/>
    <hyperlink r:id="rId3376" ref="L3377"/>
    <hyperlink r:id="rId3377" ref="L3378"/>
    <hyperlink r:id="rId3378" ref="L3379"/>
    <hyperlink r:id="rId3379" ref="L3380"/>
    <hyperlink r:id="rId3380" ref="L3381"/>
    <hyperlink r:id="rId3381" ref="L3382"/>
    <hyperlink r:id="rId3382" ref="L3383"/>
    <hyperlink r:id="rId3383" ref="L3384"/>
    <hyperlink r:id="rId3384" ref="L3385"/>
    <hyperlink r:id="rId3385" ref="L3386"/>
    <hyperlink r:id="rId3386" ref="L3387"/>
    <hyperlink r:id="rId3387" ref="L3388"/>
    <hyperlink r:id="rId3388" ref="L3389"/>
    <hyperlink r:id="rId3389" ref="L3390"/>
    <hyperlink r:id="rId3390" ref="L3391"/>
    <hyperlink r:id="rId3391" ref="L3392"/>
    <hyperlink r:id="rId3392" ref="L3393"/>
    <hyperlink r:id="rId3393" ref="L3394"/>
    <hyperlink r:id="rId3394" ref="L3395"/>
    <hyperlink r:id="rId3395" ref="L3396"/>
    <hyperlink r:id="rId3396" ref="L3397"/>
    <hyperlink r:id="rId3397" ref="L3398"/>
    <hyperlink r:id="rId3398" ref="L3399"/>
    <hyperlink r:id="rId3399" ref="L3400"/>
    <hyperlink r:id="rId3400" ref="L3401"/>
    <hyperlink r:id="rId3401" ref="L3402"/>
    <hyperlink r:id="rId3402" ref="L3403"/>
    <hyperlink r:id="rId3403" ref="L3404"/>
    <hyperlink r:id="rId3404" ref="L3405"/>
    <hyperlink r:id="rId3405" ref="L3406"/>
    <hyperlink r:id="rId3406" ref="L3407"/>
    <hyperlink r:id="rId3407" ref="L3408"/>
    <hyperlink r:id="rId3408" ref="L3409"/>
    <hyperlink r:id="rId3409" ref="L3410"/>
    <hyperlink r:id="rId3410" ref="L3411"/>
    <hyperlink r:id="rId3411" ref="L3412"/>
    <hyperlink r:id="rId3412" ref="L3413"/>
    <hyperlink r:id="rId3413" ref="L3414"/>
    <hyperlink r:id="rId3414" ref="L3415"/>
    <hyperlink r:id="rId3415" ref="L3416"/>
    <hyperlink r:id="rId3416" ref="L3417"/>
    <hyperlink r:id="rId3417" ref="L3418"/>
    <hyperlink r:id="rId3418" ref="L3419"/>
    <hyperlink r:id="rId3419" ref="L3420"/>
    <hyperlink r:id="rId3420" ref="L3421"/>
    <hyperlink r:id="rId3421" ref="L3422"/>
    <hyperlink r:id="rId3422" ref="L3423"/>
    <hyperlink r:id="rId3423" ref="L3424"/>
    <hyperlink r:id="rId3424" ref="L3425"/>
    <hyperlink r:id="rId3425" ref="L3426"/>
    <hyperlink r:id="rId3426" ref="L3427"/>
    <hyperlink r:id="rId3427" ref="L3428"/>
    <hyperlink r:id="rId3428" ref="L3429"/>
    <hyperlink r:id="rId3429" ref="L3430"/>
    <hyperlink r:id="rId3430" ref="L3431"/>
    <hyperlink r:id="rId3431" ref="L3432"/>
    <hyperlink r:id="rId3432" ref="L3433"/>
    <hyperlink r:id="rId3433" ref="L3434"/>
    <hyperlink r:id="rId3434" ref="L3435"/>
    <hyperlink r:id="rId3435" ref="L3436"/>
    <hyperlink r:id="rId3436" ref="L3437"/>
    <hyperlink r:id="rId3437" ref="L3438"/>
    <hyperlink r:id="rId3438" ref="L3439"/>
    <hyperlink r:id="rId3439" ref="L3440"/>
    <hyperlink r:id="rId3440" ref="L3441"/>
    <hyperlink r:id="rId3441" ref="L3442"/>
    <hyperlink r:id="rId3442" ref="L3443"/>
    <hyperlink r:id="rId3443" ref="L3444"/>
    <hyperlink r:id="rId3444" ref="L3445"/>
    <hyperlink r:id="rId3445" ref="L3446"/>
    <hyperlink r:id="rId3446" ref="L3447"/>
    <hyperlink r:id="rId3447" ref="L3448"/>
    <hyperlink r:id="rId3448" ref="L3449"/>
    <hyperlink r:id="rId3449" ref="L3450"/>
    <hyperlink r:id="rId3450" ref="L3451"/>
    <hyperlink r:id="rId3451" ref="L3452"/>
    <hyperlink r:id="rId3452" ref="L3453"/>
    <hyperlink r:id="rId3453" ref="L3454"/>
    <hyperlink r:id="rId3454" ref="L3455"/>
    <hyperlink r:id="rId3455" ref="L3456"/>
    <hyperlink r:id="rId3456" ref="L3457"/>
    <hyperlink r:id="rId3457" ref="L3458"/>
    <hyperlink r:id="rId3458" ref="L3459"/>
    <hyperlink r:id="rId3459" ref="L3460"/>
    <hyperlink r:id="rId3460" ref="L3461"/>
    <hyperlink r:id="rId3461" ref="L3462"/>
    <hyperlink r:id="rId3462" ref="L3463"/>
    <hyperlink r:id="rId3463" ref="L3464"/>
    <hyperlink r:id="rId3464" ref="L3465"/>
    <hyperlink r:id="rId3465" ref="L3466"/>
    <hyperlink r:id="rId3466" ref="L3467"/>
    <hyperlink r:id="rId3467" ref="L3468"/>
    <hyperlink r:id="rId3468" ref="L3469"/>
    <hyperlink r:id="rId3469" ref="L3470"/>
    <hyperlink r:id="rId3470" ref="L3471"/>
    <hyperlink r:id="rId3471" ref="L3472"/>
    <hyperlink r:id="rId3472" ref="L3473"/>
    <hyperlink r:id="rId3473" ref="L3474"/>
    <hyperlink r:id="rId3474" ref="L3475"/>
    <hyperlink r:id="rId3475" ref="L3476"/>
    <hyperlink r:id="rId3476" ref="L3477"/>
    <hyperlink r:id="rId3477" ref="L3478"/>
    <hyperlink r:id="rId3478" ref="L3479"/>
    <hyperlink r:id="rId3479" ref="L3480"/>
    <hyperlink r:id="rId3480" ref="L3481"/>
    <hyperlink r:id="rId3481" ref="L3482"/>
    <hyperlink r:id="rId3482" ref="L3483"/>
    <hyperlink r:id="rId3483" ref="L3484"/>
    <hyperlink r:id="rId3484" ref="L3485"/>
    <hyperlink r:id="rId3485" ref="L3486"/>
    <hyperlink r:id="rId3486" ref="L3487"/>
    <hyperlink r:id="rId3487" ref="L3488"/>
    <hyperlink r:id="rId3488" ref="L3489"/>
    <hyperlink r:id="rId3489" ref="L3490"/>
    <hyperlink r:id="rId3490" ref="L3491"/>
    <hyperlink r:id="rId3491" ref="L3492"/>
    <hyperlink r:id="rId3492" ref="L3493"/>
    <hyperlink r:id="rId3493" ref="L3494"/>
    <hyperlink r:id="rId3494" ref="L3495"/>
    <hyperlink r:id="rId3495" ref="L3496"/>
    <hyperlink r:id="rId3496" ref="L3497"/>
    <hyperlink r:id="rId3497" ref="L3498"/>
    <hyperlink r:id="rId3498" ref="L3499"/>
    <hyperlink r:id="rId3499" ref="L3500"/>
    <hyperlink r:id="rId3500" ref="L3501"/>
    <hyperlink r:id="rId3501" ref="L3502"/>
    <hyperlink r:id="rId3502" ref="L3503"/>
    <hyperlink r:id="rId3503" ref="L3504"/>
    <hyperlink r:id="rId3504" ref="L3505"/>
    <hyperlink r:id="rId3505" ref="L3506"/>
    <hyperlink r:id="rId3506" ref="L3507"/>
    <hyperlink r:id="rId3507" ref="L3508"/>
    <hyperlink r:id="rId3508" ref="L3509"/>
    <hyperlink r:id="rId3509" ref="L3510"/>
    <hyperlink r:id="rId3510" ref="L3511"/>
    <hyperlink r:id="rId3511" ref="L3512"/>
    <hyperlink r:id="rId3512" ref="L3513"/>
    <hyperlink r:id="rId3513" ref="L3514"/>
    <hyperlink r:id="rId3514" ref="L3515"/>
    <hyperlink r:id="rId3515" ref="L3516"/>
    <hyperlink r:id="rId3516" ref="L3517"/>
    <hyperlink r:id="rId3517" ref="L3518"/>
    <hyperlink r:id="rId3518" ref="L3519"/>
    <hyperlink r:id="rId3519" ref="L3520"/>
    <hyperlink r:id="rId3520" ref="L3521"/>
    <hyperlink r:id="rId3521" ref="L3522"/>
    <hyperlink r:id="rId3522" ref="L3523"/>
    <hyperlink r:id="rId3523" ref="L3524"/>
    <hyperlink r:id="rId3524" ref="L3525"/>
    <hyperlink r:id="rId3525" ref="L3526"/>
    <hyperlink r:id="rId3526" ref="L3527"/>
    <hyperlink r:id="rId3527" ref="L3528"/>
    <hyperlink r:id="rId3528" ref="L3529"/>
    <hyperlink r:id="rId3529" ref="L3530"/>
    <hyperlink r:id="rId3530" ref="L3531"/>
    <hyperlink r:id="rId3531" ref="L3532"/>
    <hyperlink r:id="rId3532" ref="L3533"/>
    <hyperlink r:id="rId3533" ref="L3534"/>
    <hyperlink r:id="rId3534" ref="L3535"/>
    <hyperlink r:id="rId3535" ref="L3536"/>
    <hyperlink r:id="rId3536" ref="L3537"/>
    <hyperlink r:id="rId3537" ref="L3538"/>
    <hyperlink r:id="rId3538" ref="L3539"/>
    <hyperlink r:id="rId3539" ref="L3540"/>
    <hyperlink r:id="rId3540" ref="L3541"/>
    <hyperlink r:id="rId3541" ref="L3542"/>
    <hyperlink r:id="rId3542" ref="L3543"/>
    <hyperlink r:id="rId3543" ref="L3544"/>
    <hyperlink r:id="rId3544" ref="L3545"/>
    <hyperlink r:id="rId3545" ref="L3546"/>
    <hyperlink r:id="rId3546" ref="L3547"/>
    <hyperlink r:id="rId3547" ref="L3548"/>
    <hyperlink r:id="rId3548" ref="L3549"/>
    <hyperlink r:id="rId3549" ref="L3550"/>
    <hyperlink r:id="rId3550" ref="L3551"/>
    <hyperlink r:id="rId3551" ref="L3552"/>
    <hyperlink r:id="rId3552" ref="L3553"/>
    <hyperlink r:id="rId3553" ref="L3554"/>
    <hyperlink r:id="rId3554" ref="L3555"/>
    <hyperlink r:id="rId3555" ref="L3556"/>
    <hyperlink r:id="rId3556" ref="L3557"/>
    <hyperlink r:id="rId3557" ref="L3558"/>
    <hyperlink r:id="rId3558" ref="L3559"/>
    <hyperlink r:id="rId3559" ref="L3560"/>
    <hyperlink r:id="rId3560" ref="L3561"/>
    <hyperlink r:id="rId3561" ref="L3562"/>
    <hyperlink r:id="rId3562" ref="L3563"/>
    <hyperlink r:id="rId3563" ref="L3564"/>
    <hyperlink r:id="rId3564" ref="L3565"/>
    <hyperlink r:id="rId3565" ref="L3566"/>
    <hyperlink r:id="rId3566" ref="L3567"/>
    <hyperlink r:id="rId3567" ref="L3568"/>
    <hyperlink r:id="rId3568" ref="L3569"/>
    <hyperlink r:id="rId3569" ref="L3570"/>
    <hyperlink r:id="rId3570" ref="L3571"/>
    <hyperlink r:id="rId3571" ref="L3572"/>
    <hyperlink r:id="rId3572" ref="L3573"/>
    <hyperlink r:id="rId3573" ref="L3574"/>
    <hyperlink r:id="rId3574" ref="L3575"/>
    <hyperlink r:id="rId3575" ref="L3576"/>
    <hyperlink r:id="rId3576" ref="L3577"/>
    <hyperlink r:id="rId3577" ref="L3578"/>
    <hyperlink r:id="rId3578" ref="L3579"/>
    <hyperlink r:id="rId3579" ref="L3580"/>
    <hyperlink r:id="rId3580" ref="L3581"/>
    <hyperlink r:id="rId3581" ref="L3582"/>
    <hyperlink r:id="rId3582" ref="L3583"/>
    <hyperlink r:id="rId3583" ref="L3584"/>
    <hyperlink r:id="rId3584" ref="L3585"/>
    <hyperlink r:id="rId3585" ref="L3586"/>
    <hyperlink r:id="rId3586" ref="L3587"/>
    <hyperlink r:id="rId3587" ref="L3588"/>
    <hyperlink r:id="rId3588" ref="L3589"/>
    <hyperlink r:id="rId3589" ref="L3590"/>
    <hyperlink r:id="rId3590" ref="L3591"/>
    <hyperlink r:id="rId3591" ref="L3592"/>
    <hyperlink r:id="rId3592" ref="L3593"/>
    <hyperlink r:id="rId3593" ref="L3594"/>
    <hyperlink r:id="rId3594" ref="L3595"/>
    <hyperlink r:id="rId3595" ref="L3596"/>
    <hyperlink r:id="rId3596" ref="L3597"/>
    <hyperlink r:id="rId3597" ref="L3598"/>
    <hyperlink r:id="rId3598" ref="L3599"/>
    <hyperlink r:id="rId3599" ref="L3600"/>
    <hyperlink r:id="rId3600" ref="L3601"/>
    <hyperlink r:id="rId3601" ref="L3602"/>
    <hyperlink r:id="rId3602" ref="L3603"/>
    <hyperlink r:id="rId3603" ref="L3604"/>
    <hyperlink r:id="rId3604" ref="L3605"/>
    <hyperlink r:id="rId3605" ref="L3606"/>
    <hyperlink r:id="rId3606" ref="L3607"/>
    <hyperlink r:id="rId3607" ref="L3608"/>
    <hyperlink r:id="rId3608" ref="L3609"/>
    <hyperlink r:id="rId3609" ref="L3610"/>
    <hyperlink r:id="rId3610" ref="L3611"/>
    <hyperlink r:id="rId3611" ref="L3612"/>
    <hyperlink r:id="rId3612" ref="L3613"/>
    <hyperlink r:id="rId3613" ref="L3614"/>
    <hyperlink r:id="rId3614" ref="L3615"/>
    <hyperlink r:id="rId3615" ref="L3616"/>
    <hyperlink r:id="rId3616" ref="L3617"/>
    <hyperlink r:id="rId3617" ref="L3618"/>
    <hyperlink r:id="rId3618" ref="L3619"/>
    <hyperlink r:id="rId3619" ref="L3620"/>
    <hyperlink r:id="rId3620" ref="L3621"/>
    <hyperlink r:id="rId3621" ref="L3622"/>
    <hyperlink r:id="rId3622" ref="L3623"/>
    <hyperlink r:id="rId3623" ref="L3624"/>
    <hyperlink r:id="rId3624" ref="L3625"/>
    <hyperlink r:id="rId3625" ref="L3626"/>
    <hyperlink r:id="rId3626" ref="L3627"/>
    <hyperlink r:id="rId3627" ref="L3628"/>
    <hyperlink r:id="rId3628" ref="L3629"/>
    <hyperlink r:id="rId3629" ref="L3630"/>
    <hyperlink r:id="rId3630" ref="L3631"/>
    <hyperlink r:id="rId3631" ref="L3632"/>
    <hyperlink r:id="rId3632" ref="L3633"/>
    <hyperlink r:id="rId3633" ref="L3634"/>
    <hyperlink r:id="rId3634" ref="L3635"/>
    <hyperlink r:id="rId3635" ref="L3636"/>
    <hyperlink r:id="rId3636" ref="L3637"/>
    <hyperlink r:id="rId3637" ref="L3638"/>
    <hyperlink r:id="rId3638" ref="L3639"/>
    <hyperlink r:id="rId3639" ref="L3640"/>
    <hyperlink r:id="rId3640" ref="L3641"/>
    <hyperlink r:id="rId3641" ref="L3642"/>
    <hyperlink r:id="rId3642" ref="L3643"/>
    <hyperlink r:id="rId3643" ref="L3644"/>
    <hyperlink r:id="rId3644" ref="L3645"/>
    <hyperlink r:id="rId3645" ref="L3646"/>
    <hyperlink r:id="rId3646" ref="L3647"/>
    <hyperlink r:id="rId3647" ref="L3648"/>
    <hyperlink r:id="rId3648" ref="L3649"/>
    <hyperlink r:id="rId3649" ref="L3650"/>
    <hyperlink r:id="rId3650" ref="L3651"/>
    <hyperlink r:id="rId3651" ref="L3652"/>
    <hyperlink r:id="rId3652" ref="L3653"/>
    <hyperlink r:id="rId3653" ref="L3654"/>
    <hyperlink r:id="rId3654" ref="L3655"/>
    <hyperlink r:id="rId3655" ref="L3656"/>
    <hyperlink r:id="rId3656" ref="L3657"/>
    <hyperlink r:id="rId3657" ref="L3658"/>
    <hyperlink r:id="rId3658" ref="L3659"/>
    <hyperlink r:id="rId3659" ref="L3660"/>
    <hyperlink r:id="rId3660" ref="L3661"/>
    <hyperlink r:id="rId3661" ref="L3662"/>
    <hyperlink r:id="rId3662" ref="L3663"/>
    <hyperlink r:id="rId3663" ref="L3664"/>
    <hyperlink r:id="rId3664" ref="L3665"/>
    <hyperlink r:id="rId3665" ref="L3666"/>
    <hyperlink r:id="rId3666" ref="L3667"/>
    <hyperlink r:id="rId3667" ref="L3668"/>
    <hyperlink r:id="rId3668" ref="L3669"/>
    <hyperlink r:id="rId3669" ref="L3670"/>
    <hyperlink r:id="rId3670" ref="L3671"/>
    <hyperlink r:id="rId3671" ref="L3672"/>
    <hyperlink r:id="rId3672" ref="L3673"/>
    <hyperlink r:id="rId3673" ref="L3674"/>
    <hyperlink r:id="rId3674" ref="L3675"/>
    <hyperlink r:id="rId3675" ref="L3676"/>
    <hyperlink r:id="rId3676" ref="L3677"/>
    <hyperlink r:id="rId3677" ref="L3678"/>
    <hyperlink r:id="rId3678" ref="L3679"/>
    <hyperlink r:id="rId3679" ref="L3680"/>
    <hyperlink r:id="rId3680" ref="L3681"/>
    <hyperlink r:id="rId3681" ref="L3682"/>
    <hyperlink r:id="rId3682" ref="L3683"/>
    <hyperlink r:id="rId3683" ref="L3684"/>
    <hyperlink r:id="rId3684" ref="L3685"/>
    <hyperlink r:id="rId3685" ref="L3686"/>
    <hyperlink r:id="rId3686" ref="L3687"/>
    <hyperlink r:id="rId3687" ref="L3688"/>
    <hyperlink r:id="rId3688" ref="L3689"/>
    <hyperlink r:id="rId3689" ref="L3690"/>
    <hyperlink r:id="rId3690" ref="L3691"/>
    <hyperlink r:id="rId3691" ref="L3692"/>
    <hyperlink r:id="rId3692" ref="L3693"/>
    <hyperlink r:id="rId3693" ref="L3694"/>
    <hyperlink r:id="rId3694" ref="L3695"/>
    <hyperlink r:id="rId3695" ref="L3696"/>
    <hyperlink r:id="rId3696" ref="L3697"/>
    <hyperlink r:id="rId3697" ref="L3698"/>
    <hyperlink r:id="rId3698" ref="L3699"/>
    <hyperlink r:id="rId3699" ref="L3700"/>
    <hyperlink r:id="rId3700" ref="L3701"/>
    <hyperlink r:id="rId3701" ref="L3702"/>
    <hyperlink r:id="rId3702" ref="L3703"/>
    <hyperlink r:id="rId3703" ref="L3704"/>
    <hyperlink r:id="rId3704" ref="L3705"/>
    <hyperlink r:id="rId3705" ref="L3706"/>
    <hyperlink r:id="rId3706" ref="L3707"/>
    <hyperlink r:id="rId3707" ref="L3708"/>
    <hyperlink r:id="rId3708" ref="L3709"/>
    <hyperlink r:id="rId3709" ref="L3710"/>
    <hyperlink r:id="rId3710" ref="L3711"/>
    <hyperlink r:id="rId3711" ref="L3712"/>
    <hyperlink r:id="rId3712" ref="L3713"/>
    <hyperlink r:id="rId3713" ref="L3714"/>
    <hyperlink r:id="rId3714" ref="L3715"/>
    <hyperlink r:id="rId3715" ref="L3716"/>
    <hyperlink r:id="rId3716" ref="L3717"/>
    <hyperlink r:id="rId3717" ref="L3718"/>
    <hyperlink r:id="rId3718" ref="L3719"/>
    <hyperlink r:id="rId3719" ref="L3720"/>
    <hyperlink r:id="rId3720" ref="L3721"/>
    <hyperlink r:id="rId3721" ref="L3722"/>
    <hyperlink r:id="rId3722" ref="L3723"/>
    <hyperlink r:id="rId3723" ref="L3724"/>
    <hyperlink r:id="rId3724" ref="L3725"/>
    <hyperlink r:id="rId3725" ref="L3726"/>
    <hyperlink r:id="rId3726" ref="L3727"/>
    <hyperlink r:id="rId3727" ref="L3728"/>
    <hyperlink r:id="rId3728" ref="L3729"/>
    <hyperlink r:id="rId3729" ref="L3730"/>
    <hyperlink r:id="rId3730" ref="L3731"/>
    <hyperlink r:id="rId3731" ref="L3732"/>
    <hyperlink r:id="rId3732" ref="L3733"/>
    <hyperlink r:id="rId3733" ref="L3734"/>
    <hyperlink r:id="rId3734" ref="L3735"/>
    <hyperlink r:id="rId3735" ref="L3736"/>
    <hyperlink r:id="rId3736" ref="L3737"/>
    <hyperlink r:id="rId3737" ref="L3738"/>
    <hyperlink r:id="rId3738" ref="L3739"/>
    <hyperlink r:id="rId3739" ref="L3740"/>
    <hyperlink r:id="rId3740" ref="L3741"/>
    <hyperlink r:id="rId3741" ref="L3742"/>
    <hyperlink r:id="rId3742" ref="L3743"/>
    <hyperlink r:id="rId3743" ref="L3744"/>
    <hyperlink r:id="rId3744" ref="L3745"/>
    <hyperlink r:id="rId3745" ref="L3746"/>
    <hyperlink r:id="rId3746" ref="L3747"/>
    <hyperlink r:id="rId3747" ref="L3748"/>
    <hyperlink r:id="rId3748" ref="L3749"/>
    <hyperlink r:id="rId3749" ref="L3750"/>
    <hyperlink r:id="rId3750" ref="L3751"/>
    <hyperlink r:id="rId3751" ref="L3752"/>
    <hyperlink r:id="rId3752" ref="L3753"/>
    <hyperlink r:id="rId3753" ref="L3754"/>
  </hyperlinks>
  <drawing r:id="rId3754"/>
</worksheet>
</file>