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7byte\Downloads\"/>
    </mc:Choice>
  </mc:AlternateContent>
  <xr:revisionPtr revIDLastSave="0" documentId="13_ncr:1_{4F869F77-E276-457D-B8B1-3F09F722B874}" xr6:coauthVersionLast="45" xr6:coauthVersionMax="45" xr10:uidLastSave="{00000000-0000-0000-0000-000000000000}"/>
  <bookViews>
    <workbookView xWindow="-120" yWindow="-120" windowWidth="20730" windowHeight="11310" firstSheet="1" activeTab="7" xr2:uid="{00000000-000D-0000-FFFF-FFFF00000000}"/>
  </bookViews>
  <sheets>
    <sheet name="ENERO" sheetId="1" r:id="rId1"/>
    <sheet name="FEBRERO " sheetId="2" r:id="rId2"/>
    <sheet name="MARZO " sheetId="3" r:id="rId3"/>
    <sheet name="ABRIL " sheetId="4" r:id="rId4"/>
    <sheet name="MAYO" sheetId="5" r:id="rId5"/>
    <sheet name="JUNIO-TALLER 22" sheetId="7" r:id="rId6"/>
    <sheet name="POWER BI" sheetId="9" r:id="rId7"/>
    <sheet name="CODIGO_DESC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7" l="1"/>
  <c r="H57" i="7" s="1"/>
  <c r="D56" i="7" s="1"/>
  <c r="E57" i="7" s="1"/>
  <c r="H49" i="7"/>
  <c r="H50" i="7" s="1"/>
  <c r="D51" i="7" s="1"/>
  <c r="E52" i="7" s="1"/>
  <c r="J47" i="7"/>
  <c r="D47" i="7"/>
  <c r="E48" i="7" s="1"/>
  <c r="E45" i="7"/>
  <c r="D44" i="7"/>
  <c r="C42" i="7"/>
  <c r="J31" i="7"/>
  <c r="K31" i="7" s="1"/>
  <c r="L31" i="7" s="1"/>
  <c r="H31" i="7"/>
  <c r="H32" i="7" s="1"/>
  <c r="H33" i="7" s="1"/>
  <c r="H34" i="7" s="1"/>
  <c r="H35" i="7" s="1"/>
  <c r="H36" i="7" s="1"/>
  <c r="G31" i="7"/>
  <c r="G32" i="7" s="1"/>
  <c r="D30" i="7" s="1"/>
  <c r="D19" i="7"/>
  <c r="P15" i="7"/>
  <c r="D16" i="7" s="1"/>
  <c r="E17" i="7" s="1"/>
  <c r="M14" i="7"/>
  <c r="Q12" i="7"/>
  <c r="Q13" i="7" s="1"/>
  <c r="Q14" i="7" s="1"/>
  <c r="Q15" i="7" s="1"/>
  <c r="P12" i="7"/>
  <c r="M11" i="7"/>
  <c r="E11" i="7"/>
  <c r="E12" i="7" s="1"/>
  <c r="P10" i="7"/>
  <c r="M9" i="7"/>
  <c r="P8" i="7"/>
  <c r="S7" i="7"/>
  <c r="Q7" i="7"/>
  <c r="Q8" i="7" s="1"/>
  <c r="Q9" i="7" s="1"/>
  <c r="M7" i="7"/>
  <c r="D6" i="7"/>
  <c r="D7" i="7" s="1"/>
  <c r="H13" i="5"/>
  <c r="O14" i="1"/>
  <c r="P13" i="1"/>
  <c r="P14" i="1" s="1"/>
  <c r="L13" i="1"/>
  <c r="P12" i="1"/>
  <c r="L12" i="1"/>
  <c r="F42" i="5"/>
  <c r="E38" i="5"/>
  <c r="F39" i="5" s="1"/>
  <c r="E33" i="5"/>
  <c r="F34" i="5" s="1"/>
  <c r="C30" i="5"/>
  <c r="I19" i="5"/>
  <c r="F21" i="5"/>
  <c r="E15" i="5"/>
  <c r="F14" i="5"/>
  <c r="L9" i="5"/>
  <c r="E69" i="4"/>
  <c r="E61" i="4"/>
  <c r="H51" i="4"/>
  <c r="H52" i="4" s="1"/>
  <c r="H53" i="4" s="1"/>
  <c r="D46" i="4" s="1"/>
  <c r="E19" i="5" s="1"/>
  <c r="E41" i="4"/>
  <c r="K39" i="4"/>
  <c r="K41" i="4" s="1"/>
  <c r="E38" i="4"/>
  <c r="I39" i="4"/>
  <c r="I41" i="4" s="1"/>
  <c r="D32" i="4"/>
  <c r="D73" i="4" s="1"/>
  <c r="D30" i="4"/>
  <c r="E34" i="4" s="1"/>
  <c r="E63" i="4" s="1"/>
  <c r="I6" i="4"/>
  <c r="J6" i="4" s="1"/>
  <c r="K6" i="4" s="1"/>
  <c r="G6" i="4"/>
  <c r="G7" i="4" s="1"/>
  <c r="G8" i="4" s="1"/>
  <c r="G9" i="4" s="1"/>
  <c r="G10" i="4" s="1"/>
  <c r="G11" i="4" s="1"/>
  <c r="E25" i="4"/>
  <c r="D27" i="4" s="1"/>
  <c r="E9" i="4"/>
  <c r="E10" i="4" s="1"/>
  <c r="D12" i="4" s="1"/>
  <c r="D4" i="4"/>
  <c r="D5" i="4" s="1"/>
  <c r="J17" i="3"/>
  <c r="E4" i="3"/>
  <c r="D6" i="3" s="1"/>
  <c r="E57" i="2"/>
  <c r="E58" i="2"/>
  <c r="E38" i="3" s="1"/>
  <c r="E67" i="4" s="1"/>
  <c r="D63" i="2"/>
  <c r="D43" i="3" s="1"/>
  <c r="D74" i="4" s="1"/>
  <c r="D61" i="2"/>
  <c r="D60" i="2"/>
  <c r="D40" i="3" s="1"/>
  <c r="D70" i="4" s="1"/>
  <c r="E53" i="2"/>
  <c r="D52" i="2"/>
  <c r="D32" i="3" s="1"/>
  <c r="D59" i="4" s="1"/>
  <c r="D51" i="2"/>
  <c r="D31" i="3" s="1"/>
  <c r="D58" i="4" s="1"/>
  <c r="E41" i="2"/>
  <c r="E38" i="2"/>
  <c r="D14" i="3" s="1"/>
  <c r="E28" i="2"/>
  <c r="D27" i="2"/>
  <c r="E17" i="2"/>
  <c r="E59" i="2" s="1"/>
  <c r="E39" i="3" s="1"/>
  <c r="E68" i="4" s="1"/>
  <c r="E14" i="2"/>
  <c r="D13" i="2"/>
  <c r="D12" i="2"/>
  <c r="E10" i="2"/>
  <c r="E55" i="2" s="1"/>
  <c r="J7" i="2"/>
  <c r="K7" i="2" s="1"/>
  <c r="I8" i="2" s="1"/>
  <c r="J8" i="2" s="1"/>
  <c r="K8" i="2" s="1"/>
  <c r="I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D6" i="2"/>
  <c r="D60" i="1"/>
  <c r="D64" i="2" s="1"/>
  <c r="D44" i="3" s="1"/>
  <c r="D75" i="4" s="1"/>
  <c r="D59" i="1"/>
  <c r="D62" i="2" s="1"/>
  <c r="D42" i="3" s="1"/>
  <c r="D72" i="4" s="1"/>
  <c r="E58" i="1"/>
  <c r="D47" i="1"/>
  <c r="D46" i="2" s="1"/>
  <c r="E41" i="1"/>
  <c r="D48" i="1" s="1"/>
  <c r="E34" i="1"/>
  <c r="D29" i="1"/>
  <c r="E28" i="1"/>
  <c r="E31" i="1" s="1"/>
  <c r="E23" i="1"/>
  <c r="D22" i="1"/>
  <c r="E17" i="1"/>
  <c r="O11" i="1"/>
  <c r="D15" i="4" s="1"/>
  <c r="E16" i="4" s="1"/>
  <c r="P11" i="1"/>
  <c r="L10" i="1"/>
  <c r="O9" i="1"/>
  <c r="D9" i="3" s="1"/>
  <c r="E10" i="3" s="1"/>
  <c r="L8" i="1"/>
  <c r="O7" i="1"/>
  <c r="D23" i="2" s="1"/>
  <c r="E24" i="2" s="1"/>
  <c r="O18" i="1"/>
  <c r="O17" i="1"/>
  <c r="P6" i="1"/>
  <c r="P7" i="1" s="1"/>
  <c r="P8" i="1" s="1"/>
  <c r="L6" i="1"/>
  <c r="R6" i="1" s="1"/>
  <c r="D12" i="1"/>
  <c r="E11" i="1"/>
  <c r="D5" i="1"/>
  <c r="E6" i="1" s="1"/>
  <c r="E7" i="1" s="1"/>
  <c r="D19" i="2" l="1"/>
  <c r="E47" i="4"/>
  <c r="E18" i="5"/>
  <c r="D47" i="2"/>
  <c r="D15" i="3"/>
  <c r="G20" i="5"/>
  <c r="E20" i="5" s="1"/>
  <c r="E15" i="2"/>
  <c r="R7" i="7"/>
  <c r="J32" i="7"/>
  <c r="E34" i="7"/>
  <c r="D31" i="7"/>
  <c r="E33" i="7" s="1"/>
  <c r="S8" i="7"/>
  <c r="S9" i="7" s="1"/>
  <c r="S10" i="7" s="1"/>
  <c r="E8" i="7"/>
  <c r="E9" i="7" s="1"/>
  <c r="D13" i="7"/>
  <c r="D14" i="7" s="1"/>
  <c r="D20" i="7"/>
  <c r="E21" i="7"/>
  <c r="D26" i="3"/>
  <c r="D53" i="4" s="1"/>
  <c r="D63" i="7" s="1"/>
  <c r="E37" i="3"/>
  <c r="D13" i="3"/>
  <c r="E16" i="3" s="1"/>
  <c r="D27" i="3" s="1"/>
  <c r="G19" i="3"/>
  <c r="E29" i="2"/>
  <c r="E30" i="2" s="1"/>
  <c r="D19" i="4"/>
  <c r="I9" i="2"/>
  <c r="H44" i="4" s="1"/>
  <c r="H45" i="4" s="1"/>
  <c r="D31" i="4"/>
  <c r="E6" i="4"/>
  <c r="D11" i="4"/>
  <c r="D13" i="4" s="1"/>
  <c r="I7" i="4"/>
  <c r="E5" i="3"/>
  <c r="D7" i="3" s="1"/>
  <c r="D28" i="3" s="1"/>
  <c r="E55" i="1"/>
  <c r="E56" i="2" s="1"/>
  <c r="E36" i="3" s="1"/>
  <c r="E65" i="4" s="1"/>
  <c r="D56" i="1"/>
  <c r="D21" i="2"/>
  <c r="E18" i="2"/>
  <c r="D20" i="2" s="1"/>
  <c r="E24" i="1"/>
  <c r="E25" i="1" s="1"/>
  <c r="D30" i="1"/>
  <c r="D31" i="1" s="1"/>
  <c r="D25" i="1"/>
  <c r="D7" i="1"/>
  <c r="Q6" i="1"/>
  <c r="R7" i="1"/>
  <c r="R8" i="1" s="1"/>
  <c r="D13" i="1"/>
  <c r="D50" i="1" s="1"/>
  <c r="D49" i="2" s="1"/>
  <c r="D29" i="3" s="1"/>
  <c r="D56" i="4" s="1"/>
  <c r="E18" i="1"/>
  <c r="D43" i="4" l="1"/>
  <c r="E44" i="4" s="1"/>
  <c r="E4" i="5" s="1"/>
  <c r="H46" i="4"/>
  <c r="D55" i="4"/>
  <c r="J7" i="4"/>
  <c r="K7" i="4" s="1"/>
  <c r="H41" i="5"/>
  <c r="H42" i="5" s="1"/>
  <c r="H43" i="5" s="1"/>
  <c r="E44" i="5" s="1"/>
  <c r="F45" i="5" s="1"/>
  <c r="E5" i="5"/>
  <c r="E22" i="7"/>
  <c r="S11" i="7"/>
  <c r="R10" i="7"/>
  <c r="D35" i="7"/>
  <c r="E35" i="7"/>
  <c r="I23" i="7"/>
  <c r="J23" i="7" s="1"/>
  <c r="J24" i="7" s="1"/>
  <c r="K32" i="7"/>
  <c r="D27" i="7"/>
  <c r="E33" i="4"/>
  <c r="D66" i="4"/>
  <c r="G20" i="3"/>
  <c r="G21" i="3" s="1"/>
  <c r="D19" i="3" s="1"/>
  <c r="R9" i="1"/>
  <c r="D50" i="2"/>
  <c r="D30" i="3" s="1"/>
  <c r="D57" i="4" s="1"/>
  <c r="J9" i="2"/>
  <c r="E33" i="3"/>
  <c r="I8" i="4"/>
  <c r="J8" i="4" s="1"/>
  <c r="K8" i="4" s="1"/>
  <c r="I9" i="4" s="1"/>
  <c r="J9" i="4" s="1"/>
  <c r="K9" i="4" s="1"/>
  <c r="D14" i="1"/>
  <c r="D49" i="1" s="1"/>
  <c r="D61" i="1" s="1"/>
  <c r="E54" i="1"/>
  <c r="Q9" i="1"/>
  <c r="R10" i="1"/>
  <c r="K9" i="2" l="1"/>
  <c r="I10" i="2" s="1"/>
  <c r="E3" i="5"/>
  <c r="F6" i="5" s="1"/>
  <c r="D25" i="7"/>
  <c r="E28" i="7" s="1"/>
  <c r="L32" i="7"/>
  <c r="R11" i="7"/>
  <c r="S12" i="7"/>
  <c r="D65" i="2"/>
  <c r="E61" i="1"/>
  <c r="E54" i="2"/>
  <c r="E60" i="4"/>
  <c r="E20" i="3"/>
  <c r="D41" i="3"/>
  <c r="D45" i="3" s="1"/>
  <c r="G22" i="3"/>
  <c r="I10" i="4"/>
  <c r="J10" i="4" s="1"/>
  <c r="K10" i="4" s="1"/>
  <c r="D18" i="1"/>
  <c r="Q10" i="1"/>
  <c r="R11" i="1"/>
  <c r="J10" i="2" l="1"/>
  <c r="K10" i="2" s="1"/>
  <c r="I11" i="2" s="1"/>
  <c r="J11" i="2" s="1"/>
  <c r="K11" i="2" s="1"/>
  <c r="I12" i="2" s="1"/>
  <c r="J12" i="2" s="1"/>
  <c r="K12" i="2" s="1"/>
  <c r="H47" i="5"/>
  <c r="H48" i="5" s="1"/>
  <c r="H49" i="5" s="1"/>
  <c r="E47" i="5" s="1"/>
  <c r="F48" i="5" s="1"/>
  <c r="Q11" i="1"/>
  <c r="R12" i="1"/>
  <c r="J33" i="7"/>
  <c r="K33" i="7" s="1"/>
  <c r="L33" i="7" s="1"/>
  <c r="R12" i="7"/>
  <c r="S13" i="7"/>
  <c r="E34" i="3"/>
  <c r="E65" i="2"/>
  <c r="D20" i="4"/>
  <c r="E35" i="3"/>
  <c r="I11" i="4"/>
  <c r="J11" i="4" s="1"/>
  <c r="K11" i="4" s="1"/>
  <c r="R13" i="1" l="1"/>
  <c r="Q12" i="1"/>
  <c r="J34" i="7"/>
  <c r="K34" i="7" s="1"/>
  <c r="L34" i="7" s="1"/>
  <c r="R13" i="7"/>
  <c r="S14" i="7"/>
  <c r="E62" i="4"/>
  <c r="E45" i="3"/>
  <c r="E22" i="4"/>
  <c r="D54" i="4" s="1"/>
  <c r="E64" i="4"/>
  <c r="D21" i="4"/>
  <c r="D71" i="4" s="1"/>
  <c r="I13" i="2"/>
  <c r="J13" i="2" s="1"/>
  <c r="K13" i="2" s="1"/>
  <c r="R14" i="1" l="1"/>
  <c r="Q14" i="1" s="1"/>
  <c r="Q13" i="1"/>
  <c r="J35" i="7"/>
  <c r="K35" i="7" s="1"/>
  <c r="L35" i="7" s="1"/>
  <c r="R14" i="7"/>
  <c r="S15" i="7"/>
  <c r="R15" i="7" s="1"/>
  <c r="D76" i="4"/>
  <c r="E76" i="4"/>
  <c r="I14" i="2"/>
  <c r="J14" i="2" s="1"/>
  <c r="K14" i="2" s="1"/>
  <c r="J36" i="7" l="1"/>
  <c r="K36" i="7" s="1"/>
  <c r="L36" i="7"/>
  <c r="I15" i="2"/>
  <c r="J15" i="2" s="1"/>
  <c r="K15" i="2" s="1"/>
  <c r="I16" i="2" l="1"/>
  <c r="J16" i="2" s="1"/>
  <c r="K16" i="2" s="1"/>
  <c r="I17" i="2" l="1"/>
  <c r="J17" i="2" s="1"/>
  <c r="K17" i="2" s="1"/>
  <c r="I18" i="2" l="1"/>
  <c r="J18" i="2" s="1"/>
  <c r="K18" i="2" s="1"/>
  <c r="I19" i="2" l="1"/>
  <c r="J19" i="2" s="1"/>
  <c r="K19" i="2" s="1"/>
  <c r="I20" i="2" l="1"/>
  <c r="J20" i="2" s="1"/>
  <c r="K20" i="2" s="1"/>
  <c r="I21" i="2" l="1"/>
  <c r="J21" i="2" s="1"/>
  <c r="K21" i="2" s="1"/>
  <c r="I22" i="2" l="1"/>
  <c r="J22" i="2" s="1"/>
  <c r="K22" i="2" s="1"/>
  <c r="I23" i="2" l="1"/>
  <c r="J23" i="2" s="1"/>
  <c r="K23" i="2" s="1"/>
  <c r="I24" i="2" l="1"/>
  <c r="J24" i="2" s="1"/>
  <c r="K24" i="2" s="1"/>
  <c r="I25" i="2" l="1"/>
  <c r="J25" i="2" s="1"/>
  <c r="K25" i="2" s="1"/>
  <c r="I26" i="2" l="1"/>
  <c r="J26" i="2" s="1"/>
  <c r="K26" i="2" s="1"/>
  <c r="I27" i="2" l="1"/>
  <c r="J27" i="2" s="1"/>
  <c r="K27" i="2" s="1"/>
  <c r="I28" i="2" l="1"/>
  <c r="J28" i="2" s="1"/>
  <c r="K28" i="2" s="1"/>
  <c r="I29" i="2" l="1"/>
  <c r="J29" i="2" s="1"/>
  <c r="K29" i="2" s="1"/>
  <c r="I30" i="2" l="1"/>
  <c r="J30" i="2" s="1"/>
  <c r="K30" i="2" s="1"/>
</calcChain>
</file>

<file path=xl/sharedStrings.xml><?xml version="1.0" encoding="utf-8"?>
<sst xmlns="http://schemas.openxmlformats.org/spreadsheetml/2006/main" count="209" uniqueCount="102">
  <si>
    <t>CONTA S.A.S DE ENERO A ABRIL DE 2020</t>
  </si>
  <si>
    <t xml:space="preserve">FECHA </t>
  </si>
  <si>
    <t xml:space="preserve">CÓDIGO </t>
  </si>
  <si>
    <t xml:space="preserve">CUENTA </t>
  </si>
  <si>
    <t xml:space="preserve">DEBE </t>
  </si>
  <si>
    <t xml:space="preserve">HABER </t>
  </si>
  <si>
    <t xml:space="preserve">SALDO </t>
  </si>
  <si>
    <t xml:space="preserve">ENTRADA </t>
  </si>
  <si>
    <t>U</t>
  </si>
  <si>
    <t>V/U</t>
  </si>
  <si>
    <t xml:space="preserve">TOTAL </t>
  </si>
  <si>
    <t xml:space="preserve">SALIDA </t>
  </si>
  <si>
    <t xml:space="preserve">COMPRA </t>
  </si>
  <si>
    <t xml:space="preserve">VENDE </t>
  </si>
  <si>
    <t xml:space="preserve">FECHA              DESCRIPCIÓN      </t>
  </si>
  <si>
    <t xml:space="preserve">DEV VENTA MAL ESTADO </t>
  </si>
  <si>
    <t xml:space="preserve">BALANCE DE PRUEBA- ENERO </t>
  </si>
  <si>
    <t xml:space="preserve">CODIGO </t>
  </si>
  <si>
    <t xml:space="preserve">CAJA </t>
  </si>
  <si>
    <t>ACTIVO</t>
  </si>
  <si>
    <t>ACTIVO CORRIENTE</t>
  </si>
  <si>
    <t>Efectivo y equivalente</t>
  </si>
  <si>
    <t>TOTAL ACTIVO CORRIENTE</t>
  </si>
  <si>
    <t>ACTIVO NO CORRIENTE</t>
  </si>
  <si>
    <t>MUEBLES Y ENSERES</t>
  </si>
  <si>
    <t>EQUIPO DE COMPUTO</t>
  </si>
  <si>
    <t>TOTAL ACTIVO NO CORRIENTE</t>
  </si>
  <si>
    <t>TOTAL ACTIVO</t>
  </si>
  <si>
    <t>PASIVO</t>
  </si>
  <si>
    <t>PATRIMONIO</t>
  </si>
  <si>
    <t>CAPITAL SUSCRITO Y PAGADO</t>
  </si>
  <si>
    <t>TOTAL PATRIMONIO</t>
  </si>
  <si>
    <t>TOTAL PASIVO + PATRIMONIO</t>
  </si>
  <si>
    <t xml:space="preserve">CONTA S.A.S- FEBRERO </t>
  </si>
  <si>
    <t xml:space="preserve">TABLA DE AMORTIZACION </t>
  </si>
  <si>
    <t xml:space="preserve">No </t>
  </si>
  <si>
    <t xml:space="preserve">CUOTA </t>
  </si>
  <si>
    <t xml:space="preserve">INTERÉS </t>
  </si>
  <si>
    <t xml:space="preserve">ABONO A CAPITAL </t>
  </si>
  <si>
    <t xml:space="preserve">INTERESES </t>
  </si>
  <si>
    <t xml:space="preserve">INTERESES POR PAGAR </t>
  </si>
  <si>
    <t xml:space="preserve">BALANCE DE PRUEBA-FEBRERO </t>
  </si>
  <si>
    <t xml:space="preserve">CONTA S.A.S- ABRIL </t>
  </si>
  <si>
    <t>CONTA S.A.S- MARZO</t>
  </si>
  <si>
    <t>FECHA</t>
  </si>
  <si>
    <t>CÓDIGO</t>
  </si>
  <si>
    <t>MARZO</t>
  </si>
  <si>
    <t xml:space="preserve">ABRIL </t>
  </si>
  <si>
    <t xml:space="preserve">BALANCE DE PRUEBA-MARZO </t>
  </si>
  <si>
    <t xml:space="preserve">INTERESES FINANCIEROS </t>
  </si>
  <si>
    <t xml:space="preserve">KARDEX PROMEDIO PONDERADO </t>
  </si>
  <si>
    <t xml:space="preserve">TABLA DE AMPRTIZACIÓN </t>
  </si>
  <si>
    <t xml:space="preserve">INTERES </t>
  </si>
  <si>
    <t xml:space="preserve">FÓRMULA </t>
  </si>
  <si>
    <t>SALDO</t>
  </si>
  <si>
    <t>DÓLAR I</t>
  </si>
  <si>
    <t>DÓLAR F</t>
  </si>
  <si>
    <t>A FAVOR</t>
  </si>
  <si>
    <t>TOTAL</t>
  </si>
  <si>
    <t>DÓLAR 30-04</t>
  </si>
  <si>
    <t>DEUDA BANCO 05</t>
  </si>
  <si>
    <t>DEUDA BANCO 10</t>
  </si>
  <si>
    <t xml:space="preserve">BALANCE DE PRUEBA </t>
  </si>
  <si>
    <t xml:space="preserve">CONTA S.A.S- MAYO </t>
  </si>
  <si>
    <t>ABRIL</t>
  </si>
  <si>
    <t xml:space="preserve">ACTUALIZAR DEUDA </t>
  </si>
  <si>
    <t xml:space="preserve">Valor dólar 30 de abril: </t>
  </si>
  <si>
    <t xml:space="preserve">Valor dólar 15  de mayo: </t>
  </si>
  <si>
    <t xml:space="preserve">En contra </t>
  </si>
  <si>
    <t xml:space="preserve">Bano exterior </t>
  </si>
  <si>
    <t xml:space="preserve">Diferencia de cambio </t>
  </si>
  <si>
    <t xml:space="preserve">AJUSTAR DEUDA </t>
  </si>
  <si>
    <t xml:space="preserve">DÓLAR 30 ABRIL </t>
  </si>
  <si>
    <t xml:space="preserve">DÓLAR 20 DE MAYO </t>
  </si>
  <si>
    <r>
      <rPr>
        <b/>
        <sz val="11"/>
        <color theme="1"/>
        <rFont val="Calibri"/>
        <family val="2"/>
        <scheme val="minor"/>
      </rPr>
      <t>PAGO A PROVEEDOR EXTERIOR</t>
    </r>
    <r>
      <rPr>
        <sz val="11"/>
        <color theme="1"/>
        <rFont val="Calibri"/>
        <family val="2"/>
        <scheme val="minor"/>
      </rPr>
      <t xml:space="preserve"> </t>
    </r>
  </si>
  <si>
    <t xml:space="preserve">PROV EXTERIOR </t>
  </si>
  <si>
    <t xml:space="preserve">DIFERENCIA EN CAMBIO </t>
  </si>
  <si>
    <t xml:space="preserve">PAGO DE LA DEUDA CON EL EXTERIOR </t>
  </si>
  <si>
    <t xml:space="preserve">DEBÍA 1800 DÓLARES </t>
  </si>
  <si>
    <t xml:space="preserve">CAUSACION INTERESES DEL NACIONAL </t>
  </si>
  <si>
    <t>20 DIAS DE MAYO</t>
  </si>
  <si>
    <t>TALLER NÚMERO 22</t>
  </si>
  <si>
    <t>Alexandra Osorio García- 201960077</t>
  </si>
  <si>
    <t xml:space="preserve">dólar </t>
  </si>
  <si>
    <t>v/u</t>
  </si>
  <si>
    <t xml:space="preserve">total </t>
  </si>
  <si>
    <t>S.I</t>
  </si>
  <si>
    <t xml:space="preserve">Dólar 15 de mayo </t>
  </si>
  <si>
    <t xml:space="preserve">Dólar 30 de junio </t>
  </si>
  <si>
    <t xml:space="preserve">Banco exterior </t>
  </si>
  <si>
    <t>DÓLAR QUE DEBO EXTERIOR 2210</t>
  </si>
  <si>
    <t xml:space="preserve">Proveedor exterior </t>
  </si>
  <si>
    <t xml:space="preserve">DIARIOS </t>
  </si>
  <si>
    <t xml:space="preserve">CAUSACIÓN DEUDA EXTERIOR </t>
  </si>
  <si>
    <t xml:space="preserve">15 DÍAS DE JUNIO </t>
  </si>
  <si>
    <t xml:space="preserve">DÓLAR </t>
  </si>
  <si>
    <t xml:space="preserve">CAUSACION DEUDA BANCO NACIONAL </t>
  </si>
  <si>
    <t>INTERESES CUOTA 5</t>
  </si>
  <si>
    <t xml:space="preserve">20 DIAS DE JUNIO </t>
  </si>
  <si>
    <t>DESCRIPCIÓN</t>
  </si>
  <si>
    <t>MERCANCIAS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</si>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</sst>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#,##0;[Red]\-&quot;$&quot;#,##0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-* #,##0_-;\-* #,##0_-;_-* &quot;-&quot;??_-;_-@_-"/>
    <numFmt numFmtId="168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166" fontId="0" fillId="0" borderId="0" xfId="2" applyNumberFormat="1" applyFont="1"/>
    <xf numFmtId="14" fontId="0" fillId="0" borderId="1" xfId="0" applyNumberFormat="1" applyBorder="1"/>
    <xf numFmtId="166" fontId="0" fillId="0" borderId="1" xfId="2" applyNumberFormat="1" applyFont="1" applyBorder="1"/>
    <xf numFmtId="0" fontId="0" fillId="0" borderId="1" xfId="0" applyBorder="1"/>
    <xf numFmtId="167" fontId="0" fillId="0" borderId="1" xfId="1" applyNumberFormat="1" applyFont="1" applyBorder="1"/>
    <xf numFmtId="3" fontId="0" fillId="0" borderId="1" xfId="0" applyNumberFormat="1" applyBorder="1"/>
    <xf numFmtId="167" fontId="0" fillId="0" borderId="1" xfId="0" applyNumberFormat="1" applyBorder="1"/>
    <xf numFmtId="167" fontId="0" fillId="0" borderId="0" xfId="1" applyNumberFormat="1" applyFont="1"/>
    <xf numFmtId="167" fontId="0" fillId="0" borderId="0" xfId="0" applyNumberFormat="1"/>
    <xf numFmtId="0" fontId="0" fillId="0" borderId="0" xfId="0" applyBorder="1"/>
    <xf numFmtId="0" fontId="0" fillId="0" borderId="0" xfId="0" applyBorder="1"/>
    <xf numFmtId="0" fontId="0" fillId="0" borderId="0" xfId="0" applyAlignment="1">
      <alignment horizontal="justify"/>
    </xf>
    <xf numFmtId="0" fontId="2" fillId="0" borderId="0" xfId="0" applyFont="1" applyAlignment="1">
      <alignment horizontal="justify"/>
    </xf>
    <xf numFmtId="164" fontId="0" fillId="0" borderId="0" xfId="0" applyNumberFormat="1" applyAlignment="1">
      <alignment horizontal="justify"/>
    </xf>
    <xf numFmtId="164" fontId="2" fillId="0" borderId="0" xfId="0" applyNumberFormat="1" applyFont="1" applyAlignment="1">
      <alignment horizontal="justify"/>
    </xf>
    <xf numFmtId="0" fontId="0" fillId="0" borderId="0" xfId="0" applyAlignment="1"/>
    <xf numFmtId="166" fontId="0" fillId="0" borderId="0" xfId="2" applyNumberFormat="1" applyFont="1" applyBorder="1"/>
    <xf numFmtId="166" fontId="0" fillId="0" borderId="0" xfId="0" applyNumberFormat="1"/>
    <xf numFmtId="0" fontId="0" fillId="0" borderId="1" xfId="0" applyFill="1" applyBorder="1"/>
    <xf numFmtId="0" fontId="0" fillId="0" borderId="0" xfId="0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Border="1"/>
    <xf numFmtId="165" fontId="0" fillId="0" borderId="1" xfId="2" applyFont="1" applyBorder="1"/>
    <xf numFmtId="165" fontId="0" fillId="0" borderId="0" xfId="2" applyFont="1"/>
    <xf numFmtId="0" fontId="0" fillId="0" borderId="0" xfId="0" applyFill="1" applyBorder="1"/>
    <xf numFmtId="14" fontId="0" fillId="0" borderId="0" xfId="0" applyNumberFormat="1" applyBorder="1"/>
    <xf numFmtId="0" fontId="0" fillId="0" borderId="0" xfId="2" applyNumberFormat="1" applyFont="1"/>
    <xf numFmtId="166" fontId="0" fillId="0" borderId="1" xfId="0" applyNumberFormat="1" applyBorder="1"/>
    <xf numFmtId="166" fontId="0" fillId="0" borderId="4" xfId="2" applyNumberFormat="1" applyFont="1" applyBorder="1"/>
    <xf numFmtId="14" fontId="0" fillId="0" borderId="0" xfId="0" applyNumberFormat="1"/>
    <xf numFmtId="14" fontId="0" fillId="0" borderId="0" xfId="0" applyNumberFormat="1"/>
    <xf numFmtId="1" fontId="0" fillId="0" borderId="1" xfId="0" applyNumberFormat="1" applyBorder="1"/>
    <xf numFmtId="168" fontId="0" fillId="0" borderId="1" xfId="2" applyNumberFormat="1" applyFont="1" applyBorder="1"/>
    <xf numFmtId="168" fontId="0" fillId="0" borderId="0" xfId="2" applyNumberFormat="1" applyFont="1"/>
    <xf numFmtId="168" fontId="0" fillId="0" borderId="0" xfId="2" applyNumberFormat="1" applyFont="1" applyBorder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0" fillId="0" borderId="5" xfId="0" applyBorder="1"/>
    <xf numFmtId="168" fontId="0" fillId="0" borderId="5" xfId="2" applyNumberFormat="1" applyFont="1" applyBorder="1"/>
    <xf numFmtId="168" fontId="0" fillId="0" borderId="0" xfId="2" applyNumberFormat="1" applyFont="1"/>
  </cellXfs>
  <cellStyles count="3">
    <cellStyle name="Millares" xfId="1" builtinId="3"/>
    <cellStyle name="Moneda" xfId="2" builtinId="4"/>
    <cellStyle name="Normal" xfId="0" builtinId="0"/>
  </cellStyles>
  <dxfs count="1"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CAA99-4F88-488B-BB09-577FBB0B9CAB}" name="Tabla2" displayName="Tabla2" ref="A1:D66" totalsRowShown="0">
  <autoFilter ref="A1:D66" xr:uid="{903D229D-1319-4337-BDF8-62711E761F7B}"/>
  <tableColumns count="4">
    <tableColumn id="1" xr3:uid="{03682EC5-A959-4C99-B349-8DE351B1E596}" name="FECHA " dataDxfId="0"/>
    <tableColumn id="2" xr3:uid="{FBD8C6F6-3F7F-47C4-B5A4-FB82480D58EE}" name="CÓDIGO "/>
    <tableColumn id="3" xr3:uid="{BD430627-8460-4A76-AE1E-11C7CE3E5157}" name="DEBE "/>
    <tableColumn id="4" xr3:uid="{BF7D059C-84F1-4728-ACF1-6658F0A638A2}" name="HABER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30425E-78FF-46BE-BF96-CD3044DB823A}" name="Tabla3" displayName="Tabla3" ref="A1:B3" totalsRowShown="0">
  <autoFilter ref="A1:B3" xr:uid="{2F3E285A-DCF7-492D-A16B-F647B7098297}"/>
  <tableColumns count="2">
    <tableColumn id="1" xr3:uid="{3329F240-5C6B-416F-B4F4-2066C648E6B8}" name="CÓDIGO "/>
    <tableColumn id="2" xr3:uid="{6630B2B2-5CB4-4A21-A890-3C4BF3A03741}" name="DESCRIPCIÓ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zoomScale="99" workbookViewId="0">
      <selection activeCell="A3" sqref="A3:E41"/>
    </sheetView>
  </sheetViews>
  <sheetFormatPr baseColWidth="10" defaultRowHeight="15" x14ac:dyDescent="0.25"/>
  <cols>
    <col min="1" max="1" width="11.42578125" customWidth="1"/>
    <col min="3" max="3" width="37.140625" customWidth="1"/>
    <col min="4" max="4" width="15.85546875" customWidth="1"/>
    <col min="5" max="5" width="17" customWidth="1"/>
    <col min="7" max="7" width="11.85546875" bestFit="1" customWidth="1"/>
    <col min="8" max="8" width="16.42578125" customWidth="1"/>
    <col min="9" max="9" width="19.7109375" customWidth="1"/>
    <col min="11" max="11" width="12.5703125" bestFit="1" customWidth="1"/>
    <col min="12" max="12" width="14.140625" bestFit="1" customWidth="1"/>
    <col min="14" max="14" width="12.5703125" bestFit="1" customWidth="1"/>
    <col min="15" max="15" width="14.140625" bestFit="1" customWidth="1"/>
    <col min="17" max="17" width="12.5703125" bestFit="1" customWidth="1"/>
    <col min="18" max="18" width="14.140625" bestFit="1" customWidth="1"/>
  </cols>
  <sheetData>
    <row r="1" spans="1:26" x14ac:dyDescent="0.25">
      <c r="A1" s="49" t="s">
        <v>0</v>
      </c>
      <c r="B1" s="49"/>
      <c r="C1" s="49"/>
      <c r="D1" s="49"/>
      <c r="E1" s="49"/>
      <c r="F1" s="49"/>
      <c r="G1" s="49"/>
      <c r="H1" s="49"/>
    </row>
    <row r="2" spans="1:26" x14ac:dyDescent="0.25">
      <c r="G2" s="49" t="s">
        <v>50</v>
      </c>
      <c r="H2" s="49"/>
      <c r="I2" s="49"/>
    </row>
    <row r="3" spans="1:26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48" t="s">
        <v>14</v>
      </c>
      <c r="H3" s="48"/>
      <c r="I3" s="48"/>
      <c r="J3" s="48" t="s">
        <v>7</v>
      </c>
      <c r="K3" s="48"/>
      <c r="L3" s="48"/>
      <c r="M3" s="48" t="s">
        <v>11</v>
      </c>
      <c r="N3" s="48"/>
      <c r="O3" s="48"/>
      <c r="P3" s="48" t="s">
        <v>6</v>
      </c>
      <c r="Q3" s="48"/>
      <c r="R3" s="48"/>
      <c r="T3" s="15" t="s">
        <v>19</v>
      </c>
      <c r="U3" s="18"/>
      <c r="V3" s="18"/>
      <c r="W3" s="18"/>
      <c r="X3" s="18"/>
      <c r="Y3" s="18"/>
      <c r="Z3" s="18"/>
    </row>
    <row r="4" spans="1:26" ht="18.75" customHeight="1" x14ac:dyDescent="0.25">
      <c r="A4" s="4">
        <v>43832</v>
      </c>
      <c r="B4" s="2">
        <v>143501</v>
      </c>
      <c r="C4" s="2"/>
      <c r="D4" s="5">
        <v>2000000</v>
      </c>
      <c r="E4" s="5"/>
      <c r="G4" s="48"/>
      <c r="H4" s="48"/>
      <c r="I4" s="48"/>
      <c r="J4" s="2" t="s">
        <v>8</v>
      </c>
      <c r="K4" s="2" t="s">
        <v>9</v>
      </c>
      <c r="L4" s="2" t="s">
        <v>10</v>
      </c>
      <c r="M4" s="2" t="s">
        <v>8</v>
      </c>
      <c r="N4" s="2" t="s">
        <v>9</v>
      </c>
      <c r="O4" s="2" t="s">
        <v>10</v>
      </c>
      <c r="P4" s="2" t="s">
        <v>8</v>
      </c>
      <c r="Q4" s="2" t="s">
        <v>9</v>
      </c>
      <c r="R4" s="2" t="s">
        <v>10</v>
      </c>
      <c r="T4" s="15" t="s">
        <v>20</v>
      </c>
      <c r="U4" s="18"/>
      <c r="V4" s="18"/>
      <c r="W4" s="18"/>
      <c r="X4" s="18"/>
      <c r="Y4" s="18"/>
      <c r="Z4" s="18"/>
    </row>
    <row r="5" spans="1:26" ht="19.5" customHeight="1" x14ac:dyDescent="0.25">
      <c r="A5" s="2"/>
      <c r="B5" s="2">
        <v>240801</v>
      </c>
      <c r="C5" s="2"/>
      <c r="D5" s="5">
        <f>D4*19%</f>
        <v>380000</v>
      </c>
      <c r="E5" s="5"/>
      <c r="G5" s="2"/>
      <c r="H5" s="46"/>
      <c r="I5" s="47"/>
      <c r="J5" s="2"/>
      <c r="K5" s="7"/>
      <c r="L5" s="7"/>
      <c r="M5" s="7"/>
      <c r="N5" s="7"/>
      <c r="O5" s="7"/>
      <c r="P5" s="2">
        <v>15</v>
      </c>
      <c r="Q5" s="8">
        <v>208667</v>
      </c>
      <c r="R5" s="8">
        <v>3130000</v>
      </c>
      <c r="T5" s="14" t="s">
        <v>21</v>
      </c>
      <c r="U5" s="18"/>
      <c r="V5" s="18"/>
      <c r="W5" s="18"/>
      <c r="X5" s="16">
        <v>5000000</v>
      </c>
      <c r="Y5" s="18"/>
      <c r="Z5" s="18"/>
    </row>
    <row r="6" spans="1:26" ht="18.75" customHeight="1" x14ac:dyDescent="0.25">
      <c r="A6" s="2"/>
      <c r="B6" s="2">
        <v>220505</v>
      </c>
      <c r="C6" s="2"/>
      <c r="D6" s="5"/>
      <c r="E6" s="5">
        <f>D4+D5</f>
        <v>2380000</v>
      </c>
      <c r="G6" s="4">
        <v>43875</v>
      </c>
      <c r="H6" s="46" t="s">
        <v>12</v>
      </c>
      <c r="I6" s="47"/>
      <c r="J6" s="2">
        <v>13</v>
      </c>
      <c r="K6" s="7">
        <v>205000</v>
      </c>
      <c r="L6" s="7">
        <f>J6*K6</f>
        <v>2665000</v>
      </c>
      <c r="M6" s="7"/>
      <c r="N6" s="7"/>
      <c r="O6" s="7"/>
      <c r="P6" s="2">
        <f>P5+J6</f>
        <v>28</v>
      </c>
      <c r="Q6" s="9">
        <f>R6/P6</f>
        <v>206964.28571428571</v>
      </c>
      <c r="R6" s="9">
        <f>R5+L6</f>
        <v>5795000</v>
      </c>
      <c r="T6" s="15" t="s">
        <v>22</v>
      </c>
      <c r="U6" s="18"/>
      <c r="V6" s="18"/>
      <c r="W6" s="17">
        <v>5000000</v>
      </c>
      <c r="X6" s="18"/>
      <c r="Y6" s="18"/>
      <c r="Z6" s="18"/>
    </row>
    <row r="7" spans="1:26" ht="21" customHeight="1" x14ac:dyDescent="0.25">
      <c r="A7" s="2"/>
      <c r="B7" s="2"/>
      <c r="C7" s="2"/>
      <c r="D7" s="5">
        <f>SUM(D4:D6)</f>
        <v>2380000</v>
      </c>
      <c r="E7" s="5">
        <f>SUM(E6)</f>
        <v>2380000</v>
      </c>
      <c r="G7" s="4">
        <v>43881</v>
      </c>
      <c r="H7" s="46" t="s">
        <v>13</v>
      </c>
      <c r="I7" s="47"/>
      <c r="J7" s="2"/>
      <c r="K7" s="7"/>
      <c r="L7" s="7"/>
      <c r="M7" s="7">
        <v>18</v>
      </c>
      <c r="N7" s="7">
        <v>206964</v>
      </c>
      <c r="O7" s="7">
        <f>M7*N7</f>
        <v>3725352</v>
      </c>
      <c r="P7" s="2">
        <f>P6-M7</f>
        <v>10</v>
      </c>
      <c r="Q7" s="9">
        <v>206964</v>
      </c>
      <c r="R7" s="9">
        <f>R6-O7</f>
        <v>2069648</v>
      </c>
      <c r="T7" s="14" t="s">
        <v>23</v>
      </c>
      <c r="U7" s="18"/>
      <c r="V7" s="18"/>
      <c r="W7" s="18"/>
      <c r="X7" s="18"/>
      <c r="Y7" s="18"/>
      <c r="Z7" s="18"/>
    </row>
    <row r="8" spans="1:26" ht="18.75" customHeight="1" x14ac:dyDescent="0.25">
      <c r="D8" s="3"/>
      <c r="E8" s="3"/>
      <c r="G8" s="4">
        <v>43886</v>
      </c>
      <c r="H8" s="46" t="s">
        <v>15</v>
      </c>
      <c r="I8" s="47"/>
      <c r="J8" s="2">
        <v>3</v>
      </c>
      <c r="K8" s="7">
        <v>206965</v>
      </c>
      <c r="L8" s="7">
        <f>K8*J8</f>
        <v>620895</v>
      </c>
      <c r="M8" s="7"/>
      <c r="N8" s="7"/>
      <c r="O8" s="7"/>
      <c r="P8" s="2">
        <f>P7-M8</f>
        <v>10</v>
      </c>
      <c r="Q8" s="9">
        <v>206964</v>
      </c>
      <c r="R8" s="9">
        <f>R7-O8</f>
        <v>2069648</v>
      </c>
      <c r="T8" s="14" t="s">
        <v>24</v>
      </c>
      <c r="U8" s="18"/>
      <c r="V8" s="18"/>
      <c r="W8" s="18"/>
      <c r="X8" s="16">
        <v>8000000</v>
      </c>
      <c r="Y8" s="18"/>
      <c r="Z8" s="18"/>
    </row>
    <row r="9" spans="1:26" ht="30" x14ac:dyDescent="0.25">
      <c r="G9" s="4">
        <v>43895</v>
      </c>
      <c r="H9" s="46" t="s">
        <v>13</v>
      </c>
      <c r="I9" s="47"/>
      <c r="J9" s="2"/>
      <c r="K9" s="7"/>
      <c r="L9" s="7"/>
      <c r="M9" s="7">
        <v>5</v>
      </c>
      <c r="N9" s="7">
        <v>206964</v>
      </c>
      <c r="O9" s="7">
        <f>N9*M9</f>
        <v>1034820</v>
      </c>
      <c r="P9" s="2">
        <v>5</v>
      </c>
      <c r="Q9" s="9">
        <f t="shared" ref="Q9:Q14" si="0">R9/P9</f>
        <v>206965.6</v>
      </c>
      <c r="R9" s="9">
        <f>R8-O9</f>
        <v>1034828</v>
      </c>
      <c r="T9" s="14" t="s">
        <v>25</v>
      </c>
      <c r="U9" s="18"/>
      <c r="V9" s="18"/>
      <c r="W9" s="18"/>
      <c r="X9" s="16">
        <v>9000000</v>
      </c>
      <c r="Y9" s="18"/>
      <c r="Z9" s="18"/>
    </row>
    <row r="10" spans="1:26" ht="24" customHeight="1" x14ac:dyDescent="0.25">
      <c r="A10" s="4">
        <v>43834</v>
      </c>
      <c r="B10" s="2">
        <v>413501</v>
      </c>
      <c r="C10" s="2"/>
      <c r="D10" s="5"/>
      <c r="E10" s="5">
        <v>3200000</v>
      </c>
      <c r="G10" s="4">
        <v>43922</v>
      </c>
      <c r="H10" s="46" t="s">
        <v>12</v>
      </c>
      <c r="I10" s="47"/>
      <c r="J10" s="2">
        <v>10</v>
      </c>
      <c r="K10" s="7">
        <v>215000</v>
      </c>
      <c r="L10" s="7">
        <f>K10*J10</f>
        <v>2150000</v>
      </c>
      <c r="M10" s="7"/>
      <c r="N10" s="7"/>
      <c r="O10" s="7"/>
      <c r="P10" s="2">
        <v>15</v>
      </c>
      <c r="Q10" s="9">
        <f t="shared" si="0"/>
        <v>212321.86666666667</v>
      </c>
      <c r="R10" s="9">
        <f>R9+L10</f>
        <v>3184828</v>
      </c>
      <c r="T10" s="15" t="s">
        <v>26</v>
      </c>
      <c r="U10" s="18"/>
      <c r="V10" s="18"/>
      <c r="W10" s="17">
        <v>17000000</v>
      </c>
      <c r="X10" s="18"/>
      <c r="Y10" s="18"/>
      <c r="Z10" s="18"/>
    </row>
    <row r="11" spans="1:26" ht="23.25" customHeight="1" x14ac:dyDescent="0.25">
      <c r="A11" s="2"/>
      <c r="B11" s="2">
        <v>240802</v>
      </c>
      <c r="C11" s="2"/>
      <c r="D11" s="5"/>
      <c r="E11" s="5">
        <f>E10*19%</f>
        <v>608000</v>
      </c>
      <c r="G11" s="4">
        <v>43926</v>
      </c>
      <c r="H11" s="46" t="s">
        <v>13</v>
      </c>
      <c r="I11" s="47"/>
      <c r="J11" s="2"/>
      <c r="K11" s="7"/>
      <c r="L11" s="7"/>
      <c r="M11" s="7">
        <v>8</v>
      </c>
      <c r="N11" s="7">
        <v>212322</v>
      </c>
      <c r="O11" s="7">
        <f>M11*N11</f>
        <v>1698576</v>
      </c>
      <c r="P11" s="9">
        <f>P10-M11</f>
        <v>7</v>
      </c>
      <c r="Q11" s="7">
        <f t="shared" si="0"/>
        <v>212321.71428571429</v>
      </c>
      <c r="R11" s="9">
        <f>R10-O11</f>
        <v>1486252</v>
      </c>
      <c r="T11" s="15" t="s">
        <v>27</v>
      </c>
      <c r="U11" s="18"/>
      <c r="V11" s="18"/>
      <c r="W11" s="18"/>
      <c r="X11" s="18"/>
      <c r="Y11" s="17">
        <v>22000000</v>
      </c>
      <c r="Z11" s="18"/>
    </row>
    <row r="12" spans="1:26" x14ac:dyDescent="0.25">
      <c r="A12" s="2"/>
      <c r="B12" s="2">
        <v>135515</v>
      </c>
      <c r="C12" s="2"/>
      <c r="D12" s="5">
        <f>E10*2.5%</f>
        <v>80000</v>
      </c>
      <c r="E12" s="5"/>
      <c r="G12" s="4">
        <v>43941</v>
      </c>
      <c r="H12" s="46" t="s">
        <v>12</v>
      </c>
      <c r="I12" s="47"/>
      <c r="J12" s="2">
        <v>30</v>
      </c>
      <c r="K12" s="7"/>
      <c r="L12" s="7">
        <f>'ABRIL '!D30</f>
        <v>6579000</v>
      </c>
      <c r="M12" s="7"/>
      <c r="N12" s="7"/>
      <c r="O12" s="7"/>
      <c r="P12" s="9">
        <f>P11+J12</f>
        <v>37</v>
      </c>
      <c r="Q12" s="37">
        <f t="shared" si="0"/>
        <v>217979.78378378379</v>
      </c>
      <c r="R12" s="9">
        <f>R11+L12</f>
        <v>8065252</v>
      </c>
      <c r="T12" s="15" t="s">
        <v>28</v>
      </c>
      <c r="U12" s="18"/>
      <c r="V12" s="18"/>
      <c r="W12" s="18"/>
      <c r="X12" s="18"/>
      <c r="Y12" s="18"/>
      <c r="Z12" s="16">
        <v>0</v>
      </c>
    </row>
    <row r="13" spans="1:26" ht="19.5" customHeight="1" x14ac:dyDescent="0.25">
      <c r="A13" s="2"/>
      <c r="B13" s="2">
        <v>135517</v>
      </c>
      <c r="C13" s="2"/>
      <c r="D13" s="5">
        <f>E11*15%</f>
        <v>91200</v>
      </c>
      <c r="E13" s="5"/>
      <c r="G13" s="4">
        <v>43983</v>
      </c>
      <c r="H13" s="46" t="s">
        <v>12</v>
      </c>
      <c r="I13" s="47"/>
      <c r="J13" s="2">
        <v>24</v>
      </c>
      <c r="K13" s="7">
        <v>214000</v>
      </c>
      <c r="L13" s="7">
        <f>J13*K13</f>
        <v>5136000</v>
      </c>
      <c r="M13" s="7"/>
      <c r="N13" s="7"/>
      <c r="O13" s="7"/>
      <c r="P13" s="9">
        <f>P12+J13</f>
        <v>61</v>
      </c>
      <c r="Q13" s="37">
        <f t="shared" si="0"/>
        <v>216413.96721311475</v>
      </c>
      <c r="R13" s="9">
        <f>R12+L13</f>
        <v>13201252</v>
      </c>
      <c r="T13" s="15" t="s">
        <v>29</v>
      </c>
      <c r="U13" s="18"/>
      <c r="V13" s="18"/>
      <c r="W13" s="18"/>
      <c r="X13" s="18"/>
      <c r="Y13" s="18"/>
      <c r="Z13" s="18"/>
    </row>
    <row r="14" spans="1:26" ht="18.75" customHeight="1" x14ac:dyDescent="0.25">
      <c r="A14" s="2"/>
      <c r="B14" s="2">
        <v>130505</v>
      </c>
      <c r="C14" s="2"/>
      <c r="D14" s="5">
        <f>E10+E11-D12-D13</f>
        <v>3636800</v>
      </c>
      <c r="E14" s="5"/>
      <c r="G14" s="4">
        <v>43986</v>
      </c>
      <c r="H14" s="46" t="s">
        <v>13</v>
      </c>
      <c r="I14" s="47"/>
      <c r="J14" s="2"/>
      <c r="K14" s="7"/>
      <c r="L14" s="7"/>
      <c r="M14" s="7">
        <v>18</v>
      </c>
      <c r="N14" s="7">
        <v>216414</v>
      </c>
      <c r="O14" s="7">
        <f>M14*N14</f>
        <v>3895452</v>
      </c>
      <c r="P14" s="9">
        <f>P13-M14</f>
        <v>43</v>
      </c>
      <c r="Q14" s="37">
        <f t="shared" si="0"/>
        <v>216413.95348837209</v>
      </c>
      <c r="R14" s="9">
        <f>R13-O14</f>
        <v>9305800</v>
      </c>
      <c r="T14" s="14" t="s">
        <v>30</v>
      </c>
      <c r="U14" s="18"/>
      <c r="V14" s="18"/>
      <c r="W14" s="16">
        <v>22000000</v>
      </c>
      <c r="X14" s="18"/>
      <c r="Y14" s="18"/>
      <c r="Z14" s="18"/>
    </row>
    <row r="15" spans="1:26" ht="22.5" customHeight="1" x14ac:dyDescent="0.25">
      <c r="A15" s="2"/>
      <c r="B15" s="2"/>
      <c r="C15" s="2"/>
      <c r="D15" s="5"/>
      <c r="E15" s="5"/>
      <c r="T15" s="15" t="s">
        <v>31</v>
      </c>
      <c r="U15" s="18"/>
      <c r="V15" s="18"/>
      <c r="W15" s="18"/>
      <c r="X15" s="17">
        <v>22000000</v>
      </c>
      <c r="Y15" s="18"/>
      <c r="Z15" s="18"/>
    </row>
    <row r="16" spans="1:26" ht="23.25" customHeight="1" x14ac:dyDescent="0.25">
      <c r="A16" s="2"/>
      <c r="B16" s="2">
        <v>613501</v>
      </c>
      <c r="C16" s="2"/>
      <c r="D16" s="5">
        <v>1600000</v>
      </c>
      <c r="E16" s="5"/>
      <c r="T16" s="15" t="s">
        <v>32</v>
      </c>
      <c r="U16" s="18"/>
      <c r="V16" s="18"/>
      <c r="W16" s="17">
        <v>22000000</v>
      </c>
      <c r="X16" s="18"/>
      <c r="Y16" s="18"/>
      <c r="Z16" s="18"/>
    </row>
    <row r="17" spans="1:15" x14ac:dyDescent="0.25">
      <c r="A17" s="2"/>
      <c r="B17" s="2">
        <v>143501</v>
      </c>
      <c r="C17" s="2"/>
      <c r="D17" s="5"/>
      <c r="E17" s="5">
        <f>D16</f>
        <v>1600000</v>
      </c>
      <c r="M17">
        <v>18</v>
      </c>
      <c r="N17">
        <v>206964</v>
      </c>
      <c r="O17">
        <f>N17*M17</f>
        <v>3725352</v>
      </c>
    </row>
    <row r="18" spans="1:15" x14ac:dyDescent="0.25">
      <c r="A18" s="2"/>
      <c r="B18" s="2"/>
      <c r="C18" s="2"/>
      <c r="D18" s="5">
        <f>SUM(D12:D17)</f>
        <v>5408000</v>
      </c>
      <c r="E18" s="5">
        <f>SUM(E10:E17)</f>
        <v>5408000</v>
      </c>
      <c r="M18">
        <v>18</v>
      </c>
      <c r="N18" s="10">
        <v>206964</v>
      </c>
      <c r="O18" s="11">
        <f>N18*M18</f>
        <v>3725352</v>
      </c>
    </row>
    <row r="19" spans="1:15" x14ac:dyDescent="0.25">
      <c r="D19" s="3"/>
      <c r="E19" s="3"/>
    </row>
    <row r="21" spans="1:15" x14ac:dyDescent="0.25">
      <c r="A21" s="4">
        <v>43838</v>
      </c>
      <c r="B21" s="2">
        <v>143501</v>
      </c>
      <c r="C21" s="2"/>
      <c r="D21" s="5">
        <v>3150000</v>
      </c>
      <c r="E21" s="5"/>
    </row>
    <row r="22" spans="1:15" x14ac:dyDescent="0.25">
      <c r="A22" s="2"/>
      <c r="B22" s="2">
        <v>240801</v>
      </c>
      <c r="C22" s="2"/>
      <c r="D22" s="5">
        <f>D21*19%</f>
        <v>598500</v>
      </c>
      <c r="E22" s="5"/>
    </row>
    <row r="23" spans="1:15" x14ac:dyDescent="0.25">
      <c r="A23" s="2"/>
      <c r="B23" s="2">
        <v>236540</v>
      </c>
      <c r="C23" s="2"/>
      <c r="D23" s="5"/>
      <c r="E23" s="5">
        <f>D21*2.5%</f>
        <v>78750</v>
      </c>
    </row>
    <row r="24" spans="1:15" x14ac:dyDescent="0.25">
      <c r="A24" s="2"/>
      <c r="B24" s="2">
        <v>220505</v>
      </c>
      <c r="C24" s="2"/>
      <c r="D24" s="5"/>
      <c r="E24" s="5">
        <f>D21+D22-E23</f>
        <v>3669750</v>
      </c>
    </row>
    <row r="25" spans="1:15" x14ac:dyDescent="0.25">
      <c r="A25" s="2"/>
      <c r="B25" s="2"/>
      <c r="C25" s="2"/>
      <c r="D25" s="5">
        <f>SUM(D21:D24)</f>
        <v>3748500</v>
      </c>
      <c r="E25" s="5">
        <f>SUM(E23:E24)</f>
        <v>3748500</v>
      </c>
    </row>
    <row r="27" spans="1:15" x14ac:dyDescent="0.25">
      <c r="A27" s="4">
        <v>43840</v>
      </c>
      <c r="B27" s="2">
        <v>143501</v>
      </c>
      <c r="C27" s="2"/>
      <c r="D27" s="5"/>
      <c r="E27" s="5">
        <v>420000</v>
      </c>
    </row>
    <row r="28" spans="1:15" x14ac:dyDescent="0.25">
      <c r="A28" s="2"/>
      <c r="B28" s="2">
        <v>240801</v>
      </c>
      <c r="C28" s="2"/>
      <c r="D28" s="5"/>
      <c r="E28" s="5">
        <f>E27*19%</f>
        <v>79800</v>
      </c>
    </row>
    <row r="29" spans="1:15" x14ac:dyDescent="0.25">
      <c r="A29" s="2"/>
      <c r="B29" s="2">
        <v>236540</v>
      </c>
      <c r="C29" s="2"/>
      <c r="D29" s="5">
        <f>E27*2.5%</f>
        <v>10500</v>
      </c>
      <c r="E29" s="5"/>
    </row>
    <row r="30" spans="1:15" x14ac:dyDescent="0.25">
      <c r="A30" s="2"/>
      <c r="B30" s="2">
        <v>220505</v>
      </c>
      <c r="C30" s="2"/>
      <c r="D30" s="5">
        <f>E27+E28-D29</f>
        <v>489300</v>
      </c>
      <c r="E30" s="5"/>
    </row>
    <row r="31" spans="1:15" x14ac:dyDescent="0.25">
      <c r="A31" s="2"/>
      <c r="B31" s="2"/>
      <c r="C31" s="2"/>
      <c r="D31" s="5">
        <f>SUM(D29:D30)</f>
        <v>499800</v>
      </c>
      <c r="E31" s="5">
        <f>SUM(E27:E30)</f>
        <v>499800</v>
      </c>
    </row>
    <row r="33" spans="1:7" x14ac:dyDescent="0.25">
      <c r="A33" s="4">
        <v>43845</v>
      </c>
      <c r="B33" s="2">
        <v>110505</v>
      </c>
      <c r="C33" s="2" t="s">
        <v>18</v>
      </c>
      <c r="D33" s="5">
        <v>1454720</v>
      </c>
      <c r="E33" s="5"/>
    </row>
    <row r="34" spans="1:7" x14ac:dyDescent="0.25">
      <c r="A34" s="2"/>
      <c r="B34" s="2">
        <v>130505</v>
      </c>
      <c r="C34" s="2"/>
      <c r="D34" s="5"/>
      <c r="E34" s="5">
        <f>D33</f>
        <v>1454720</v>
      </c>
    </row>
    <row r="36" spans="1:7" x14ac:dyDescent="0.25">
      <c r="A36" s="4">
        <v>43850</v>
      </c>
      <c r="B36" s="2">
        <v>513535</v>
      </c>
      <c r="C36" s="2"/>
      <c r="D36" s="5">
        <v>60000</v>
      </c>
      <c r="E36" s="5"/>
    </row>
    <row r="37" spans="1:7" x14ac:dyDescent="0.25">
      <c r="A37" s="2"/>
      <c r="B37" s="2">
        <v>513530</v>
      </c>
      <c r="C37" s="2"/>
      <c r="D37" s="5">
        <v>45000</v>
      </c>
      <c r="E37" s="5"/>
    </row>
    <row r="38" spans="1:7" x14ac:dyDescent="0.25">
      <c r="A38" s="2"/>
      <c r="B38" s="2">
        <v>233530</v>
      </c>
      <c r="C38" s="2"/>
      <c r="D38" s="5"/>
      <c r="E38" s="5">
        <v>105000</v>
      </c>
    </row>
    <row r="39" spans="1:7" x14ac:dyDescent="0.25">
      <c r="A39" s="2"/>
      <c r="B39" s="2"/>
      <c r="C39" s="2"/>
      <c r="D39" s="5"/>
      <c r="E39" s="5"/>
    </row>
    <row r="40" spans="1:7" x14ac:dyDescent="0.25">
      <c r="A40" s="2"/>
      <c r="B40" s="2">
        <v>233530</v>
      </c>
      <c r="C40" s="2"/>
      <c r="D40" s="5">
        <v>105000</v>
      </c>
      <c r="E40" s="5"/>
    </row>
    <row r="41" spans="1:7" x14ac:dyDescent="0.25">
      <c r="A41" s="2"/>
      <c r="B41" s="2">
        <v>111005</v>
      </c>
      <c r="C41" s="2"/>
      <c r="D41" s="5"/>
      <c r="E41" s="5">
        <f>D40</f>
        <v>105000</v>
      </c>
    </row>
    <row r="42" spans="1:7" x14ac:dyDescent="0.25">
      <c r="D42" s="3"/>
      <c r="E42" s="3"/>
    </row>
    <row r="44" spans="1:7" x14ac:dyDescent="0.25">
      <c r="A44" s="49" t="s">
        <v>16</v>
      </c>
      <c r="B44" s="49"/>
      <c r="C44" s="49"/>
      <c r="D44" s="49"/>
      <c r="E44" s="49"/>
    </row>
    <row r="46" spans="1:7" x14ac:dyDescent="0.25">
      <c r="A46" s="2" t="s">
        <v>17</v>
      </c>
      <c r="B46" s="48" t="s">
        <v>3</v>
      </c>
      <c r="C46" s="48"/>
      <c r="D46" s="2" t="s">
        <v>4</v>
      </c>
      <c r="E46" s="2" t="s">
        <v>5</v>
      </c>
      <c r="G46" s="1"/>
    </row>
    <row r="47" spans="1:7" x14ac:dyDescent="0.25">
      <c r="A47" s="2">
        <v>1105</v>
      </c>
      <c r="B47" s="46"/>
      <c r="C47" s="47"/>
      <c r="D47" s="5">
        <f>D33</f>
        <v>1454720</v>
      </c>
      <c r="E47" s="5"/>
      <c r="G47" s="6">
        <v>1105</v>
      </c>
    </row>
    <row r="48" spans="1:7" x14ac:dyDescent="0.25">
      <c r="A48" s="2">
        <v>1110</v>
      </c>
      <c r="B48" s="46"/>
      <c r="C48" s="47"/>
      <c r="D48" s="5">
        <f>X5-E41</f>
        <v>4895000</v>
      </c>
      <c r="E48" s="5"/>
      <c r="G48" s="6">
        <v>1110</v>
      </c>
    </row>
    <row r="49" spans="1:7" x14ac:dyDescent="0.25">
      <c r="A49" s="2">
        <v>1305</v>
      </c>
      <c r="B49" s="46"/>
      <c r="C49" s="47"/>
      <c r="D49" s="5">
        <f>D14-E34</f>
        <v>2182080</v>
      </c>
      <c r="E49" s="5"/>
      <c r="G49" s="6">
        <v>1305</v>
      </c>
    </row>
    <row r="50" spans="1:7" x14ac:dyDescent="0.25">
      <c r="A50" s="2">
        <v>1355</v>
      </c>
      <c r="B50" s="46"/>
      <c r="C50" s="47"/>
      <c r="D50" s="5">
        <f>D12+D13</f>
        <v>171200</v>
      </c>
      <c r="E50" s="5"/>
      <c r="G50" s="6">
        <v>1355</v>
      </c>
    </row>
    <row r="51" spans="1:7" x14ac:dyDescent="0.25">
      <c r="A51" s="2">
        <v>1435</v>
      </c>
      <c r="B51" s="46"/>
      <c r="C51" s="47"/>
      <c r="D51" s="5">
        <v>3130000</v>
      </c>
      <c r="E51" s="5"/>
      <c r="G51" s="6">
        <v>1435</v>
      </c>
    </row>
    <row r="52" spans="1:7" x14ac:dyDescent="0.25">
      <c r="A52" s="2">
        <v>1524</v>
      </c>
      <c r="B52" s="46"/>
      <c r="C52" s="47"/>
      <c r="D52" s="5">
        <v>8000000</v>
      </c>
      <c r="E52" s="5"/>
      <c r="G52" s="6">
        <v>1524</v>
      </c>
    </row>
    <row r="53" spans="1:7" x14ac:dyDescent="0.25">
      <c r="A53" s="2">
        <v>1528</v>
      </c>
      <c r="B53" s="46"/>
      <c r="C53" s="47"/>
      <c r="D53" s="5">
        <v>9000000</v>
      </c>
      <c r="E53" s="5"/>
      <c r="G53" s="6">
        <v>1528</v>
      </c>
    </row>
    <row r="54" spans="1:7" x14ac:dyDescent="0.25">
      <c r="A54" s="2">
        <v>2205</v>
      </c>
      <c r="B54" s="46"/>
      <c r="C54" s="47"/>
      <c r="D54" s="5"/>
      <c r="E54" s="5">
        <f>E6+E24-D30</f>
        <v>5560450</v>
      </c>
      <c r="G54" s="6">
        <v>2105</v>
      </c>
    </row>
    <row r="55" spans="1:7" x14ac:dyDescent="0.25">
      <c r="A55" s="2">
        <v>2365</v>
      </c>
      <c r="B55" s="46"/>
      <c r="C55" s="47"/>
      <c r="D55" s="5"/>
      <c r="E55" s="5">
        <f>E23-D29</f>
        <v>68250</v>
      </c>
      <c r="G55" s="6">
        <v>2205</v>
      </c>
    </row>
    <row r="56" spans="1:7" x14ac:dyDescent="0.25">
      <c r="A56" s="2">
        <v>2408</v>
      </c>
      <c r="B56" s="46"/>
      <c r="C56" s="47"/>
      <c r="D56" s="5">
        <f>D5-E11+D22-E28</f>
        <v>290700</v>
      </c>
      <c r="E56" s="5"/>
      <c r="G56" s="6">
        <v>2305</v>
      </c>
    </row>
    <row r="57" spans="1:7" x14ac:dyDescent="0.25">
      <c r="A57" s="2">
        <v>3115</v>
      </c>
      <c r="B57" s="46"/>
      <c r="C57" s="47"/>
      <c r="D57" s="5"/>
      <c r="E57" s="5">
        <v>22000000</v>
      </c>
      <c r="G57" s="6">
        <v>2365</v>
      </c>
    </row>
    <row r="58" spans="1:7" x14ac:dyDescent="0.25">
      <c r="A58" s="2">
        <v>4135</v>
      </c>
      <c r="B58" s="46"/>
      <c r="C58" s="47"/>
      <c r="D58" s="5"/>
      <c r="E58" s="5">
        <f>E10</f>
        <v>3200000</v>
      </c>
      <c r="G58" s="6">
        <v>2408</v>
      </c>
    </row>
    <row r="59" spans="1:7" x14ac:dyDescent="0.25">
      <c r="A59" s="2">
        <v>5135</v>
      </c>
      <c r="B59" s="46"/>
      <c r="C59" s="47"/>
      <c r="D59" s="5">
        <f>D36+D37</f>
        <v>105000</v>
      </c>
      <c r="E59" s="5"/>
      <c r="G59" s="6">
        <v>3115</v>
      </c>
    </row>
    <row r="60" spans="1:7" x14ac:dyDescent="0.25">
      <c r="A60" s="2">
        <v>6135</v>
      </c>
      <c r="B60" s="48"/>
      <c r="C60" s="48"/>
      <c r="D60" s="5">
        <f>D16</f>
        <v>1600000</v>
      </c>
      <c r="E60" s="5"/>
      <c r="G60" s="6">
        <v>4135</v>
      </c>
    </row>
    <row r="61" spans="1:7" x14ac:dyDescent="0.25">
      <c r="A61" s="12"/>
      <c r="B61" s="45"/>
      <c r="C61" s="45"/>
      <c r="D61" s="5">
        <f>SUM(D47:D60)</f>
        <v>30828700</v>
      </c>
      <c r="E61" s="5">
        <f>SUM(E54:E60)</f>
        <v>30828700</v>
      </c>
      <c r="G61" s="6">
        <v>4275</v>
      </c>
    </row>
    <row r="62" spans="1:7" x14ac:dyDescent="0.25">
      <c r="A62" s="12"/>
      <c r="B62" s="45"/>
      <c r="C62" s="45"/>
      <c r="D62" s="12"/>
      <c r="E62" s="12"/>
      <c r="G62" s="6">
        <v>5105</v>
      </c>
    </row>
    <row r="63" spans="1:7" x14ac:dyDescent="0.25">
      <c r="G63" s="6">
        <v>5135</v>
      </c>
    </row>
    <row r="64" spans="1:7" x14ac:dyDescent="0.25">
      <c r="G64" s="6">
        <v>5305</v>
      </c>
    </row>
    <row r="65" spans="7:7" x14ac:dyDescent="0.25">
      <c r="G65" s="6">
        <v>6135</v>
      </c>
    </row>
  </sheetData>
  <mergeCells count="34">
    <mergeCell ref="H12:I12"/>
    <mergeCell ref="J3:L3"/>
    <mergeCell ref="M3:O3"/>
    <mergeCell ref="P3:R3"/>
    <mergeCell ref="A1:H1"/>
    <mergeCell ref="G2:I2"/>
    <mergeCell ref="G3:I4"/>
    <mergeCell ref="H5:I5"/>
    <mergeCell ref="H6:I6"/>
    <mergeCell ref="H7:I7"/>
    <mergeCell ref="H8:I8"/>
    <mergeCell ref="H9:I9"/>
    <mergeCell ref="H10:I10"/>
    <mergeCell ref="H11:I11"/>
    <mergeCell ref="B49:C49"/>
    <mergeCell ref="B50:C50"/>
    <mergeCell ref="B51:C51"/>
    <mergeCell ref="B52:C52"/>
    <mergeCell ref="H13:I13"/>
    <mergeCell ref="H14:I14"/>
    <mergeCell ref="A44:E44"/>
    <mergeCell ref="B46:C46"/>
    <mergeCell ref="B47:C47"/>
    <mergeCell ref="B48:C48"/>
    <mergeCell ref="B61:C61"/>
    <mergeCell ref="B62:C62"/>
    <mergeCell ref="B54:C54"/>
    <mergeCell ref="B53:C53"/>
    <mergeCell ref="B55:C55"/>
    <mergeCell ref="B56:C56"/>
    <mergeCell ref="B57:C57"/>
    <mergeCell ref="B58:C58"/>
    <mergeCell ref="B59:C59"/>
    <mergeCell ref="B60:C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"/>
  <sheetViews>
    <sheetView workbookViewId="0">
      <selection activeCell="A3" sqref="A3:E6"/>
    </sheetView>
  </sheetViews>
  <sheetFormatPr baseColWidth="10" defaultRowHeight="15" x14ac:dyDescent="0.25"/>
  <cols>
    <col min="2" max="2" width="11" customWidth="1"/>
    <col min="3" max="3" width="36.85546875" customWidth="1"/>
    <col min="4" max="4" width="15.85546875" customWidth="1"/>
    <col min="5" max="5" width="16.85546875" customWidth="1"/>
    <col min="7" max="7" width="7.7109375" customWidth="1"/>
    <col min="8" max="8" width="12.5703125" bestFit="1" customWidth="1"/>
    <col min="10" max="10" width="19" customWidth="1"/>
    <col min="11" max="11" width="12.5703125" bestFit="1" customWidth="1"/>
  </cols>
  <sheetData>
    <row r="1" spans="1:12" x14ac:dyDescent="0.25">
      <c r="A1" s="49" t="s">
        <v>33</v>
      </c>
      <c r="B1" s="49"/>
      <c r="C1" s="49"/>
      <c r="D1" s="49"/>
      <c r="E1" s="49"/>
      <c r="F1" s="49"/>
      <c r="G1" s="49"/>
    </row>
    <row r="3" spans="1:12" x14ac:dyDescent="0.25">
      <c r="A3" s="2" t="s">
        <v>1</v>
      </c>
      <c r="B3" s="2" t="s">
        <v>2</v>
      </c>
      <c r="C3" s="2" t="s">
        <v>3</v>
      </c>
      <c r="D3" s="2" t="s">
        <v>4</v>
      </c>
      <c r="E3" s="21" t="s">
        <v>5</v>
      </c>
      <c r="G3" s="50" t="s">
        <v>34</v>
      </c>
      <c r="H3" s="50"/>
      <c r="I3" s="50"/>
      <c r="J3" s="50"/>
      <c r="K3" s="50"/>
      <c r="L3" s="50"/>
    </row>
    <row r="4" spans="1:12" x14ac:dyDescent="0.25">
      <c r="A4" s="4">
        <v>43871</v>
      </c>
      <c r="B4" s="2">
        <v>210505</v>
      </c>
      <c r="C4" s="2"/>
      <c r="D4" s="5"/>
      <c r="E4" s="5">
        <v>20000000</v>
      </c>
    </row>
    <row r="5" spans="1:12" x14ac:dyDescent="0.25">
      <c r="A5" s="2"/>
      <c r="B5" s="2">
        <v>530505</v>
      </c>
      <c r="C5" s="2"/>
      <c r="D5" s="5">
        <v>120000</v>
      </c>
      <c r="E5" s="5"/>
      <c r="G5" s="2" t="s">
        <v>35</v>
      </c>
      <c r="H5" s="2" t="s">
        <v>36</v>
      </c>
      <c r="I5" s="2" t="s">
        <v>37</v>
      </c>
      <c r="J5" s="2" t="s">
        <v>38</v>
      </c>
      <c r="K5" s="2" t="s">
        <v>6</v>
      </c>
    </row>
    <row r="6" spans="1:12" x14ac:dyDescent="0.25">
      <c r="A6" s="2"/>
      <c r="B6" s="2">
        <v>111005</v>
      </c>
      <c r="C6" s="2"/>
      <c r="D6" s="5">
        <f>E4-D5</f>
        <v>19880000</v>
      </c>
      <c r="E6" s="5"/>
      <c r="G6" s="2">
        <v>0</v>
      </c>
      <c r="H6" s="5"/>
      <c r="I6" s="5"/>
      <c r="J6" s="5"/>
      <c r="K6" s="5">
        <v>20000000</v>
      </c>
    </row>
    <row r="7" spans="1:12" x14ac:dyDescent="0.25">
      <c r="C7" s="3"/>
      <c r="D7" s="3"/>
      <c r="E7" s="3"/>
      <c r="G7" s="2">
        <f>G6+1</f>
        <v>1</v>
      </c>
      <c r="H7" s="5">
        <v>943713</v>
      </c>
      <c r="I7" s="5">
        <f>K6*1.02%</f>
        <v>204000.00000000003</v>
      </c>
      <c r="J7" s="5">
        <f>H7-I7</f>
        <v>739713</v>
      </c>
      <c r="K7" s="5">
        <f>K6-J7</f>
        <v>19260287</v>
      </c>
    </row>
    <row r="8" spans="1:12" x14ac:dyDescent="0.25">
      <c r="C8" s="20"/>
      <c r="D8" s="3"/>
      <c r="E8" s="3"/>
      <c r="G8" s="2">
        <f t="shared" ref="G8:G30" si="0">G7+1</f>
        <v>2</v>
      </c>
      <c r="H8" s="5">
        <v>943713</v>
      </c>
      <c r="I8" s="5">
        <f t="shared" ref="I8:I30" si="1">K7*1.02%</f>
        <v>196454.92740000002</v>
      </c>
      <c r="J8" s="5">
        <f t="shared" ref="J8:J30" si="2">H8-I8</f>
        <v>747258.07259999996</v>
      </c>
      <c r="K8" s="5">
        <f t="shared" ref="K8:K30" si="3">K7-J8</f>
        <v>18513028.9274</v>
      </c>
    </row>
    <row r="9" spans="1:12" x14ac:dyDescent="0.25">
      <c r="A9" s="4">
        <v>43889</v>
      </c>
      <c r="B9" s="2">
        <v>510520</v>
      </c>
      <c r="C9" s="2" t="s">
        <v>39</v>
      </c>
      <c r="D9" s="5">
        <v>136000</v>
      </c>
      <c r="E9" s="5"/>
      <c r="G9" s="2">
        <f t="shared" si="0"/>
        <v>3</v>
      </c>
      <c r="H9" s="5">
        <v>943713</v>
      </c>
      <c r="I9" s="5">
        <f t="shared" si="1"/>
        <v>188832.89505948001</v>
      </c>
      <c r="J9" s="5">
        <f t="shared" si="2"/>
        <v>754880.10494052002</v>
      </c>
      <c r="K9" s="5">
        <f t="shared" si="3"/>
        <v>17758148.822459482</v>
      </c>
    </row>
    <row r="10" spans="1:12" x14ac:dyDescent="0.25">
      <c r="A10" s="2"/>
      <c r="B10" s="2">
        <v>230505</v>
      </c>
      <c r="C10" s="2" t="s">
        <v>40</v>
      </c>
      <c r="D10" s="5"/>
      <c r="E10" s="5">
        <f>D9</f>
        <v>136000</v>
      </c>
      <c r="G10" s="2">
        <f t="shared" si="0"/>
        <v>4</v>
      </c>
      <c r="H10" s="5">
        <v>943713</v>
      </c>
      <c r="I10" s="5">
        <f t="shared" si="1"/>
        <v>181133.11798908672</v>
      </c>
      <c r="J10" s="5">
        <f t="shared" si="2"/>
        <v>762579.88201091322</v>
      </c>
      <c r="K10" s="5">
        <f t="shared" si="3"/>
        <v>16995568.940448567</v>
      </c>
    </row>
    <row r="11" spans="1:12" x14ac:dyDescent="0.25">
      <c r="A11" s="12"/>
      <c r="B11" s="12"/>
      <c r="C11" s="12"/>
      <c r="D11" s="19"/>
      <c r="E11" s="19"/>
      <c r="G11" s="2">
        <f t="shared" si="0"/>
        <v>5</v>
      </c>
      <c r="H11" s="5">
        <v>943713</v>
      </c>
      <c r="I11" s="5">
        <f t="shared" si="1"/>
        <v>173354.8031925754</v>
      </c>
      <c r="J11" s="5">
        <f t="shared" si="2"/>
        <v>770358.19680742454</v>
      </c>
      <c r="K11" s="5">
        <f t="shared" si="3"/>
        <v>16225210.743641142</v>
      </c>
    </row>
    <row r="12" spans="1:12" x14ac:dyDescent="0.25">
      <c r="A12" s="4">
        <v>43844</v>
      </c>
      <c r="B12" s="6">
        <v>143501</v>
      </c>
      <c r="C12" s="6"/>
      <c r="D12" s="5">
        <f>13*205000</f>
        <v>2665000</v>
      </c>
      <c r="E12" s="5"/>
      <c r="G12" s="2">
        <f t="shared" si="0"/>
        <v>6</v>
      </c>
      <c r="H12" s="5">
        <v>943713</v>
      </c>
      <c r="I12" s="5">
        <f t="shared" si="1"/>
        <v>165497.14958513965</v>
      </c>
      <c r="J12" s="5">
        <f t="shared" si="2"/>
        <v>778215.8504148603</v>
      </c>
      <c r="K12" s="5">
        <f t="shared" si="3"/>
        <v>15446994.893226281</v>
      </c>
    </row>
    <row r="13" spans="1:12" x14ac:dyDescent="0.25">
      <c r="A13" s="6"/>
      <c r="B13" s="21">
        <v>240801</v>
      </c>
      <c r="C13" s="6"/>
      <c r="D13" s="5">
        <f>D12*19%</f>
        <v>506350</v>
      </c>
      <c r="E13" s="5"/>
      <c r="G13" s="2">
        <f t="shared" si="0"/>
        <v>7</v>
      </c>
      <c r="H13" s="5">
        <v>943713</v>
      </c>
      <c r="I13" s="5">
        <f t="shared" si="1"/>
        <v>157559.34791090808</v>
      </c>
      <c r="J13" s="5">
        <f t="shared" si="2"/>
        <v>786153.65208909195</v>
      </c>
      <c r="K13" s="5">
        <f t="shared" si="3"/>
        <v>14660841.241137188</v>
      </c>
    </row>
    <row r="14" spans="1:12" x14ac:dyDescent="0.25">
      <c r="A14" s="6"/>
      <c r="B14" s="21">
        <v>236540</v>
      </c>
      <c r="C14" s="6"/>
      <c r="D14" s="5"/>
      <c r="E14" s="5">
        <f>D12*2.5%</f>
        <v>66625</v>
      </c>
      <c r="G14" s="2">
        <f t="shared" si="0"/>
        <v>8</v>
      </c>
      <c r="H14" s="5">
        <v>943713</v>
      </c>
      <c r="I14" s="5">
        <f t="shared" si="1"/>
        <v>149540.58065959933</v>
      </c>
      <c r="J14" s="5">
        <f t="shared" si="2"/>
        <v>794172.41934040072</v>
      </c>
      <c r="K14" s="5">
        <f t="shared" si="3"/>
        <v>13866668.821796788</v>
      </c>
    </row>
    <row r="15" spans="1:12" x14ac:dyDescent="0.25">
      <c r="A15" s="6"/>
      <c r="B15" s="21">
        <v>220505</v>
      </c>
      <c r="C15" s="6"/>
      <c r="D15" s="5"/>
      <c r="E15" s="5">
        <f>D12+D13-E14</f>
        <v>3104725</v>
      </c>
      <c r="G15" s="2">
        <f t="shared" si="0"/>
        <v>9</v>
      </c>
      <c r="H15" s="5">
        <v>943713</v>
      </c>
      <c r="I15" s="5">
        <f t="shared" si="1"/>
        <v>141440.02198232725</v>
      </c>
      <c r="J15" s="5">
        <f t="shared" si="2"/>
        <v>802272.97801767278</v>
      </c>
      <c r="K15" s="5">
        <f t="shared" si="3"/>
        <v>13064395.843779115</v>
      </c>
    </row>
    <row r="16" spans="1:12" x14ac:dyDescent="0.25">
      <c r="A16" s="13"/>
      <c r="B16" s="13"/>
      <c r="C16" s="13"/>
      <c r="D16" s="19"/>
      <c r="E16" s="19"/>
      <c r="F16" s="13"/>
      <c r="G16" s="23">
        <f t="shared" si="0"/>
        <v>10</v>
      </c>
      <c r="H16" s="5">
        <v>943713</v>
      </c>
      <c r="I16" s="5">
        <f t="shared" si="1"/>
        <v>133256.83760654699</v>
      </c>
      <c r="J16" s="5">
        <f t="shared" si="2"/>
        <v>810456.16239345307</v>
      </c>
      <c r="K16" s="5">
        <f t="shared" si="3"/>
        <v>12253939.681385662</v>
      </c>
    </row>
    <row r="17" spans="1:11" x14ac:dyDescent="0.25">
      <c r="A17" s="4">
        <v>43881</v>
      </c>
      <c r="B17" s="21">
        <v>413501</v>
      </c>
      <c r="C17" s="6"/>
      <c r="D17" s="5"/>
      <c r="E17" s="5">
        <f>18*400000</f>
        <v>7200000</v>
      </c>
      <c r="G17" s="2">
        <f t="shared" si="0"/>
        <v>11</v>
      </c>
      <c r="H17" s="5">
        <v>943713</v>
      </c>
      <c r="I17" s="5">
        <f t="shared" si="1"/>
        <v>124990.18475013376</v>
      </c>
      <c r="J17" s="5">
        <f t="shared" si="2"/>
        <v>818722.81524986622</v>
      </c>
      <c r="K17" s="5">
        <f t="shared" si="3"/>
        <v>11435216.866135797</v>
      </c>
    </row>
    <row r="18" spans="1:11" x14ac:dyDescent="0.25">
      <c r="A18" s="6"/>
      <c r="B18" s="21">
        <v>240802</v>
      </c>
      <c r="C18" s="6"/>
      <c r="D18" s="5"/>
      <c r="E18" s="5">
        <f>E17*19%</f>
        <v>1368000</v>
      </c>
      <c r="G18" s="2">
        <f t="shared" si="0"/>
        <v>12</v>
      </c>
      <c r="H18" s="5">
        <v>943713</v>
      </c>
      <c r="I18" s="5">
        <f t="shared" si="1"/>
        <v>116639.21203458513</v>
      </c>
      <c r="J18" s="5">
        <f t="shared" si="2"/>
        <v>827073.78796541481</v>
      </c>
      <c r="K18" s="5">
        <f t="shared" si="3"/>
        <v>10608143.078170381</v>
      </c>
    </row>
    <row r="19" spans="1:11" x14ac:dyDescent="0.25">
      <c r="A19" s="6"/>
      <c r="B19" s="21">
        <v>135515</v>
      </c>
      <c r="C19" s="6"/>
      <c r="D19" s="5">
        <f>E17*2.5%</f>
        <v>180000</v>
      </c>
      <c r="E19" s="5"/>
      <c r="G19" s="2">
        <f t="shared" si="0"/>
        <v>13</v>
      </c>
      <c r="H19" s="5">
        <v>943713</v>
      </c>
      <c r="I19" s="5">
        <f t="shared" si="1"/>
        <v>108203.0593973379</v>
      </c>
      <c r="J19" s="5">
        <f t="shared" si="2"/>
        <v>835509.94060266204</v>
      </c>
      <c r="K19" s="5">
        <f t="shared" si="3"/>
        <v>9772633.1375677194</v>
      </c>
    </row>
    <row r="20" spans="1:11" x14ac:dyDescent="0.25">
      <c r="A20" s="6"/>
      <c r="B20" s="21">
        <v>135517</v>
      </c>
      <c r="C20" s="6"/>
      <c r="D20" s="5">
        <f>E18*15%</f>
        <v>205200</v>
      </c>
      <c r="E20" s="5"/>
      <c r="G20" s="2">
        <f t="shared" si="0"/>
        <v>14</v>
      </c>
      <c r="H20" s="5">
        <v>943713</v>
      </c>
      <c r="I20" s="5">
        <f t="shared" si="1"/>
        <v>99680.858003190748</v>
      </c>
      <c r="J20" s="5">
        <f t="shared" si="2"/>
        <v>844032.14199680928</v>
      </c>
      <c r="K20" s="5">
        <f t="shared" si="3"/>
        <v>8928600.9955709092</v>
      </c>
    </row>
    <row r="21" spans="1:11" x14ac:dyDescent="0.25">
      <c r="A21" s="6"/>
      <c r="B21" s="21">
        <v>130505</v>
      </c>
      <c r="C21" s="6"/>
      <c r="D21" s="5">
        <f>E17+E18-D19-D20</f>
        <v>8182800</v>
      </c>
      <c r="E21" s="5"/>
      <c r="G21" s="2">
        <f t="shared" si="0"/>
        <v>15</v>
      </c>
      <c r="H21" s="5">
        <v>943713</v>
      </c>
      <c r="I21" s="5">
        <f t="shared" si="1"/>
        <v>91071.730154823279</v>
      </c>
      <c r="J21" s="5">
        <f t="shared" si="2"/>
        <v>852641.26984517672</v>
      </c>
      <c r="K21" s="5">
        <f t="shared" si="3"/>
        <v>8075959.7257257327</v>
      </c>
    </row>
    <row r="22" spans="1:11" x14ac:dyDescent="0.25">
      <c r="A22" s="6"/>
      <c r="B22" s="6"/>
      <c r="C22" s="6"/>
      <c r="D22" s="5"/>
      <c r="E22" s="5"/>
      <c r="G22" s="2">
        <f t="shared" si="0"/>
        <v>16</v>
      </c>
      <c r="H22" s="5">
        <v>943713</v>
      </c>
      <c r="I22" s="5">
        <f t="shared" si="1"/>
        <v>82374.789202402477</v>
      </c>
      <c r="J22" s="5">
        <f t="shared" si="2"/>
        <v>861338.21079759754</v>
      </c>
      <c r="K22" s="5">
        <f t="shared" si="3"/>
        <v>7214621.5149281351</v>
      </c>
    </row>
    <row r="23" spans="1:11" x14ac:dyDescent="0.25">
      <c r="A23" s="6"/>
      <c r="B23" s="6">
        <v>613501</v>
      </c>
      <c r="C23" s="6"/>
      <c r="D23" s="5">
        <f>ENERO!O7</f>
        <v>3725352</v>
      </c>
      <c r="E23" s="5"/>
      <c r="G23" s="2">
        <f t="shared" si="0"/>
        <v>17</v>
      </c>
      <c r="H23" s="5">
        <v>943713</v>
      </c>
      <c r="I23" s="5">
        <f t="shared" si="1"/>
        <v>73589.139452266987</v>
      </c>
      <c r="J23" s="5">
        <f t="shared" si="2"/>
        <v>870123.86054773303</v>
      </c>
      <c r="K23" s="5">
        <f t="shared" si="3"/>
        <v>6344497.6543804016</v>
      </c>
    </row>
    <row r="24" spans="1:11" x14ac:dyDescent="0.25">
      <c r="A24" s="6"/>
      <c r="B24" s="6">
        <v>143501</v>
      </c>
      <c r="C24" s="6"/>
      <c r="D24" s="5"/>
      <c r="E24" s="5">
        <f>D23</f>
        <v>3725352</v>
      </c>
      <c r="G24" s="2">
        <f t="shared" si="0"/>
        <v>18</v>
      </c>
      <c r="H24" s="5">
        <v>943713</v>
      </c>
      <c r="I24" s="5">
        <f t="shared" si="1"/>
        <v>64713.876074680098</v>
      </c>
      <c r="J24" s="5">
        <f t="shared" si="2"/>
        <v>878999.12392531987</v>
      </c>
      <c r="K24" s="5">
        <f t="shared" si="3"/>
        <v>5465498.5304550817</v>
      </c>
    </row>
    <row r="25" spans="1:11" x14ac:dyDescent="0.25">
      <c r="A25" s="13"/>
      <c r="B25" s="13"/>
      <c r="C25" s="13"/>
      <c r="D25" s="13"/>
      <c r="E25" s="13"/>
      <c r="G25" s="2">
        <f t="shared" si="0"/>
        <v>19</v>
      </c>
      <c r="H25" s="5">
        <v>943713</v>
      </c>
      <c r="I25" s="5">
        <f t="shared" si="1"/>
        <v>55748.085010641837</v>
      </c>
      <c r="J25" s="5">
        <f t="shared" si="2"/>
        <v>887964.91498935816</v>
      </c>
      <c r="K25" s="5">
        <f t="shared" si="3"/>
        <v>4577533.6154657239</v>
      </c>
    </row>
    <row r="26" spans="1:11" x14ac:dyDescent="0.25">
      <c r="A26" s="4">
        <v>43886</v>
      </c>
      <c r="B26" s="21">
        <v>427505</v>
      </c>
      <c r="C26" s="6"/>
      <c r="D26" s="5">
        <v>1200000</v>
      </c>
      <c r="E26" s="5"/>
      <c r="G26" s="2">
        <f t="shared" si="0"/>
        <v>20</v>
      </c>
      <c r="H26" s="5">
        <v>943713</v>
      </c>
      <c r="I26" s="5">
        <f t="shared" si="1"/>
        <v>46690.842877750387</v>
      </c>
      <c r="J26" s="5">
        <f t="shared" si="2"/>
        <v>897022.1571222496</v>
      </c>
      <c r="K26" s="5">
        <f t="shared" si="3"/>
        <v>3680511.4583434742</v>
      </c>
    </row>
    <row r="27" spans="1:11" x14ac:dyDescent="0.25">
      <c r="A27" s="6"/>
      <c r="B27" s="21">
        <v>240802</v>
      </c>
      <c r="C27" s="6"/>
      <c r="D27" s="5">
        <f>D26*19%</f>
        <v>228000</v>
      </c>
      <c r="E27" s="5"/>
      <c r="G27" s="2">
        <f t="shared" si="0"/>
        <v>21</v>
      </c>
      <c r="H27" s="5">
        <v>943713</v>
      </c>
      <c r="I27" s="5">
        <f t="shared" si="1"/>
        <v>37541.216875103441</v>
      </c>
      <c r="J27" s="5">
        <f t="shared" si="2"/>
        <v>906171.78312489658</v>
      </c>
      <c r="K27" s="5">
        <f t="shared" si="3"/>
        <v>2774339.6752185775</v>
      </c>
    </row>
    <row r="28" spans="1:11" x14ac:dyDescent="0.25">
      <c r="A28" s="6"/>
      <c r="B28" s="21">
        <v>135515</v>
      </c>
      <c r="C28" s="6"/>
      <c r="D28" s="5"/>
      <c r="E28" s="5">
        <f>D26*2.5%</f>
        <v>30000</v>
      </c>
      <c r="G28" s="2">
        <f t="shared" si="0"/>
        <v>22</v>
      </c>
      <c r="H28" s="5">
        <v>943713</v>
      </c>
      <c r="I28" s="5">
        <f t="shared" si="1"/>
        <v>28298.264687229494</v>
      </c>
      <c r="J28" s="5">
        <f t="shared" si="2"/>
        <v>915414.73531277047</v>
      </c>
      <c r="K28" s="5">
        <f t="shared" si="3"/>
        <v>1858924.9399058069</v>
      </c>
    </row>
    <row r="29" spans="1:11" x14ac:dyDescent="0.25">
      <c r="A29" s="6"/>
      <c r="B29" s="21">
        <v>135517</v>
      </c>
      <c r="C29" s="6"/>
      <c r="D29" s="5"/>
      <c r="E29" s="5">
        <f>D27*15%</f>
        <v>34200</v>
      </c>
      <c r="G29" s="2">
        <f t="shared" si="0"/>
        <v>23</v>
      </c>
      <c r="H29" s="5">
        <v>943713</v>
      </c>
      <c r="I29" s="5">
        <f t="shared" si="1"/>
        <v>18961.034387039232</v>
      </c>
      <c r="J29" s="5">
        <f t="shared" si="2"/>
        <v>924751.96561296075</v>
      </c>
      <c r="K29" s="5">
        <f t="shared" si="3"/>
        <v>934172.97429284616</v>
      </c>
    </row>
    <row r="30" spans="1:11" x14ac:dyDescent="0.25">
      <c r="A30" s="6"/>
      <c r="B30" s="21">
        <v>130505</v>
      </c>
      <c r="C30" s="6"/>
      <c r="D30" s="5"/>
      <c r="E30" s="5">
        <f>D26+D27-E28-E29</f>
        <v>1363800</v>
      </c>
      <c r="G30" s="2">
        <f t="shared" si="0"/>
        <v>24</v>
      </c>
      <c r="H30" s="5">
        <v>943713</v>
      </c>
      <c r="I30" s="5">
        <f t="shared" si="1"/>
        <v>9528.564337787031</v>
      </c>
      <c r="J30" s="5">
        <f t="shared" si="2"/>
        <v>934184.43566221301</v>
      </c>
      <c r="K30" s="5">
        <f t="shared" si="3"/>
        <v>-11.461369366850704</v>
      </c>
    </row>
    <row r="31" spans="1:11" x14ac:dyDescent="0.25">
      <c r="A31" s="6"/>
      <c r="B31" s="6"/>
      <c r="C31" s="6"/>
      <c r="D31" s="5"/>
      <c r="E31" s="5"/>
    </row>
    <row r="33" spans="1:5" x14ac:dyDescent="0.25">
      <c r="A33" s="4">
        <v>43887</v>
      </c>
      <c r="B33" s="6">
        <v>513535</v>
      </c>
      <c r="C33" s="6"/>
      <c r="D33" s="5">
        <v>500000</v>
      </c>
      <c r="E33" s="5"/>
    </row>
    <row r="34" spans="1:5" x14ac:dyDescent="0.25">
      <c r="A34" s="6"/>
      <c r="B34" s="6">
        <v>513530</v>
      </c>
      <c r="C34" s="6"/>
      <c r="D34" s="5">
        <v>300000</v>
      </c>
      <c r="E34" s="5"/>
    </row>
    <row r="35" spans="1:5" x14ac:dyDescent="0.25">
      <c r="A35" s="6"/>
      <c r="B35" s="6">
        <v>111005</v>
      </c>
      <c r="C35" s="6"/>
      <c r="D35" s="5"/>
      <c r="E35" s="5">
        <v>800000</v>
      </c>
    </row>
    <row r="36" spans="1:5" x14ac:dyDescent="0.25">
      <c r="D36" s="3"/>
      <c r="E36" s="3"/>
    </row>
    <row r="37" spans="1:5" x14ac:dyDescent="0.25">
      <c r="A37" s="4">
        <v>43889</v>
      </c>
      <c r="B37" s="6">
        <v>510520</v>
      </c>
      <c r="C37" s="6" t="s">
        <v>39</v>
      </c>
      <c r="D37" s="5">
        <v>136000</v>
      </c>
      <c r="E37" s="5"/>
    </row>
    <row r="38" spans="1:5" x14ac:dyDescent="0.25">
      <c r="A38" s="6"/>
      <c r="B38" s="6">
        <v>230505</v>
      </c>
      <c r="C38" s="6" t="s">
        <v>40</v>
      </c>
      <c r="D38" s="5"/>
      <c r="E38" s="5">
        <f>D37</f>
        <v>136000</v>
      </c>
    </row>
    <row r="39" spans="1:5" x14ac:dyDescent="0.25">
      <c r="D39" s="3"/>
      <c r="E39" s="3"/>
    </row>
    <row r="40" spans="1:5" x14ac:dyDescent="0.25">
      <c r="A40" s="4">
        <v>43889</v>
      </c>
      <c r="B40" s="6">
        <v>110505</v>
      </c>
      <c r="C40" s="6" t="s">
        <v>18</v>
      </c>
      <c r="D40" s="5">
        <v>9001080</v>
      </c>
      <c r="E40" s="5"/>
    </row>
    <row r="41" spans="1:5" x14ac:dyDescent="0.25">
      <c r="A41" s="6"/>
      <c r="B41" s="6">
        <v>130505</v>
      </c>
      <c r="C41" s="6"/>
      <c r="D41" s="5"/>
      <c r="E41" s="5">
        <f>D40</f>
        <v>9001080</v>
      </c>
    </row>
    <row r="42" spans="1:5" x14ac:dyDescent="0.25">
      <c r="D42" s="3"/>
      <c r="E42" s="3"/>
    </row>
    <row r="43" spans="1:5" x14ac:dyDescent="0.25">
      <c r="D43" s="3"/>
      <c r="E43" s="3"/>
    </row>
    <row r="44" spans="1:5" x14ac:dyDescent="0.25">
      <c r="A44" s="49" t="s">
        <v>41</v>
      </c>
      <c r="B44" s="49"/>
      <c r="C44" s="49"/>
      <c r="D44" s="49"/>
      <c r="E44" s="49"/>
    </row>
    <row r="45" spans="1:5" x14ac:dyDescent="0.25">
      <c r="A45" s="6" t="s">
        <v>2</v>
      </c>
      <c r="B45" s="48" t="s">
        <v>3</v>
      </c>
      <c r="C45" s="48"/>
      <c r="D45" s="5" t="s">
        <v>4</v>
      </c>
      <c r="E45" s="5" t="s">
        <v>5</v>
      </c>
    </row>
    <row r="46" spans="1:5" x14ac:dyDescent="0.25">
      <c r="A46" s="6">
        <v>1105</v>
      </c>
      <c r="B46" s="46"/>
      <c r="C46" s="47"/>
      <c r="D46" s="5">
        <f>D40+ENERO!D47</f>
        <v>10455800</v>
      </c>
      <c r="E46" s="5"/>
    </row>
    <row r="47" spans="1:5" x14ac:dyDescent="0.25">
      <c r="A47" s="6">
        <v>1110</v>
      </c>
      <c r="B47" s="46"/>
      <c r="C47" s="47"/>
      <c r="D47" s="5">
        <f>ENERO!D48+'FEBRERO '!D6-'FEBRERO '!E35</f>
        <v>23975000</v>
      </c>
      <c r="E47" s="5"/>
    </row>
    <row r="48" spans="1:5" x14ac:dyDescent="0.25">
      <c r="A48" s="6">
        <v>1305</v>
      </c>
      <c r="B48" s="46"/>
      <c r="C48" s="47"/>
      <c r="D48" s="5">
        <v>0</v>
      </c>
      <c r="E48" s="5">
        <v>0</v>
      </c>
    </row>
    <row r="49" spans="1:5" x14ac:dyDescent="0.25">
      <c r="A49" s="6">
        <v>1355</v>
      </c>
      <c r="B49" s="46"/>
      <c r="C49" s="47"/>
      <c r="D49" s="5">
        <f>ENERO!D50+'FEBRERO '!D19+'FEBRERO '!D20-'FEBRERO '!E28-'FEBRERO '!E29</f>
        <v>492200</v>
      </c>
      <c r="E49" s="5"/>
    </row>
    <row r="50" spans="1:5" x14ac:dyDescent="0.25">
      <c r="A50" s="6">
        <v>1435</v>
      </c>
      <c r="B50" s="46"/>
      <c r="C50" s="47"/>
      <c r="D50" s="5">
        <f>ENERO!R8</f>
        <v>2069648</v>
      </c>
      <c r="E50" s="5"/>
    </row>
    <row r="51" spans="1:5" x14ac:dyDescent="0.25">
      <c r="A51" s="6">
        <v>1524</v>
      </c>
      <c r="B51" s="46"/>
      <c r="C51" s="47"/>
      <c r="D51" s="5">
        <f>ENERO!D52</f>
        <v>8000000</v>
      </c>
      <c r="E51" s="5"/>
    </row>
    <row r="52" spans="1:5" x14ac:dyDescent="0.25">
      <c r="A52" s="6">
        <v>1528</v>
      </c>
      <c r="B52" s="46"/>
      <c r="C52" s="47"/>
      <c r="D52" s="5">
        <f>ENERO!D53</f>
        <v>9000000</v>
      </c>
      <c r="E52" s="5"/>
    </row>
    <row r="53" spans="1:5" x14ac:dyDescent="0.25">
      <c r="A53" s="6">
        <v>2105</v>
      </c>
      <c r="B53" s="46"/>
      <c r="C53" s="47"/>
      <c r="D53" s="5"/>
      <c r="E53" s="5">
        <f>E4</f>
        <v>20000000</v>
      </c>
    </row>
    <row r="54" spans="1:5" x14ac:dyDescent="0.25">
      <c r="A54" s="6">
        <v>2205</v>
      </c>
      <c r="B54" s="46"/>
      <c r="C54" s="47"/>
      <c r="D54" s="5"/>
      <c r="E54" s="5">
        <f>E15+ENERO!E54</f>
        <v>8665175</v>
      </c>
    </row>
    <row r="55" spans="1:5" x14ac:dyDescent="0.25">
      <c r="A55" s="6">
        <v>2305</v>
      </c>
      <c r="B55" s="46"/>
      <c r="C55" s="47"/>
      <c r="D55" s="5"/>
      <c r="E55" s="5">
        <f>E10</f>
        <v>136000</v>
      </c>
    </row>
    <row r="56" spans="1:5" x14ac:dyDescent="0.25">
      <c r="A56" s="6">
        <v>2365</v>
      </c>
      <c r="B56" s="46"/>
      <c r="C56" s="47"/>
      <c r="D56" s="5"/>
      <c r="E56" s="5">
        <f>E14+ENERO!E55</f>
        <v>134875</v>
      </c>
    </row>
    <row r="57" spans="1:5" x14ac:dyDescent="0.25">
      <c r="A57" s="6">
        <v>2408</v>
      </c>
      <c r="B57" s="46"/>
      <c r="C57" s="47"/>
      <c r="D57" s="5"/>
      <c r="E57" s="5">
        <f>342950</f>
        <v>342950</v>
      </c>
    </row>
    <row r="58" spans="1:5" x14ac:dyDescent="0.25">
      <c r="A58" s="6">
        <v>3115</v>
      </c>
      <c r="B58" s="46"/>
      <c r="C58" s="47"/>
      <c r="D58" s="5"/>
      <c r="E58" s="5">
        <f>ENERO!E57</f>
        <v>22000000</v>
      </c>
    </row>
    <row r="59" spans="1:5" x14ac:dyDescent="0.25">
      <c r="A59" s="6">
        <v>4135</v>
      </c>
      <c r="B59" s="46"/>
      <c r="C59" s="47"/>
      <c r="D59" s="5"/>
      <c r="E59" s="5">
        <f>E17+ENERO!E58</f>
        <v>10400000</v>
      </c>
    </row>
    <row r="60" spans="1:5" x14ac:dyDescent="0.25">
      <c r="A60" s="6">
        <v>4275</v>
      </c>
      <c r="B60" s="46"/>
      <c r="C60" s="47"/>
      <c r="D60" s="5">
        <f>D26</f>
        <v>1200000</v>
      </c>
      <c r="E60" s="5"/>
    </row>
    <row r="61" spans="1:5" x14ac:dyDescent="0.25">
      <c r="A61" s="6">
        <v>5105</v>
      </c>
      <c r="B61" s="46"/>
      <c r="C61" s="47"/>
      <c r="D61" s="5">
        <f>D9</f>
        <v>136000</v>
      </c>
      <c r="E61" s="5"/>
    </row>
    <row r="62" spans="1:5" x14ac:dyDescent="0.25">
      <c r="A62" s="6">
        <v>5135</v>
      </c>
      <c r="B62" s="46"/>
      <c r="C62" s="47"/>
      <c r="D62" s="5">
        <f>ENERO!D59+'FEBRERO '!D33+'FEBRERO '!D34</f>
        <v>905000</v>
      </c>
      <c r="E62" s="5"/>
    </row>
    <row r="63" spans="1:5" x14ac:dyDescent="0.25">
      <c r="A63" s="6">
        <v>5305</v>
      </c>
      <c r="B63" s="46"/>
      <c r="C63" s="47"/>
      <c r="D63" s="5">
        <f>D5</f>
        <v>120000</v>
      </c>
      <c r="E63" s="5"/>
    </row>
    <row r="64" spans="1:5" x14ac:dyDescent="0.25">
      <c r="A64" s="6">
        <v>6135</v>
      </c>
      <c r="B64" s="46"/>
      <c r="C64" s="47"/>
      <c r="D64" s="5">
        <f>ENERO!D60+'FEBRERO '!D23</f>
        <v>5325352</v>
      </c>
      <c r="E64" s="5"/>
    </row>
    <row r="65" spans="4:5" x14ac:dyDescent="0.25">
      <c r="D65" s="5">
        <f>SUM(D46:D64)</f>
        <v>61679000</v>
      </c>
      <c r="E65" s="5">
        <f>SUM(E53:E64)</f>
        <v>61679000</v>
      </c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  <row r="69" spans="4:5" x14ac:dyDescent="0.25">
      <c r="D69" s="3"/>
      <c r="E69" s="3"/>
    </row>
    <row r="70" spans="4:5" x14ac:dyDescent="0.25">
      <c r="D70" s="3"/>
      <c r="E70" s="3"/>
    </row>
    <row r="71" spans="4:5" x14ac:dyDescent="0.25">
      <c r="D71" s="3"/>
      <c r="E71" s="3"/>
    </row>
    <row r="72" spans="4:5" x14ac:dyDescent="0.25">
      <c r="D72" s="3"/>
      <c r="E72" s="3"/>
    </row>
    <row r="73" spans="4:5" x14ac:dyDescent="0.25">
      <c r="D73" s="3"/>
      <c r="E73" s="3"/>
    </row>
    <row r="74" spans="4:5" x14ac:dyDescent="0.25">
      <c r="D74" s="3"/>
      <c r="E74" s="3"/>
    </row>
    <row r="75" spans="4:5" x14ac:dyDescent="0.25">
      <c r="D75" s="3"/>
      <c r="E75" s="3"/>
    </row>
    <row r="76" spans="4:5" x14ac:dyDescent="0.25">
      <c r="D76" s="3"/>
      <c r="E76" s="3"/>
    </row>
    <row r="77" spans="4:5" x14ac:dyDescent="0.25">
      <c r="D77" s="3"/>
      <c r="E77" s="3"/>
    </row>
    <row r="78" spans="4:5" x14ac:dyDescent="0.25">
      <c r="D78" s="3"/>
      <c r="E78" s="3"/>
    </row>
    <row r="79" spans="4:5" x14ac:dyDescent="0.25">
      <c r="D79" s="3"/>
      <c r="E79" s="3"/>
    </row>
    <row r="80" spans="4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  <row r="87" spans="4:5" x14ac:dyDescent="0.25">
      <c r="D87" s="3"/>
      <c r="E87" s="3"/>
    </row>
    <row r="88" spans="4:5" x14ac:dyDescent="0.25">
      <c r="D88" s="3"/>
      <c r="E88" s="3"/>
    </row>
    <row r="89" spans="4:5" x14ac:dyDescent="0.25">
      <c r="D89" s="3"/>
      <c r="E89" s="3"/>
    </row>
  </sheetData>
  <mergeCells count="23">
    <mergeCell ref="B62:C62"/>
    <mergeCell ref="B63:C63"/>
    <mergeCell ref="B64:C64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A1:G1"/>
    <mergeCell ref="G3:L3"/>
    <mergeCell ref="A44:E44"/>
    <mergeCell ref="B45:C45"/>
    <mergeCell ref="B46:C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6"/>
  <sheetViews>
    <sheetView workbookViewId="0">
      <selection activeCell="A3" sqref="A3:E20"/>
    </sheetView>
  </sheetViews>
  <sheetFormatPr baseColWidth="10" defaultRowHeight="15" x14ac:dyDescent="0.25"/>
  <cols>
    <col min="3" max="3" width="31.7109375" customWidth="1"/>
    <col min="4" max="4" width="15.28515625" customWidth="1"/>
    <col min="5" max="5" width="16" customWidth="1"/>
    <col min="7" max="7" width="12.5703125" bestFit="1" customWidth="1"/>
  </cols>
  <sheetData>
    <row r="1" spans="1:5" x14ac:dyDescent="0.25">
      <c r="A1" s="49" t="s">
        <v>43</v>
      </c>
      <c r="B1" s="49"/>
    </row>
    <row r="3" spans="1:5" x14ac:dyDescent="0.25">
      <c r="A3" s="23" t="s">
        <v>44</v>
      </c>
      <c r="B3" s="23" t="s">
        <v>45</v>
      </c>
      <c r="C3" s="23" t="s">
        <v>3</v>
      </c>
      <c r="D3" s="23" t="s">
        <v>4</v>
      </c>
      <c r="E3" s="23" t="s">
        <v>5</v>
      </c>
    </row>
    <row r="4" spans="1:5" x14ac:dyDescent="0.25">
      <c r="A4" s="4">
        <v>43895</v>
      </c>
      <c r="B4" s="23">
        <v>413501</v>
      </c>
      <c r="C4" s="23"/>
      <c r="D4" s="5"/>
      <c r="E4" s="5">
        <f>5*400000</f>
        <v>2000000</v>
      </c>
    </row>
    <row r="5" spans="1:5" x14ac:dyDescent="0.25">
      <c r="A5" s="23"/>
      <c r="B5" s="23">
        <v>240802</v>
      </c>
      <c r="C5" s="23"/>
      <c r="D5" s="5"/>
      <c r="E5" s="5">
        <f>E4*19%</f>
        <v>380000</v>
      </c>
    </row>
    <row r="6" spans="1:5" x14ac:dyDescent="0.25">
      <c r="A6" s="23"/>
      <c r="B6" s="23">
        <v>135515</v>
      </c>
      <c r="C6" s="23"/>
      <c r="D6" s="5">
        <f>E4*2.5%</f>
        <v>50000</v>
      </c>
      <c r="E6" s="5"/>
    </row>
    <row r="7" spans="1:5" x14ac:dyDescent="0.25">
      <c r="A7" s="23"/>
      <c r="B7" s="23">
        <v>130505</v>
      </c>
      <c r="C7" s="23"/>
      <c r="D7" s="5">
        <f>E4+E5-D6</f>
        <v>2330000</v>
      </c>
      <c r="E7" s="5"/>
    </row>
    <row r="8" spans="1:5" x14ac:dyDescent="0.25">
      <c r="A8" s="23"/>
      <c r="B8" s="23"/>
      <c r="C8" s="23"/>
      <c r="D8" s="5"/>
      <c r="E8" s="5"/>
    </row>
    <row r="9" spans="1:5" x14ac:dyDescent="0.25">
      <c r="A9" s="4"/>
      <c r="B9" s="21">
        <v>613505</v>
      </c>
      <c r="C9" s="23"/>
      <c r="D9" s="5">
        <f>ENERO!O9</f>
        <v>1034820</v>
      </c>
      <c r="E9" s="5"/>
    </row>
    <row r="10" spans="1:5" x14ac:dyDescent="0.25">
      <c r="A10" s="23"/>
      <c r="B10" s="21">
        <v>143501</v>
      </c>
      <c r="C10" s="23"/>
      <c r="D10" s="5"/>
      <c r="E10" s="5">
        <f>D9</f>
        <v>1034820</v>
      </c>
    </row>
    <row r="11" spans="1:5" x14ac:dyDescent="0.25">
      <c r="A11" s="31"/>
      <c r="B11" s="30"/>
      <c r="D11" s="3"/>
      <c r="E11" s="3"/>
    </row>
    <row r="12" spans="1:5" x14ac:dyDescent="0.25">
      <c r="A12" s="22"/>
      <c r="B12" s="30"/>
      <c r="D12" s="3"/>
      <c r="E12" s="3"/>
    </row>
    <row r="13" spans="1:5" x14ac:dyDescent="0.25">
      <c r="A13" s="4">
        <v>43900</v>
      </c>
      <c r="B13" s="23">
        <v>210505</v>
      </c>
      <c r="C13" s="23"/>
      <c r="D13" s="5">
        <f>'FEBRERO '!J7</f>
        <v>739713</v>
      </c>
      <c r="E13" s="5"/>
    </row>
    <row r="14" spans="1:5" x14ac:dyDescent="0.25">
      <c r="A14" s="23"/>
      <c r="B14" s="23">
        <v>230505</v>
      </c>
      <c r="C14" s="23"/>
      <c r="D14" s="5">
        <f>'FEBRERO '!E38</f>
        <v>136000</v>
      </c>
      <c r="E14" s="5"/>
    </row>
    <row r="15" spans="1:5" x14ac:dyDescent="0.25">
      <c r="A15" s="23"/>
      <c r="B15" s="23">
        <v>510520</v>
      </c>
      <c r="C15" s="23"/>
      <c r="D15" s="5">
        <f>'FEBRERO '!I7-'MARZO '!D14</f>
        <v>68000.000000000029</v>
      </c>
      <c r="E15" s="5"/>
    </row>
    <row r="16" spans="1:5" x14ac:dyDescent="0.25">
      <c r="A16" s="23"/>
      <c r="B16" s="23">
        <v>111005</v>
      </c>
      <c r="C16" s="23"/>
      <c r="D16" s="5"/>
      <c r="E16" s="5">
        <f>D13+D14+D15</f>
        <v>943713</v>
      </c>
    </row>
    <row r="17" spans="1:10" x14ac:dyDescent="0.25">
      <c r="D17" s="3"/>
      <c r="E17" s="3"/>
      <c r="J17" s="24">
        <f>196455/30</f>
        <v>6548.5</v>
      </c>
    </row>
    <row r="18" spans="1:10" x14ac:dyDescent="0.25">
      <c r="D18" s="3"/>
      <c r="E18" s="3"/>
      <c r="G18" s="3"/>
      <c r="H18" s="3"/>
      <c r="I18" s="3"/>
    </row>
    <row r="19" spans="1:10" x14ac:dyDescent="0.25">
      <c r="A19" s="4">
        <v>43921</v>
      </c>
      <c r="B19" s="23">
        <v>510505</v>
      </c>
      <c r="C19" s="23"/>
      <c r="D19" s="5">
        <f>G21</f>
        <v>130969.9516</v>
      </c>
      <c r="E19" s="5"/>
      <c r="G19" s="3">
        <f>'FEBRERO '!I8</f>
        <v>196454.92740000002</v>
      </c>
      <c r="H19" s="3"/>
      <c r="I19" s="3"/>
    </row>
    <row r="20" spans="1:10" x14ac:dyDescent="0.25">
      <c r="A20" s="23"/>
      <c r="B20" s="23">
        <v>230505</v>
      </c>
      <c r="C20" s="23"/>
      <c r="D20" s="5"/>
      <c r="E20" s="5">
        <f>D19</f>
        <v>130969.9516</v>
      </c>
      <c r="G20" s="3">
        <f>G19/30</f>
        <v>6548.4975800000002</v>
      </c>
      <c r="H20" s="3"/>
      <c r="I20" s="3"/>
    </row>
    <row r="21" spans="1:10" x14ac:dyDescent="0.25">
      <c r="D21" s="3"/>
      <c r="E21" s="3"/>
      <c r="G21" s="3">
        <f>G20*20</f>
        <v>130969.9516</v>
      </c>
      <c r="H21" s="3" t="s">
        <v>46</v>
      </c>
      <c r="I21" s="3"/>
    </row>
    <row r="22" spans="1:10" x14ac:dyDescent="0.25">
      <c r="D22" s="3"/>
      <c r="E22" s="3"/>
      <c r="G22" s="3">
        <f>G19-G21</f>
        <v>65484.975800000015</v>
      </c>
      <c r="H22" s="3" t="s">
        <v>47</v>
      </c>
      <c r="I22" s="32">
        <v>510505</v>
      </c>
    </row>
    <row r="23" spans="1:10" x14ac:dyDescent="0.25">
      <c r="A23" s="24" t="s">
        <v>48</v>
      </c>
      <c r="D23" s="3"/>
      <c r="E23" s="3"/>
      <c r="G23" s="3"/>
      <c r="H23" s="3"/>
      <c r="I23" s="3"/>
    </row>
    <row r="24" spans="1:10" x14ac:dyDescent="0.25">
      <c r="D24" s="3"/>
      <c r="E24" s="3"/>
    </row>
    <row r="25" spans="1:10" x14ac:dyDescent="0.25">
      <c r="A25" s="23" t="s">
        <v>2</v>
      </c>
      <c r="B25" s="48" t="s">
        <v>3</v>
      </c>
      <c r="C25" s="48"/>
      <c r="D25" s="5" t="s">
        <v>4</v>
      </c>
      <c r="E25" s="5" t="s">
        <v>5</v>
      </c>
    </row>
    <row r="26" spans="1:10" x14ac:dyDescent="0.25">
      <c r="A26" s="23">
        <v>1105</v>
      </c>
      <c r="B26" s="48"/>
      <c r="C26" s="48"/>
      <c r="D26" s="5">
        <f>'FEBRERO '!D46</f>
        <v>10455800</v>
      </c>
      <c r="E26" s="5"/>
    </row>
    <row r="27" spans="1:10" x14ac:dyDescent="0.25">
      <c r="A27" s="23">
        <v>1110</v>
      </c>
      <c r="B27" s="48"/>
      <c r="C27" s="48"/>
      <c r="D27" s="5">
        <f>'FEBRERO '!D47-E16</f>
        <v>23031287</v>
      </c>
      <c r="E27" s="5"/>
    </row>
    <row r="28" spans="1:10" x14ac:dyDescent="0.25">
      <c r="A28" s="23">
        <v>1305</v>
      </c>
      <c r="B28" s="48"/>
      <c r="C28" s="48"/>
      <c r="D28" s="5">
        <f>'MARZO '!D7</f>
        <v>2330000</v>
      </c>
      <c r="E28" s="5"/>
    </row>
    <row r="29" spans="1:10" x14ac:dyDescent="0.25">
      <c r="A29" s="23">
        <v>1355</v>
      </c>
      <c r="B29" s="48"/>
      <c r="C29" s="48"/>
      <c r="D29" s="5">
        <f>'FEBRERO '!D49+'MARZO '!D6</f>
        <v>542200</v>
      </c>
      <c r="E29" s="5"/>
    </row>
    <row r="30" spans="1:10" x14ac:dyDescent="0.25">
      <c r="A30" s="23">
        <v>1435</v>
      </c>
      <c r="B30" s="48"/>
      <c r="C30" s="48"/>
      <c r="D30" s="5">
        <f>'FEBRERO '!D50-'MARZO '!E10</f>
        <v>1034828</v>
      </c>
      <c r="E30" s="5"/>
    </row>
    <row r="31" spans="1:10" x14ac:dyDescent="0.25">
      <c r="A31" s="23">
        <v>1524</v>
      </c>
      <c r="B31" s="48"/>
      <c r="C31" s="48"/>
      <c r="D31" s="5">
        <f>'FEBRERO '!D51</f>
        <v>8000000</v>
      </c>
      <c r="E31" s="5"/>
    </row>
    <row r="32" spans="1:10" x14ac:dyDescent="0.25">
      <c r="A32" s="23">
        <v>1528</v>
      </c>
      <c r="B32" s="48"/>
      <c r="C32" s="48"/>
      <c r="D32" s="5">
        <f>'FEBRERO '!D52</f>
        <v>9000000</v>
      </c>
      <c r="E32" s="5"/>
    </row>
    <row r="33" spans="1:5" x14ac:dyDescent="0.25">
      <c r="A33" s="23">
        <v>2105</v>
      </c>
      <c r="B33" s="48"/>
      <c r="C33" s="48"/>
      <c r="D33" s="5"/>
      <c r="E33" s="5">
        <f>'FEBRERO '!E53-'MARZO '!D13</f>
        <v>19260287</v>
      </c>
    </row>
    <row r="34" spans="1:5" x14ac:dyDescent="0.25">
      <c r="A34" s="23">
        <v>2205</v>
      </c>
      <c r="B34" s="48"/>
      <c r="C34" s="48"/>
      <c r="D34" s="5"/>
      <c r="E34" s="5">
        <f>'FEBRERO '!E54</f>
        <v>8665175</v>
      </c>
    </row>
    <row r="35" spans="1:5" x14ac:dyDescent="0.25">
      <c r="A35" s="23">
        <v>2305</v>
      </c>
      <c r="B35" s="48"/>
      <c r="C35" s="48"/>
      <c r="D35" s="5"/>
      <c r="E35" s="5">
        <f>'FEBRERO '!E55-'MARZO '!D14+'MARZO '!E20</f>
        <v>130969.9516</v>
      </c>
    </row>
    <row r="36" spans="1:5" x14ac:dyDescent="0.25">
      <c r="A36" s="23">
        <v>2365</v>
      </c>
      <c r="B36" s="48"/>
      <c r="C36" s="48"/>
      <c r="D36" s="5"/>
      <c r="E36" s="5">
        <f>'FEBRERO '!E56</f>
        <v>134875</v>
      </c>
    </row>
    <row r="37" spans="1:5" x14ac:dyDescent="0.25">
      <c r="A37" s="23">
        <v>2408</v>
      </c>
      <c r="B37" s="48"/>
      <c r="C37" s="48"/>
      <c r="D37" s="5"/>
      <c r="E37" s="5">
        <f>'FEBRERO '!E57+'MARZO '!E5</f>
        <v>722950</v>
      </c>
    </row>
    <row r="38" spans="1:5" x14ac:dyDescent="0.25">
      <c r="A38" s="23">
        <v>3115</v>
      </c>
      <c r="B38" s="48"/>
      <c r="C38" s="48"/>
      <c r="D38" s="5"/>
      <c r="E38" s="5">
        <f>'FEBRERO '!E58</f>
        <v>22000000</v>
      </c>
    </row>
    <row r="39" spans="1:5" x14ac:dyDescent="0.25">
      <c r="A39" s="23">
        <v>4135</v>
      </c>
      <c r="B39" s="48"/>
      <c r="C39" s="48"/>
      <c r="D39" s="5"/>
      <c r="E39" s="5">
        <f>'FEBRERO '!E59+'MARZO '!E4</f>
        <v>12400000</v>
      </c>
    </row>
    <row r="40" spans="1:5" x14ac:dyDescent="0.25">
      <c r="A40" s="23">
        <v>4275</v>
      </c>
      <c r="B40" s="46"/>
      <c r="C40" s="47"/>
      <c r="D40" s="5">
        <f>'FEBRERO '!D60</f>
        <v>1200000</v>
      </c>
      <c r="E40" s="5"/>
    </row>
    <row r="41" spans="1:5" x14ac:dyDescent="0.25">
      <c r="A41" s="23">
        <v>5105</v>
      </c>
      <c r="B41" s="46"/>
      <c r="C41" s="47"/>
      <c r="D41" s="5">
        <f>'FEBRERO '!D61+'MARZO '!D19+'MARZO '!D15</f>
        <v>334969.95160000003</v>
      </c>
      <c r="E41" s="5"/>
    </row>
    <row r="42" spans="1:5" x14ac:dyDescent="0.25">
      <c r="A42" s="23">
        <v>5135</v>
      </c>
      <c r="B42" s="46"/>
      <c r="C42" s="47"/>
      <c r="D42" s="5">
        <f>'FEBRERO '!D62</f>
        <v>905000</v>
      </c>
      <c r="E42" s="5"/>
    </row>
    <row r="43" spans="1:5" x14ac:dyDescent="0.25">
      <c r="A43" s="23">
        <v>5305</v>
      </c>
      <c r="B43" s="46"/>
      <c r="C43" s="47"/>
      <c r="D43" s="5">
        <f>'FEBRERO '!D63</f>
        <v>120000</v>
      </c>
      <c r="E43" s="5"/>
    </row>
    <row r="44" spans="1:5" x14ac:dyDescent="0.25">
      <c r="A44" s="23">
        <v>6135</v>
      </c>
      <c r="B44" s="46"/>
      <c r="C44" s="47"/>
      <c r="D44" s="5">
        <f>'FEBRERO '!D64+ENERO!O9</f>
        <v>6360172</v>
      </c>
      <c r="E44" s="5"/>
    </row>
    <row r="45" spans="1:5" x14ac:dyDescent="0.25">
      <c r="D45" s="5">
        <f>SUM(D26:D44)</f>
        <v>63314256.9516</v>
      </c>
      <c r="E45" s="5">
        <f>SUM(E33:E44)</f>
        <v>63314256.9516</v>
      </c>
    </row>
    <row r="46" spans="1:5" x14ac:dyDescent="0.25">
      <c r="D46" s="3"/>
      <c r="E46" s="3"/>
    </row>
    <row r="47" spans="1:5" x14ac:dyDescent="0.25">
      <c r="D47" s="3"/>
      <c r="E47" s="3"/>
    </row>
    <row r="48" spans="1:5" x14ac:dyDescent="0.25">
      <c r="D48" s="3"/>
      <c r="E48" s="3"/>
    </row>
    <row r="49" spans="4:5" x14ac:dyDescent="0.25">
      <c r="D49" s="3"/>
      <c r="E49" s="3"/>
    </row>
    <row r="50" spans="4:5" x14ac:dyDescent="0.25">
      <c r="D50" s="3"/>
      <c r="E50" s="3"/>
    </row>
    <row r="51" spans="4:5" x14ac:dyDescent="0.25">
      <c r="D51" s="3"/>
      <c r="E51" s="3"/>
    </row>
    <row r="52" spans="4:5" x14ac:dyDescent="0.25">
      <c r="D52" s="3"/>
      <c r="E52" s="3"/>
    </row>
    <row r="53" spans="4:5" x14ac:dyDescent="0.25">
      <c r="D53" s="3"/>
      <c r="E53" s="3"/>
    </row>
    <row r="54" spans="4:5" x14ac:dyDescent="0.25">
      <c r="D54" s="3"/>
      <c r="E54" s="3"/>
    </row>
    <row r="55" spans="4:5" x14ac:dyDescent="0.25">
      <c r="D55" s="3"/>
      <c r="E55" s="3"/>
    </row>
    <row r="56" spans="4:5" x14ac:dyDescent="0.25">
      <c r="D56" s="3"/>
      <c r="E56" s="3"/>
    </row>
    <row r="57" spans="4:5" x14ac:dyDescent="0.25">
      <c r="D57" s="3"/>
      <c r="E57" s="3"/>
    </row>
    <row r="58" spans="4:5" x14ac:dyDescent="0.25">
      <c r="D58" s="3"/>
      <c r="E58" s="3"/>
    </row>
    <row r="59" spans="4:5" x14ac:dyDescent="0.25">
      <c r="D59" s="3"/>
      <c r="E59" s="3"/>
    </row>
    <row r="60" spans="4:5" x14ac:dyDescent="0.25">
      <c r="D60" s="3"/>
      <c r="E60" s="3"/>
    </row>
    <row r="61" spans="4:5" x14ac:dyDescent="0.25">
      <c r="D61" s="3"/>
      <c r="E61" s="3"/>
    </row>
    <row r="62" spans="4:5" x14ac:dyDescent="0.25">
      <c r="D62" s="3"/>
      <c r="E62" s="3"/>
    </row>
    <row r="63" spans="4:5" x14ac:dyDescent="0.25">
      <c r="D63" s="3"/>
      <c r="E63" s="3"/>
    </row>
    <row r="64" spans="4:5" x14ac:dyDescent="0.25">
      <c r="D64" s="3"/>
      <c r="E64" s="3"/>
    </row>
    <row r="65" spans="4:5" x14ac:dyDescent="0.25">
      <c r="D65" s="3"/>
      <c r="E65" s="3"/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  <row r="69" spans="4:5" x14ac:dyDescent="0.25">
      <c r="D69" s="3"/>
      <c r="E69" s="3"/>
    </row>
    <row r="70" spans="4:5" x14ac:dyDescent="0.25">
      <c r="D70" s="3"/>
      <c r="E70" s="3"/>
    </row>
    <row r="71" spans="4:5" x14ac:dyDescent="0.25">
      <c r="D71" s="3"/>
      <c r="E71" s="3"/>
    </row>
    <row r="72" spans="4:5" x14ac:dyDescent="0.25">
      <c r="D72" s="3"/>
      <c r="E72" s="3"/>
    </row>
    <row r="73" spans="4:5" x14ac:dyDescent="0.25">
      <c r="D73" s="3"/>
      <c r="E73" s="3"/>
    </row>
    <row r="74" spans="4:5" x14ac:dyDescent="0.25">
      <c r="D74" s="3"/>
      <c r="E74" s="3"/>
    </row>
    <row r="75" spans="4:5" x14ac:dyDescent="0.25">
      <c r="D75" s="3"/>
      <c r="E75" s="3"/>
    </row>
    <row r="76" spans="4:5" x14ac:dyDescent="0.25">
      <c r="D76" s="3"/>
      <c r="E76" s="3"/>
    </row>
    <row r="77" spans="4:5" x14ac:dyDescent="0.25">
      <c r="D77" s="3"/>
      <c r="E77" s="3"/>
    </row>
    <row r="78" spans="4:5" x14ac:dyDescent="0.25">
      <c r="D78" s="3"/>
      <c r="E78" s="3"/>
    </row>
    <row r="79" spans="4:5" x14ac:dyDescent="0.25">
      <c r="D79" s="3"/>
      <c r="E79" s="3"/>
    </row>
    <row r="80" spans="4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  <row r="87" spans="4:5" x14ac:dyDescent="0.25">
      <c r="D87" s="3"/>
      <c r="E87" s="3"/>
    </row>
    <row r="88" spans="4:5" x14ac:dyDescent="0.25">
      <c r="D88" s="3"/>
      <c r="E88" s="3"/>
    </row>
    <row r="89" spans="4:5" x14ac:dyDescent="0.25">
      <c r="D89" s="3"/>
      <c r="E89" s="3"/>
    </row>
    <row r="90" spans="4:5" x14ac:dyDescent="0.25">
      <c r="D90" s="3"/>
      <c r="E90" s="3"/>
    </row>
    <row r="91" spans="4:5" x14ac:dyDescent="0.25">
      <c r="D91" s="3"/>
      <c r="E91" s="3"/>
    </row>
    <row r="92" spans="4:5" x14ac:dyDescent="0.25">
      <c r="D92" s="3"/>
      <c r="E92" s="3"/>
    </row>
    <row r="93" spans="4:5" x14ac:dyDescent="0.25">
      <c r="D93" s="3"/>
      <c r="E93" s="3"/>
    </row>
    <row r="94" spans="4:5" x14ac:dyDescent="0.25">
      <c r="D94" s="3"/>
      <c r="E94" s="3"/>
    </row>
    <row r="95" spans="4:5" x14ac:dyDescent="0.25">
      <c r="D95" s="3"/>
      <c r="E95" s="3"/>
    </row>
    <row r="96" spans="4:5" x14ac:dyDescent="0.25">
      <c r="D96" s="3"/>
      <c r="E96" s="3"/>
    </row>
  </sheetData>
  <mergeCells count="21">
    <mergeCell ref="B35:C35"/>
    <mergeCell ref="A1:B1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2:C42"/>
    <mergeCell ref="B43:C43"/>
    <mergeCell ref="B44:C44"/>
    <mergeCell ref="B36:C36"/>
    <mergeCell ref="B37:C37"/>
    <mergeCell ref="B38:C38"/>
    <mergeCell ref="B39:C39"/>
    <mergeCell ref="B40:C40"/>
    <mergeCell ref="B41:C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9"/>
  <sheetViews>
    <sheetView topLeftCell="A46" zoomScale="90" zoomScaleNormal="90" workbookViewId="0">
      <selection activeCell="A53" sqref="A53:A75"/>
    </sheetView>
  </sheetViews>
  <sheetFormatPr baseColWidth="10" defaultRowHeight="15" x14ac:dyDescent="0.25"/>
  <cols>
    <col min="3" max="3" width="26.5703125" customWidth="1"/>
    <col min="4" max="4" width="15.5703125" customWidth="1"/>
    <col min="5" max="5" width="16" customWidth="1"/>
    <col min="7" max="7" width="5.42578125" customWidth="1"/>
    <col min="8" max="8" width="17.28515625" customWidth="1"/>
    <col min="9" max="9" width="14.42578125" customWidth="1"/>
    <col min="10" max="10" width="19.85546875" customWidth="1"/>
    <col min="11" max="11" width="14.85546875" customWidth="1"/>
    <col min="12" max="12" width="14.28515625" customWidth="1"/>
  </cols>
  <sheetData>
    <row r="1" spans="1:13" x14ac:dyDescent="0.25">
      <c r="A1" s="24" t="s">
        <v>42</v>
      </c>
    </row>
    <row r="2" spans="1:13" x14ac:dyDescent="0.25">
      <c r="G2" s="49" t="s">
        <v>51</v>
      </c>
      <c r="H2" s="49"/>
      <c r="I2" s="49"/>
      <c r="J2" s="49"/>
      <c r="M2" s="24" t="s">
        <v>53</v>
      </c>
    </row>
    <row r="3" spans="1:13" x14ac:dyDescent="0.25">
      <c r="A3" s="23" t="s">
        <v>1</v>
      </c>
      <c r="B3" s="23" t="s">
        <v>45</v>
      </c>
      <c r="C3" s="23" t="s">
        <v>3</v>
      </c>
      <c r="D3" s="23" t="s">
        <v>4</v>
      </c>
      <c r="E3" s="23" t="s">
        <v>5</v>
      </c>
    </row>
    <row r="4" spans="1:13" x14ac:dyDescent="0.25">
      <c r="A4" s="4">
        <v>43922</v>
      </c>
      <c r="B4" s="23">
        <v>143501</v>
      </c>
      <c r="C4" s="23"/>
      <c r="D4" s="5">
        <f>10*215000</f>
        <v>2150000</v>
      </c>
      <c r="E4" s="5"/>
      <c r="G4" s="23" t="s">
        <v>35</v>
      </c>
      <c r="H4" s="23" t="s">
        <v>36</v>
      </c>
      <c r="I4" s="23" t="s">
        <v>52</v>
      </c>
      <c r="J4" s="21" t="s">
        <v>38</v>
      </c>
      <c r="K4" s="21" t="s">
        <v>54</v>
      </c>
      <c r="L4" s="30"/>
      <c r="M4" s="30"/>
    </row>
    <row r="5" spans="1:13" x14ac:dyDescent="0.25">
      <c r="A5" s="23"/>
      <c r="B5" s="23">
        <v>240801</v>
      </c>
      <c r="C5" s="23"/>
      <c r="D5" s="5">
        <f>D4*19%</f>
        <v>408500</v>
      </c>
      <c r="E5" s="5"/>
      <c r="G5" s="23">
        <v>0</v>
      </c>
      <c r="H5" s="23"/>
      <c r="I5" s="5"/>
      <c r="J5" s="5"/>
      <c r="K5" s="5">
        <v>9000</v>
      </c>
      <c r="L5" s="3"/>
    </row>
    <row r="6" spans="1:13" x14ac:dyDescent="0.25">
      <c r="A6" s="23"/>
      <c r="B6" s="23">
        <v>220505</v>
      </c>
      <c r="C6" s="23"/>
      <c r="D6" s="5"/>
      <c r="E6" s="5">
        <f>D4+D5</f>
        <v>2558500</v>
      </c>
      <c r="G6" s="23">
        <f>G5+1</f>
        <v>1</v>
      </c>
      <c r="H6" s="23">
        <v>1574</v>
      </c>
      <c r="I6" s="5">
        <f>K5*1.4%</f>
        <v>125.99999999999999</v>
      </c>
      <c r="J6" s="5">
        <f>H6-I6</f>
        <v>1448</v>
      </c>
      <c r="K6" s="5">
        <f>K5-J6</f>
        <v>7552</v>
      </c>
      <c r="L6" s="3"/>
    </row>
    <row r="7" spans="1:13" x14ac:dyDescent="0.25">
      <c r="D7" s="3"/>
      <c r="E7" s="3"/>
      <c r="G7" s="23">
        <f t="shared" ref="G7:G11" si="0">G6+1</f>
        <v>2</v>
      </c>
      <c r="H7" s="23">
        <v>1574</v>
      </c>
      <c r="I7" s="5">
        <f t="shared" ref="I7:I11" si="1">K6*1.4%</f>
        <v>105.72799999999999</v>
      </c>
      <c r="J7" s="5">
        <f t="shared" ref="J7:J11" si="2">H7-I7</f>
        <v>1468.2719999999999</v>
      </c>
      <c r="K7" s="5">
        <f t="shared" ref="K7:K11" si="3">K6-J7</f>
        <v>6083.7280000000001</v>
      </c>
      <c r="L7" s="3"/>
    </row>
    <row r="8" spans="1:13" x14ac:dyDescent="0.25">
      <c r="D8" s="3"/>
      <c r="E8" s="3"/>
      <c r="G8" s="23">
        <f t="shared" si="0"/>
        <v>3</v>
      </c>
      <c r="H8" s="23">
        <v>1574</v>
      </c>
      <c r="I8" s="5">
        <f t="shared" si="1"/>
        <v>85.172191999999995</v>
      </c>
      <c r="J8" s="5">
        <f t="shared" si="2"/>
        <v>1488.827808</v>
      </c>
      <c r="K8" s="5">
        <f t="shared" si="3"/>
        <v>4594.9001920000001</v>
      </c>
      <c r="L8" s="3"/>
    </row>
    <row r="9" spans="1:13" x14ac:dyDescent="0.25">
      <c r="A9" s="4">
        <v>43926</v>
      </c>
      <c r="B9" s="23">
        <v>413501</v>
      </c>
      <c r="C9" s="23"/>
      <c r="D9" s="5"/>
      <c r="E9" s="5">
        <f>8*400000</f>
        <v>3200000</v>
      </c>
      <c r="G9" s="23">
        <f t="shared" si="0"/>
        <v>4</v>
      </c>
      <c r="H9" s="23">
        <v>1574</v>
      </c>
      <c r="I9" s="5">
        <f t="shared" si="1"/>
        <v>64.328602687999989</v>
      </c>
      <c r="J9" s="5">
        <f t="shared" si="2"/>
        <v>1509.671397312</v>
      </c>
      <c r="K9" s="5">
        <f t="shared" si="3"/>
        <v>3085.2287946880001</v>
      </c>
      <c r="L9" s="3"/>
    </row>
    <row r="10" spans="1:13" x14ac:dyDescent="0.25">
      <c r="A10" s="23"/>
      <c r="B10" s="23">
        <v>240802</v>
      </c>
      <c r="C10" s="23"/>
      <c r="D10" s="5"/>
      <c r="E10" s="5">
        <f>E9*19%</f>
        <v>608000</v>
      </c>
      <c r="G10" s="23">
        <f t="shared" si="0"/>
        <v>5</v>
      </c>
      <c r="H10" s="23">
        <v>1574</v>
      </c>
      <c r="I10" s="5">
        <f t="shared" si="1"/>
        <v>43.193203125631996</v>
      </c>
      <c r="J10" s="5">
        <f t="shared" si="2"/>
        <v>1530.806796874368</v>
      </c>
      <c r="K10" s="5">
        <f t="shared" si="3"/>
        <v>1554.4219978136321</v>
      </c>
      <c r="L10" s="3"/>
    </row>
    <row r="11" spans="1:13" x14ac:dyDescent="0.25">
      <c r="A11" s="23"/>
      <c r="B11" s="23">
        <v>135515</v>
      </c>
      <c r="C11" s="23"/>
      <c r="D11" s="5">
        <f>E9*2.5%</f>
        <v>80000</v>
      </c>
      <c r="E11" s="5"/>
      <c r="G11" s="23">
        <f t="shared" si="0"/>
        <v>6</v>
      </c>
      <c r="H11" s="23">
        <v>1574</v>
      </c>
      <c r="I11" s="5">
        <f t="shared" si="1"/>
        <v>21.761907969390847</v>
      </c>
      <c r="J11" s="5">
        <f t="shared" si="2"/>
        <v>1552.2380920306091</v>
      </c>
      <c r="K11" s="5">
        <f t="shared" si="3"/>
        <v>2.1839057830229649</v>
      </c>
      <c r="L11" s="3"/>
    </row>
    <row r="12" spans="1:13" x14ac:dyDescent="0.25">
      <c r="A12" s="23"/>
      <c r="B12" s="23">
        <v>135517</v>
      </c>
      <c r="C12" s="23"/>
      <c r="D12" s="5">
        <f>E10*15%</f>
        <v>91200</v>
      </c>
      <c r="E12" s="5"/>
      <c r="G12" s="24"/>
    </row>
    <row r="13" spans="1:13" x14ac:dyDescent="0.25">
      <c r="A13" s="23"/>
      <c r="B13" s="23">
        <v>130505</v>
      </c>
      <c r="C13" s="23"/>
      <c r="D13" s="5">
        <f>E9+E10-D11-D12</f>
        <v>3636800</v>
      </c>
      <c r="E13" s="5"/>
      <c r="G13" s="24"/>
    </row>
    <row r="14" spans="1:13" x14ac:dyDescent="0.25">
      <c r="A14" s="23"/>
      <c r="B14" s="23"/>
      <c r="C14" s="23"/>
      <c r="D14" s="5"/>
      <c r="E14" s="5"/>
      <c r="G14" s="24"/>
    </row>
    <row r="15" spans="1:13" x14ac:dyDescent="0.25">
      <c r="A15" s="23"/>
      <c r="B15" s="23">
        <v>613501</v>
      </c>
      <c r="C15" s="23"/>
      <c r="D15" s="5">
        <f>ENERO!O11</f>
        <v>1698576</v>
      </c>
      <c r="E15" s="5"/>
      <c r="G15" s="24"/>
    </row>
    <row r="16" spans="1:13" x14ac:dyDescent="0.25">
      <c r="A16" s="23"/>
      <c r="B16" s="23">
        <v>143501</v>
      </c>
      <c r="C16" s="23"/>
      <c r="D16" s="5"/>
      <c r="E16" s="5">
        <f>D15</f>
        <v>1698576</v>
      </c>
      <c r="G16" s="24"/>
    </row>
    <row r="17" spans="1:7" x14ac:dyDescent="0.25">
      <c r="D17" s="3"/>
      <c r="E17" s="3"/>
      <c r="G17" s="24"/>
    </row>
    <row r="18" spans="1:7" x14ac:dyDescent="0.25">
      <c r="D18" s="3"/>
      <c r="E18" s="3"/>
      <c r="G18" s="24"/>
    </row>
    <row r="19" spans="1:7" x14ac:dyDescent="0.25">
      <c r="A19" s="4">
        <v>43931</v>
      </c>
      <c r="B19" s="23">
        <v>210505</v>
      </c>
      <c r="C19" s="23"/>
      <c r="D19" s="5">
        <f>'FEBRERO '!J8</f>
        <v>747258.07259999996</v>
      </c>
      <c r="E19" s="5"/>
      <c r="G19" s="24"/>
    </row>
    <row r="20" spans="1:7" x14ac:dyDescent="0.25">
      <c r="A20" s="23"/>
      <c r="B20" s="23">
        <v>230520</v>
      </c>
      <c r="C20" s="23" t="s">
        <v>39</v>
      </c>
      <c r="D20" s="5">
        <f>'MARZO '!E20</f>
        <v>130969.9516</v>
      </c>
      <c r="E20" s="5"/>
      <c r="G20" s="24"/>
    </row>
    <row r="21" spans="1:7" x14ac:dyDescent="0.25">
      <c r="A21" s="23"/>
      <c r="B21" s="23">
        <v>510520</v>
      </c>
      <c r="C21" s="23" t="s">
        <v>49</v>
      </c>
      <c r="D21" s="5">
        <f>'FEBRERO '!I8-'MARZO '!E35</f>
        <v>65484.975800000015</v>
      </c>
      <c r="E21" s="5"/>
      <c r="G21" s="24"/>
    </row>
    <row r="22" spans="1:7" x14ac:dyDescent="0.25">
      <c r="A22" s="23"/>
      <c r="B22" s="23">
        <v>111005</v>
      </c>
      <c r="C22" s="23"/>
      <c r="D22" s="5"/>
      <c r="E22" s="5">
        <f>D19+D20+D21</f>
        <v>943713</v>
      </c>
      <c r="G22" s="24"/>
    </row>
    <row r="23" spans="1:7" x14ac:dyDescent="0.25">
      <c r="D23" s="3"/>
      <c r="E23" s="3"/>
      <c r="G23" s="24"/>
    </row>
    <row r="24" spans="1:7" x14ac:dyDescent="0.25">
      <c r="D24" s="3"/>
      <c r="E24" s="3"/>
      <c r="G24" s="24"/>
    </row>
    <row r="25" spans="1:7" x14ac:dyDescent="0.25">
      <c r="A25" s="4">
        <v>43936</v>
      </c>
      <c r="B25" s="23">
        <v>211005</v>
      </c>
      <c r="C25" s="23"/>
      <c r="D25" s="5"/>
      <c r="E25" s="5">
        <f>9000*3650</f>
        <v>32850000</v>
      </c>
    </row>
    <row r="26" spans="1:7" x14ac:dyDescent="0.25">
      <c r="A26" s="23"/>
      <c r="B26" s="23">
        <v>530510</v>
      </c>
      <c r="C26" s="23"/>
      <c r="D26" s="5">
        <v>200000</v>
      </c>
      <c r="E26" s="5"/>
    </row>
    <row r="27" spans="1:7" x14ac:dyDescent="0.25">
      <c r="A27" s="23"/>
      <c r="B27" s="23">
        <v>111005</v>
      </c>
      <c r="C27" s="23"/>
      <c r="D27" s="5">
        <f>E25-D26</f>
        <v>32650000</v>
      </c>
      <c r="E27" s="5"/>
    </row>
    <row r="28" spans="1:7" x14ac:dyDescent="0.25">
      <c r="D28" s="3"/>
      <c r="E28" s="3"/>
    </row>
    <row r="29" spans="1:7" x14ac:dyDescent="0.25">
      <c r="D29" s="3"/>
      <c r="E29" s="3"/>
    </row>
    <row r="30" spans="1:7" x14ac:dyDescent="0.25">
      <c r="A30" s="4">
        <v>43941</v>
      </c>
      <c r="B30" s="23">
        <v>143501</v>
      </c>
      <c r="C30" s="23"/>
      <c r="D30" s="5">
        <f>(60*3655)*30</f>
        <v>6579000</v>
      </c>
      <c r="E30" s="5"/>
    </row>
    <row r="31" spans="1:7" x14ac:dyDescent="0.25">
      <c r="A31" s="23"/>
      <c r="B31" s="23">
        <v>240801</v>
      </c>
      <c r="C31" s="23"/>
      <c r="D31" s="5">
        <f>D30*19%</f>
        <v>1250010</v>
      </c>
      <c r="E31" s="5"/>
    </row>
    <row r="32" spans="1:7" x14ac:dyDescent="0.25">
      <c r="A32" s="23"/>
      <c r="B32" s="23">
        <v>514020</v>
      </c>
      <c r="C32" s="23"/>
      <c r="D32" s="5">
        <f>600000</f>
        <v>600000</v>
      </c>
      <c r="E32" s="5"/>
    </row>
    <row r="33" spans="1:11" x14ac:dyDescent="0.25">
      <c r="A33" s="23"/>
      <c r="B33" s="23">
        <v>111005</v>
      </c>
      <c r="C33" s="23"/>
      <c r="D33" s="5"/>
      <c r="E33" s="5">
        <f>D31+D32</f>
        <v>1850010</v>
      </c>
    </row>
    <row r="34" spans="1:11" x14ac:dyDescent="0.25">
      <c r="A34" s="23"/>
      <c r="B34" s="23">
        <v>221005</v>
      </c>
      <c r="C34" s="23"/>
      <c r="D34" s="5"/>
      <c r="E34" s="5">
        <f>D30</f>
        <v>6579000</v>
      </c>
    </row>
    <row r="35" spans="1:11" x14ac:dyDescent="0.25">
      <c r="D35" s="3"/>
      <c r="E35" s="3"/>
      <c r="H35" s="24" t="s">
        <v>59</v>
      </c>
      <c r="I35" s="3">
        <v>3600</v>
      </c>
    </row>
    <row r="36" spans="1:11" x14ac:dyDescent="0.25">
      <c r="D36" s="3"/>
      <c r="E36" s="3"/>
    </row>
    <row r="37" spans="1:11" x14ac:dyDescent="0.25">
      <c r="A37" s="4">
        <v>43951</v>
      </c>
      <c r="B37" s="23">
        <v>211005</v>
      </c>
      <c r="C37" s="23"/>
      <c r="D37" s="5">
        <v>450000</v>
      </c>
      <c r="E37" s="5"/>
      <c r="H37" s="23" t="s">
        <v>55</v>
      </c>
      <c r="I37" s="5">
        <v>3650</v>
      </c>
      <c r="J37" s="23" t="s">
        <v>55</v>
      </c>
      <c r="K37" s="5">
        <v>3655</v>
      </c>
    </row>
    <row r="38" spans="1:11" x14ac:dyDescent="0.25">
      <c r="A38" s="23"/>
      <c r="B38" s="23">
        <v>421020</v>
      </c>
      <c r="C38" s="23"/>
      <c r="D38" s="5"/>
      <c r="E38" s="5">
        <f>D37</f>
        <v>450000</v>
      </c>
      <c r="H38" s="23" t="s">
        <v>56</v>
      </c>
      <c r="I38" s="5">
        <v>3600</v>
      </c>
      <c r="J38" s="23" t="s">
        <v>56</v>
      </c>
      <c r="K38" s="5">
        <v>3600</v>
      </c>
    </row>
    <row r="39" spans="1:11" x14ac:dyDescent="0.25">
      <c r="A39" s="23"/>
      <c r="B39" s="23"/>
      <c r="C39" s="23"/>
      <c r="D39" s="5"/>
      <c r="E39" s="5"/>
      <c r="H39" s="23" t="s">
        <v>57</v>
      </c>
      <c r="I39" s="5">
        <f>I37-I38</f>
        <v>50</v>
      </c>
      <c r="J39" s="23" t="s">
        <v>57</v>
      </c>
      <c r="K39" s="5">
        <f>K37-K38</f>
        <v>55</v>
      </c>
    </row>
    <row r="40" spans="1:11" x14ac:dyDescent="0.25">
      <c r="A40" s="23"/>
      <c r="B40" s="23">
        <v>221005</v>
      </c>
      <c r="C40" s="23"/>
      <c r="D40" s="5">
        <v>99000</v>
      </c>
      <c r="E40" s="5"/>
      <c r="H40" s="23"/>
      <c r="I40" s="23"/>
      <c r="J40" s="23"/>
      <c r="K40" s="23"/>
    </row>
    <row r="41" spans="1:11" x14ac:dyDescent="0.25">
      <c r="A41" s="23"/>
      <c r="B41" s="23">
        <v>421020</v>
      </c>
      <c r="C41" s="23"/>
      <c r="D41" s="5"/>
      <c r="E41" s="5">
        <f>D40</f>
        <v>99000</v>
      </c>
      <c r="H41" s="23" t="s">
        <v>58</v>
      </c>
      <c r="I41" s="33">
        <f>I39*9000</f>
        <v>450000</v>
      </c>
      <c r="J41" s="23" t="s">
        <v>58</v>
      </c>
      <c r="K41" s="33">
        <f>30*(K39*60)</f>
        <v>99000</v>
      </c>
    </row>
    <row r="42" spans="1:11" x14ac:dyDescent="0.25">
      <c r="D42" s="3"/>
      <c r="E42" s="3"/>
    </row>
    <row r="43" spans="1:11" x14ac:dyDescent="0.25">
      <c r="A43" s="4">
        <v>43951</v>
      </c>
      <c r="B43" s="23">
        <v>510505</v>
      </c>
      <c r="C43" s="23"/>
      <c r="D43" s="5">
        <f>H46</f>
        <v>125888.59670632001</v>
      </c>
      <c r="E43" s="5"/>
      <c r="H43" s="24" t="s">
        <v>60</v>
      </c>
    </row>
    <row r="44" spans="1:11" x14ac:dyDescent="0.25">
      <c r="A44" s="23"/>
      <c r="B44" s="23">
        <v>230505</v>
      </c>
      <c r="C44" s="23"/>
      <c r="D44" s="5"/>
      <c r="E44" s="5">
        <f>D43</f>
        <v>125888.59670632001</v>
      </c>
      <c r="H44" s="5">
        <f>'FEBRERO '!I9</f>
        <v>188832.89505948001</v>
      </c>
      <c r="I44" s="3"/>
    </row>
    <row r="45" spans="1:11" x14ac:dyDescent="0.25">
      <c r="A45" s="23"/>
      <c r="B45" s="23"/>
      <c r="C45" s="23"/>
      <c r="D45" s="5"/>
      <c r="E45" s="5"/>
      <c r="H45" s="5">
        <f>H44/30</f>
        <v>6294.4298353160002</v>
      </c>
      <c r="I45" s="3"/>
    </row>
    <row r="46" spans="1:11" x14ac:dyDescent="0.25">
      <c r="A46" s="23"/>
      <c r="B46" s="23">
        <v>510520</v>
      </c>
      <c r="C46" s="23"/>
      <c r="D46" s="5">
        <f>H53</f>
        <v>226800</v>
      </c>
      <c r="E46" s="5"/>
      <c r="H46" s="5">
        <f>H45*20</f>
        <v>125888.59670632001</v>
      </c>
      <c r="I46" s="3"/>
    </row>
    <row r="47" spans="1:11" x14ac:dyDescent="0.25">
      <c r="A47" s="23"/>
      <c r="B47" s="23">
        <v>230520</v>
      </c>
      <c r="C47" s="23"/>
      <c r="D47" s="5"/>
      <c r="E47" s="5">
        <f>D46</f>
        <v>226800</v>
      </c>
      <c r="H47" s="3"/>
      <c r="I47" s="3"/>
    </row>
    <row r="48" spans="1:11" x14ac:dyDescent="0.25">
      <c r="D48" s="3"/>
      <c r="E48" s="3"/>
      <c r="H48" s="3"/>
      <c r="I48" s="3"/>
    </row>
    <row r="49" spans="1:9" x14ac:dyDescent="0.25">
      <c r="D49" s="3"/>
      <c r="E49" s="3"/>
      <c r="H49" s="3" t="s">
        <v>61</v>
      </c>
      <c r="I49" s="3"/>
    </row>
    <row r="50" spans="1:9" x14ac:dyDescent="0.25">
      <c r="A50" s="49" t="s">
        <v>62</v>
      </c>
      <c r="B50" s="49"/>
      <c r="C50" s="49"/>
      <c r="D50" s="49"/>
      <c r="E50" s="3"/>
      <c r="H50" s="5">
        <v>126</v>
      </c>
      <c r="I50" s="3"/>
    </row>
    <row r="51" spans="1:9" x14ac:dyDescent="0.25">
      <c r="D51" s="3"/>
      <c r="E51" s="3"/>
      <c r="H51" s="28">
        <f>126/30</f>
        <v>4.2</v>
      </c>
    </row>
    <row r="52" spans="1:9" x14ac:dyDescent="0.25">
      <c r="A52" s="23" t="s">
        <v>2</v>
      </c>
      <c r="B52" s="48" t="s">
        <v>3</v>
      </c>
      <c r="C52" s="48"/>
      <c r="D52" s="5" t="s">
        <v>4</v>
      </c>
      <c r="E52" s="5" t="s">
        <v>5</v>
      </c>
      <c r="H52" s="5">
        <f>H51*15</f>
        <v>63</v>
      </c>
    </row>
    <row r="53" spans="1:9" x14ac:dyDescent="0.25">
      <c r="A53" s="23">
        <v>1105</v>
      </c>
      <c r="B53" s="48"/>
      <c r="C53" s="48"/>
      <c r="D53" s="5">
        <f>'MARZO '!D26</f>
        <v>10455800</v>
      </c>
      <c r="E53" s="5"/>
      <c r="H53" s="5">
        <f>H52*I35</f>
        <v>226800</v>
      </c>
    </row>
    <row r="54" spans="1:9" x14ac:dyDescent="0.25">
      <c r="A54" s="23">
        <v>1110</v>
      </c>
      <c r="B54" s="48"/>
      <c r="C54" s="48"/>
      <c r="D54" s="5">
        <f>'MARZO '!D27-'ABRIL '!E22+D27-E33</f>
        <v>52887564</v>
      </c>
      <c r="E54" s="5"/>
    </row>
    <row r="55" spans="1:9" x14ac:dyDescent="0.25">
      <c r="A55" s="23">
        <v>1305</v>
      </c>
      <c r="B55" s="48"/>
      <c r="C55" s="48"/>
      <c r="D55" s="5">
        <f>'MARZO '!D28+'ABRIL '!D13</f>
        <v>5966800</v>
      </c>
      <c r="E55" s="5"/>
    </row>
    <row r="56" spans="1:9" x14ac:dyDescent="0.25">
      <c r="A56" s="23">
        <v>1355</v>
      </c>
      <c r="B56" s="48"/>
      <c r="C56" s="48"/>
      <c r="D56" s="5">
        <f>'MARZO '!D29+'ABRIL '!D11+'ABRIL '!D12</f>
        <v>713400</v>
      </c>
      <c r="E56" s="5"/>
    </row>
    <row r="57" spans="1:9" x14ac:dyDescent="0.25">
      <c r="A57" s="23">
        <v>1435</v>
      </c>
      <c r="B57" s="48"/>
      <c r="C57" s="48"/>
      <c r="D57" s="5">
        <f>'MARZO '!D30+'ABRIL '!D4-'ABRIL '!E16+'ABRIL '!D30</f>
        <v>8065252</v>
      </c>
      <c r="E57" s="5"/>
    </row>
    <row r="58" spans="1:9" x14ac:dyDescent="0.25">
      <c r="A58" s="23">
        <v>1524</v>
      </c>
      <c r="B58" s="48"/>
      <c r="C58" s="48"/>
      <c r="D58" s="5">
        <f>'MARZO '!D31</f>
        <v>8000000</v>
      </c>
      <c r="E58" s="5"/>
    </row>
    <row r="59" spans="1:9" x14ac:dyDescent="0.25">
      <c r="A59" s="23">
        <v>1528</v>
      </c>
      <c r="B59" s="48"/>
      <c r="C59" s="48"/>
      <c r="D59" s="5">
        <f>'MARZO '!D32</f>
        <v>9000000</v>
      </c>
      <c r="E59" s="5"/>
    </row>
    <row r="60" spans="1:9" x14ac:dyDescent="0.25">
      <c r="A60" s="23">
        <v>2105</v>
      </c>
      <c r="B60" s="48"/>
      <c r="C60" s="48"/>
      <c r="D60" s="5"/>
      <c r="E60" s="5">
        <f>'MARZO '!E33-'ABRIL '!D19</f>
        <v>18513028.9274</v>
      </c>
    </row>
    <row r="61" spans="1:9" x14ac:dyDescent="0.25">
      <c r="A61" s="23">
        <v>2110</v>
      </c>
      <c r="B61" s="48"/>
      <c r="C61" s="48"/>
      <c r="D61" s="5"/>
      <c r="E61" s="5">
        <f>E25-D37</f>
        <v>32400000</v>
      </c>
    </row>
    <row r="62" spans="1:9" x14ac:dyDescent="0.25">
      <c r="A62" s="23">
        <v>2205</v>
      </c>
      <c r="B62" s="48"/>
      <c r="C62" s="48"/>
      <c r="D62" s="5"/>
      <c r="E62" s="5">
        <f>'MARZO '!E34+'ABRIL '!E6</f>
        <v>11223675</v>
      </c>
    </row>
    <row r="63" spans="1:9" x14ac:dyDescent="0.25">
      <c r="A63" s="23">
        <v>2210</v>
      </c>
      <c r="B63" s="48"/>
      <c r="C63" s="48"/>
      <c r="D63" s="5"/>
      <c r="E63" s="5">
        <f>E34-D40</f>
        <v>6480000</v>
      </c>
    </row>
    <row r="64" spans="1:9" x14ac:dyDescent="0.25">
      <c r="A64" s="23">
        <v>2305</v>
      </c>
      <c r="B64" s="48"/>
      <c r="C64" s="48"/>
      <c r="D64" s="5"/>
      <c r="E64" s="5">
        <f>'MARZO '!E35-'ABRIL '!D20+'ABRIL '!E44+'ABRIL '!E47</f>
        <v>352688.59670632001</v>
      </c>
    </row>
    <row r="65" spans="1:5" x14ac:dyDescent="0.25">
      <c r="A65" s="23">
        <v>2365</v>
      </c>
      <c r="B65" s="48"/>
      <c r="C65" s="48"/>
      <c r="D65" s="5"/>
      <c r="E65" s="5">
        <f>'MARZO '!E36</f>
        <v>134875</v>
      </c>
    </row>
    <row r="66" spans="1:5" x14ac:dyDescent="0.25">
      <c r="A66" s="23">
        <v>2408</v>
      </c>
      <c r="B66" s="48"/>
      <c r="C66" s="48"/>
      <c r="D66" s="5">
        <f>D5+D31-E10-'MARZO '!E37</f>
        <v>327560</v>
      </c>
      <c r="E66" s="5"/>
    </row>
    <row r="67" spans="1:5" x14ac:dyDescent="0.25">
      <c r="A67" s="23">
        <v>3115</v>
      </c>
      <c r="B67" s="48"/>
      <c r="C67" s="48"/>
      <c r="D67" s="5"/>
      <c r="E67" s="5">
        <f>'MARZO '!E38</f>
        <v>22000000</v>
      </c>
    </row>
    <row r="68" spans="1:5" x14ac:dyDescent="0.25">
      <c r="A68" s="23">
        <v>4135</v>
      </c>
      <c r="B68" s="48"/>
      <c r="C68" s="48"/>
      <c r="D68" s="5"/>
      <c r="E68" s="5">
        <f>'MARZO '!E39+'ABRIL '!E9</f>
        <v>15600000</v>
      </c>
    </row>
    <row r="69" spans="1:5" x14ac:dyDescent="0.25">
      <c r="A69" s="23">
        <v>4210</v>
      </c>
      <c r="B69" s="48"/>
      <c r="C69" s="48"/>
      <c r="D69" s="5"/>
      <c r="E69" s="5">
        <f>D37+D40</f>
        <v>549000</v>
      </c>
    </row>
    <row r="70" spans="1:5" x14ac:dyDescent="0.25">
      <c r="A70" s="23">
        <v>4275</v>
      </c>
      <c r="B70" s="48"/>
      <c r="C70" s="48"/>
      <c r="D70" s="5">
        <f>'MARZO '!D40</f>
        <v>1200000</v>
      </c>
      <c r="E70" s="5"/>
    </row>
    <row r="71" spans="1:5" x14ac:dyDescent="0.25">
      <c r="A71" s="23">
        <v>5105</v>
      </c>
      <c r="B71" s="48"/>
      <c r="C71" s="48"/>
      <c r="D71" s="5">
        <f>D21+D43+D46+'MARZO '!D41</f>
        <v>753143.52410631999</v>
      </c>
      <c r="E71" s="5"/>
    </row>
    <row r="72" spans="1:5" x14ac:dyDescent="0.25">
      <c r="A72" s="23">
        <v>5135</v>
      </c>
      <c r="B72" s="48"/>
      <c r="C72" s="48"/>
      <c r="D72" s="5">
        <f>'MARZO '!D42</f>
        <v>905000</v>
      </c>
      <c r="E72" s="5"/>
    </row>
    <row r="73" spans="1:5" x14ac:dyDescent="0.25">
      <c r="A73" s="23">
        <v>5140</v>
      </c>
      <c r="B73" s="48"/>
      <c r="C73" s="48"/>
      <c r="D73" s="5">
        <f>D32</f>
        <v>600000</v>
      </c>
      <c r="E73" s="5"/>
    </row>
    <row r="74" spans="1:5" x14ac:dyDescent="0.25">
      <c r="A74" s="23">
        <v>5305</v>
      </c>
      <c r="B74" s="48"/>
      <c r="C74" s="48"/>
      <c r="D74" s="5">
        <f>'MARZO '!D43+'ABRIL '!D26</f>
        <v>320000</v>
      </c>
      <c r="E74" s="5"/>
    </row>
    <row r="75" spans="1:5" x14ac:dyDescent="0.25">
      <c r="A75" s="23">
        <v>6135</v>
      </c>
      <c r="B75" s="48"/>
      <c r="C75" s="48"/>
      <c r="D75" s="5">
        <f>'MARZO '!D44+'ABRIL '!D15</f>
        <v>8058748</v>
      </c>
      <c r="E75" s="5"/>
    </row>
    <row r="76" spans="1:5" x14ac:dyDescent="0.25">
      <c r="D76" s="34">
        <f>SUM(D53:D75)</f>
        <v>107253267.52410632</v>
      </c>
      <c r="E76" s="34">
        <f>SUM(E60:E75)</f>
        <v>107253267.52410631</v>
      </c>
    </row>
    <row r="77" spans="1:5" x14ac:dyDescent="0.25">
      <c r="D77" s="3"/>
      <c r="E77" s="3"/>
    </row>
    <row r="78" spans="1:5" x14ac:dyDescent="0.25">
      <c r="D78" s="3"/>
      <c r="E78" s="3"/>
    </row>
    <row r="79" spans="1:5" x14ac:dyDescent="0.25">
      <c r="D79" s="3"/>
      <c r="E79" s="3"/>
    </row>
    <row r="80" spans="1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  <row r="87" spans="4:5" x14ac:dyDescent="0.25">
      <c r="D87" s="3"/>
      <c r="E87" s="3"/>
    </row>
    <row r="88" spans="4:5" x14ac:dyDescent="0.25">
      <c r="D88" s="3"/>
      <c r="E88" s="3"/>
    </row>
    <row r="89" spans="4:5" x14ac:dyDescent="0.25">
      <c r="D89" s="3"/>
      <c r="E89" s="3"/>
    </row>
    <row r="90" spans="4:5" x14ac:dyDescent="0.25">
      <c r="D90" s="3"/>
      <c r="E90" s="3"/>
    </row>
    <row r="91" spans="4:5" x14ac:dyDescent="0.25">
      <c r="D91" s="3"/>
      <c r="E91" s="3"/>
    </row>
    <row r="92" spans="4:5" x14ac:dyDescent="0.25">
      <c r="D92" s="3"/>
      <c r="E92" s="3"/>
    </row>
    <row r="93" spans="4:5" x14ac:dyDescent="0.25">
      <c r="D93" s="3"/>
      <c r="E93" s="3"/>
    </row>
    <row r="94" spans="4:5" x14ac:dyDescent="0.25">
      <c r="D94" s="3"/>
      <c r="E94" s="3"/>
    </row>
    <row r="95" spans="4:5" x14ac:dyDescent="0.25">
      <c r="D95" s="3"/>
      <c r="E95" s="3"/>
    </row>
    <row r="96" spans="4:5" x14ac:dyDescent="0.25">
      <c r="D96" s="3"/>
      <c r="E96" s="3"/>
    </row>
    <row r="97" spans="4:5" x14ac:dyDescent="0.25">
      <c r="D97" s="3"/>
      <c r="E97" s="3"/>
    </row>
    <row r="98" spans="4:5" x14ac:dyDescent="0.25">
      <c r="D98" s="3"/>
      <c r="E98" s="3"/>
    </row>
    <row r="99" spans="4:5" x14ac:dyDescent="0.25">
      <c r="D99" s="3"/>
      <c r="E99" s="3"/>
    </row>
    <row r="100" spans="4:5" x14ac:dyDescent="0.25">
      <c r="D100" s="3"/>
      <c r="E100" s="3"/>
    </row>
    <row r="101" spans="4:5" x14ac:dyDescent="0.25">
      <c r="D101" s="3"/>
      <c r="E101" s="3"/>
    </row>
    <row r="102" spans="4:5" x14ac:dyDescent="0.25">
      <c r="D102" s="3"/>
      <c r="E102" s="3"/>
    </row>
    <row r="103" spans="4:5" x14ac:dyDescent="0.25">
      <c r="D103" s="3"/>
      <c r="E103" s="3"/>
    </row>
    <row r="104" spans="4:5" x14ac:dyDescent="0.25">
      <c r="D104" s="3"/>
      <c r="E104" s="3"/>
    </row>
    <row r="105" spans="4:5" x14ac:dyDescent="0.25">
      <c r="D105" s="29"/>
      <c r="E105" s="29"/>
    </row>
    <row r="106" spans="4:5" x14ac:dyDescent="0.25">
      <c r="D106" s="29"/>
      <c r="E106" s="29"/>
    </row>
    <row r="107" spans="4:5" x14ac:dyDescent="0.25">
      <c r="D107" s="29"/>
      <c r="E107" s="29"/>
    </row>
    <row r="108" spans="4:5" x14ac:dyDescent="0.25">
      <c r="D108" s="29"/>
      <c r="E108" s="29"/>
    </row>
    <row r="109" spans="4:5" x14ac:dyDescent="0.25">
      <c r="D109" s="29"/>
      <c r="E109" s="29"/>
    </row>
  </sheetData>
  <mergeCells count="26">
    <mergeCell ref="B55:C55"/>
    <mergeCell ref="G2:J2"/>
    <mergeCell ref="A50:D50"/>
    <mergeCell ref="B52:C52"/>
    <mergeCell ref="B53:C53"/>
    <mergeCell ref="B54:C54"/>
    <mergeCell ref="B67:C67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4:C74"/>
    <mergeCell ref="B75:C75"/>
    <mergeCell ref="B68:C68"/>
    <mergeCell ref="B69:C69"/>
    <mergeCell ref="B70:C70"/>
    <mergeCell ref="B71:C71"/>
    <mergeCell ref="B72:C72"/>
    <mergeCell ref="B73:C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12CF-D30B-4C32-B724-8EB20EDDE209}">
  <dimension ref="A1:L100"/>
  <sheetViews>
    <sheetView workbookViewId="0">
      <selection activeCell="F50" sqref="F50"/>
    </sheetView>
  </sheetViews>
  <sheetFormatPr baseColWidth="10" defaultRowHeight="15" x14ac:dyDescent="0.25"/>
  <cols>
    <col min="1" max="1" width="11" customWidth="1"/>
    <col min="5" max="5" width="18.5703125" customWidth="1"/>
    <col min="6" max="6" width="16.85546875" customWidth="1"/>
    <col min="7" max="8" width="12.5703125" bestFit="1" customWidth="1"/>
    <col min="9" max="9" width="14.140625" bestFit="1" customWidth="1"/>
  </cols>
  <sheetData>
    <row r="1" spans="1:12" x14ac:dyDescent="0.25">
      <c r="A1" s="49" t="s">
        <v>63</v>
      </c>
      <c r="B1" s="49"/>
    </row>
    <row r="2" spans="1:12" x14ac:dyDescent="0.25">
      <c r="A2" s="25" t="s">
        <v>1</v>
      </c>
      <c r="B2" s="25" t="s">
        <v>2</v>
      </c>
      <c r="C2" s="46" t="s">
        <v>3</v>
      </c>
      <c r="D2" s="47"/>
      <c r="E2" s="25" t="s">
        <v>4</v>
      </c>
      <c r="F2" s="25" t="s">
        <v>5</v>
      </c>
    </row>
    <row r="3" spans="1:12" x14ac:dyDescent="0.25">
      <c r="A3" s="4">
        <v>43961</v>
      </c>
      <c r="B3" s="25">
        <v>210505</v>
      </c>
      <c r="C3" s="46"/>
      <c r="D3" s="47"/>
      <c r="E3" s="5">
        <f>'FEBRERO '!J9</f>
        <v>754880.10494052002</v>
      </c>
      <c r="F3" s="5"/>
    </row>
    <row r="4" spans="1:12" x14ac:dyDescent="0.25">
      <c r="A4" s="25"/>
      <c r="B4" s="25">
        <v>230520</v>
      </c>
      <c r="C4" s="46"/>
      <c r="D4" s="47"/>
      <c r="E4" s="5">
        <f>'ABRIL '!E44</f>
        <v>125888.59670632001</v>
      </c>
      <c r="F4" s="5"/>
    </row>
    <row r="5" spans="1:12" x14ac:dyDescent="0.25">
      <c r="A5" s="25"/>
      <c r="B5" s="25">
        <v>510520</v>
      </c>
      <c r="C5" s="46"/>
      <c r="D5" s="47"/>
      <c r="E5" s="5">
        <f>'FEBRERO '!I9-MAYO!E4</f>
        <v>62944.298353160004</v>
      </c>
      <c r="F5" s="5"/>
    </row>
    <row r="6" spans="1:12" x14ac:dyDescent="0.25">
      <c r="A6" s="25"/>
      <c r="B6" s="25">
        <v>111005</v>
      </c>
      <c r="C6" s="46"/>
      <c r="D6" s="47"/>
      <c r="E6" s="5"/>
      <c r="F6" s="5">
        <f>E3+E4+E5</f>
        <v>943713</v>
      </c>
    </row>
    <row r="7" spans="1:12" x14ac:dyDescent="0.25">
      <c r="E7" s="3"/>
      <c r="F7" s="3"/>
      <c r="H7" t="s">
        <v>64</v>
      </c>
    </row>
    <row r="8" spans="1:12" x14ac:dyDescent="0.25">
      <c r="A8" s="51" t="s">
        <v>65</v>
      </c>
      <c r="B8" s="51"/>
      <c r="E8" s="3"/>
      <c r="F8" s="3"/>
      <c r="H8" s="4">
        <v>43951</v>
      </c>
      <c r="I8" s="25">
        <v>211005</v>
      </c>
      <c r="J8" s="25"/>
      <c r="K8" s="5">
        <v>450000</v>
      </c>
      <c r="L8" s="5"/>
    </row>
    <row r="9" spans="1:12" x14ac:dyDescent="0.25">
      <c r="E9" s="3"/>
      <c r="F9" s="3"/>
      <c r="H9" s="25"/>
      <c r="I9" s="25">
        <v>421020</v>
      </c>
      <c r="J9" s="25"/>
      <c r="K9" s="5"/>
      <c r="L9" s="5">
        <f>K8</f>
        <v>450000</v>
      </c>
    </row>
    <row r="10" spans="1:12" x14ac:dyDescent="0.25">
      <c r="A10" s="49" t="s">
        <v>66</v>
      </c>
      <c r="B10" s="49"/>
      <c r="C10" s="49"/>
      <c r="D10" s="3">
        <v>3600</v>
      </c>
      <c r="E10" s="3"/>
      <c r="F10" s="3"/>
    </row>
    <row r="11" spans="1:12" x14ac:dyDescent="0.25">
      <c r="A11" s="49" t="s">
        <v>67</v>
      </c>
      <c r="B11" s="49"/>
      <c r="C11" s="49"/>
      <c r="D11" s="3">
        <v>3645</v>
      </c>
      <c r="E11" s="3"/>
      <c r="F11" s="3"/>
    </row>
    <row r="12" spans="1:12" x14ac:dyDescent="0.25">
      <c r="C12" t="s">
        <v>68</v>
      </c>
      <c r="D12" s="3">
        <v>45</v>
      </c>
      <c r="E12" s="3"/>
      <c r="F12" s="3"/>
    </row>
    <row r="13" spans="1:12" x14ac:dyDescent="0.25">
      <c r="E13" s="3"/>
      <c r="F13" s="3"/>
      <c r="H13" s="20">
        <f>9000*D12</f>
        <v>405000</v>
      </c>
    </row>
    <row r="14" spans="1:12" x14ac:dyDescent="0.25">
      <c r="A14" s="4">
        <v>43966</v>
      </c>
      <c r="B14" s="25">
        <v>211005</v>
      </c>
      <c r="C14" s="48" t="s">
        <v>69</v>
      </c>
      <c r="D14" s="48"/>
      <c r="E14" s="5"/>
      <c r="F14" s="5">
        <f>D12*9000</f>
        <v>405000</v>
      </c>
    </row>
    <row r="15" spans="1:12" x14ac:dyDescent="0.25">
      <c r="A15" s="25"/>
      <c r="B15" s="25">
        <v>530530</v>
      </c>
      <c r="C15" s="48" t="s">
        <v>70</v>
      </c>
      <c r="D15" s="48"/>
      <c r="E15" s="5">
        <f>F14</f>
        <v>405000</v>
      </c>
      <c r="F15" s="5"/>
    </row>
    <row r="16" spans="1:12" x14ac:dyDescent="0.25">
      <c r="E16" s="3"/>
      <c r="F16" s="3"/>
    </row>
    <row r="17" spans="1:9" x14ac:dyDescent="0.25">
      <c r="E17" s="3"/>
      <c r="F17" s="3"/>
    </row>
    <row r="18" spans="1:9" x14ac:dyDescent="0.25">
      <c r="A18" s="4">
        <v>43966</v>
      </c>
      <c r="B18" s="25">
        <v>211005</v>
      </c>
      <c r="C18" s="25"/>
      <c r="D18" s="25"/>
      <c r="E18" s="5">
        <f>'ABRIL '!J6*3645</f>
        <v>5277960</v>
      </c>
      <c r="F18" s="5"/>
      <c r="I18" s="3">
        <v>1448</v>
      </c>
    </row>
    <row r="19" spans="1:9" x14ac:dyDescent="0.25">
      <c r="A19" s="25"/>
      <c r="B19" s="25">
        <v>230520</v>
      </c>
      <c r="C19" s="25"/>
      <c r="D19" s="25"/>
      <c r="E19" s="5">
        <f>'ABRIL '!D46</f>
        <v>226800</v>
      </c>
      <c r="F19" s="5"/>
      <c r="I19" s="3">
        <f>I18*3645</f>
        <v>5277960</v>
      </c>
    </row>
    <row r="20" spans="1:9" x14ac:dyDescent="0.25">
      <c r="A20" s="25"/>
      <c r="B20" s="25">
        <v>530520</v>
      </c>
      <c r="C20" s="25"/>
      <c r="D20" s="25"/>
      <c r="E20" s="5">
        <f>G20-E19</f>
        <v>232469.99999999994</v>
      </c>
      <c r="F20" s="5"/>
      <c r="G20" s="3">
        <f>'ABRIL '!I6*3645</f>
        <v>459269.99999999994</v>
      </c>
      <c r="H20" s="20"/>
      <c r="I20" s="3"/>
    </row>
    <row r="21" spans="1:9" x14ac:dyDescent="0.25">
      <c r="A21" s="25"/>
      <c r="B21" s="25">
        <v>111005</v>
      </c>
      <c r="C21" s="25"/>
      <c r="D21" s="25"/>
      <c r="E21" s="5"/>
      <c r="F21" s="5">
        <f>'ABRIL '!H6*3645</f>
        <v>5737230</v>
      </c>
    </row>
    <row r="22" spans="1:9" x14ac:dyDescent="0.25">
      <c r="E22" s="3"/>
      <c r="F22" s="3"/>
    </row>
    <row r="23" spans="1:9" x14ac:dyDescent="0.25">
      <c r="A23" s="49" t="s">
        <v>74</v>
      </c>
      <c r="B23" s="49"/>
      <c r="C23" s="49"/>
      <c r="E23" s="3"/>
      <c r="F23" s="3"/>
    </row>
    <row r="24" spans="1:9" x14ac:dyDescent="0.25">
      <c r="E24" s="3"/>
      <c r="F24" s="3"/>
    </row>
    <row r="25" spans="1:9" x14ac:dyDescent="0.25">
      <c r="A25" s="35">
        <v>43971</v>
      </c>
      <c r="E25" s="3"/>
      <c r="F25" s="3"/>
    </row>
    <row r="26" spans="1:9" x14ac:dyDescent="0.25">
      <c r="E26" s="3"/>
      <c r="F26" s="3"/>
    </row>
    <row r="27" spans="1:9" x14ac:dyDescent="0.25">
      <c r="A27" t="s">
        <v>71</v>
      </c>
      <c r="E27" s="3"/>
      <c r="F27" s="3"/>
    </row>
    <row r="28" spans="1:9" x14ac:dyDescent="0.25">
      <c r="A28" s="49" t="s">
        <v>72</v>
      </c>
      <c r="B28" s="49"/>
      <c r="C28" s="3">
        <v>3600</v>
      </c>
      <c r="E28" s="3"/>
      <c r="F28" s="3"/>
    </row>
    <row r="29" spans="1:9" x14ac:dyDescent="0.25">
      <c r="A29" s="49" t="s">
        <v>73</v>
      </c>
      <c r="B29" s="49"/>
      <c r="C29" s="3">
        <v>3645</v>
      </c>
      <c r="E29" s="3"/>
      <c r="F29" s="3"/>
    </row>
    <row r="30" spans="1:9" x14ac:dyDescent="0.25">
      <c r="A30" t="s">
        <v>10</v>
      </c>
      <c r="C30" s="3">
        <f>C28-C29</f>
        <v>-45</v>
      </c>
      <c r="E30" s="3"/>
      <c r="F30" s="3"/>
    </row>
    <row r="31" spans="1:9" x14ac:dyDescent="0.25">
      <c r="E31" s="3"/>
      <c r="F31" s="3"/>
    </row>
    <row r="32" spans="1:9" x14ac:dyDescent="0.25">
      <c r="E32" s="3"/>
      <c r="F32" s="3"/>
    </row>
    <row r="33" spans="1:8" x14ac:dyDescent="0.25">
      <c r="A33" s="4">
        <v>43971</v>
      </c>
      <c r="B33" s="25">
        <v>221005</v>
      </c>
      <c r="C33" s="48" t="s">
        <v>75</v>
      </c>
      <c r="D33" s="48"/>
      <c r="E33" s="5">
        <f>1800*45</f>
        <v>81000</v>
      </c>
      <c r="F33" s="5"/>
    </row>
    <row r="34" spans="1:8" x14ac:dyDescent="0.25">
      <c r="A34" s="25"/>
      <c r="B34" s="25">
        <v>530530</v>
      </c>
      <c r="C34" s="48" t="s">
        <v>76</v>
      </c>
      <c r="D34" s="48"/>
      <c r="E34" s="5"/>
      <c r="F34" s="5">
        <f>E33</f>
        <v>81000</v>
      </c>
    </row>
    <row r="35" spans="1:8" x14ac:dyDescent="0.25">
      <c r="E35" s="3"/>
      <c r="F35" s="3"/>
    </row>
    <row r="36" spans="1:8" x14ac:dyDescent="0.25">
      <c r="A36" t="s">
        <v>77</v>
      </c>
      <c r="E36" s="3"/>
      <c r="F36" s="3"/>
      <c r="G36" t="s">
        <v>78</v>
      </c>
    </row>
    <row r="37" spans="1:8" x14ac:dyDescent="0.25">
      <c r="E37" s="3"/>
      <c r="F37" s="3"/>
    </row>
    <row r="38" spans="1:8" x14ac:dyDescent="0.25">
      <c r="A38" s="4">
        <v>43971</v>
      </c>
      <c r="B38" s="25">
        <v>221005</v>
      </c>
      <c r="C38" s="46"/>
      <c r="D38" s="47"/>
      <c r="E38" s="5">
        <f>1800*C29</f>
        <v>6561000</v>
      </c>
      <c r="F38" s="5"/>
    </row>
    <row r="39" spans="1:8" x14ac:dyDescent="0.25">
      <c r="A39" s="25"/>
      <c r="B39" s="25">
        <v>111005</v>
      </c>
      <c r="C39" s="46"/>
      <c r="D39" s="47"/>
      <c r="E39" s="5"/>
      <c r="F39" s="5">
        <f>E38</f>
        <v>6561000</v>
      </c>
    </row>
    <row r="40" spans="1:8" x14ac:dyDescent="0.25">
      <c r="A40" t="s">
        <v>79</v>
      </c>
      <c r="E40" s="3"/>
      <c r="F40" s="3"/>
    </row>
    <row r="41" spans="1:8" x14ac:dyDescent="0.25">
      <c r="A41" s="4">
        <v>43982</v>
      </c>
      <c r="B41" s="25">
        <v>530520</v>
      </c>
      <c r="C41" s="25"/>
      <c r="D41" s="25"/>
      <c r="E41" s="5">
        <v>53</v>
      </c>
      <c r="F41" s="5"/>
      <c r="H41" s="3">
        <f>'ABRIL '!I7</f>
        <v>105.72799999999999</v>
      </c>
    </row>
    <row r="42" spans="1:8" x14ac:dyDescent="0.25">
      <c r="A42" s="25"/>
      <c r="B42" s="25">
        <v>230505</v>
      </c>
      <c r="C42" s="25"/>
      <c r="D42" s="25"/>
      <c r="E42" s="5"/>
      <c r="F42" s="5">
        <f>E41</f>
        <v>53</v>
      </c>
      <c r="H42" s="20">
        <f>H41/30</f>
        <v>3.5242666666666667</v>
      </c>
    </row>
    <row r="43" spans="1:8" x14ac:dyDescent="0.25">
      <c r="A43" s="25"/>
      <c r="B43" s="25"/>
      <c r="C43" s="25"/>
      <c r="D43" s="25"/>
      <c r="E43" s="5"/>
      <c r="F43" s="5"/>
      <c r="H43" s="20">
        <f>H42*15</f>
        <v>52.863999999999997</v>
      </c>
    </row>
    <row r="44" spans="1:8" x14ac:dyDescent="0.25">
      <c r="A44" s="25"/>
      <c r="B44" s="25">
        <v>530520</v>
      </c>
      <c r="C44" s="25"/>
      <c r="D44" s="25"/>
      <c r="E44" s="5">
        <f>H43*3645</f>
        <v>192689.28</v>
      </c>
      <c r="F44" s="5"/>
    </row>
    <row r="45" spans="1:8" x14ac:dyDescent="0.25">
      <c r="A45" s="25"/>
      <c r="B45" s="25">
        <v>230505</v>
      </c>
      <c r="C45" s="25"/>
      <c r="D45" s="25"/>
      <c r="E45" s="5"/>
      <c r="F45" s="5">
        <f>E44</f>
        <v>192689.28</v>
      </c>
    </row>
    <row r="46" spans="1:8" x14ac:dyDescent="0.25">
      <c r="A46" s="25"/>
      <c r="B46" s="25"/>
      <c r="C46" s="25"/>
      <c r="D46" s="25"/>
      <c r="E46" s="5"/>
      <c r="F46" s="5"/>
    </row>
    <row r="47" spans="1:8" x14ac:dyDescent="0.25">
      <c r="A47" s="25"/>
      <c r="B47" s="25">
        <v>530520</v>
      </c>
      <c r="C47" s="25"/>
      <c r="D47" s="25"/>
      <c r="E47" s="5">
        <f>H49</f>
        <v>120755.41199272448</v>
      </c>
      <c r="F47" s="5"/>
      <c r="G47">
        <v>4</v>
      </c>
      <c r="H47" s="3">
        <f>'FEBRERO '!I10</f>
        <v>181133.11798908672</v>
      </c>
    </row>
    <row r="48" spans="1:8" x14ac:dyDescent="0.25">
      <c r="A48" s="25"/>
      <c r="B48" s="25">
        <v>230505</v>
      </c>
      <c r="C48" s="25"/>
      <c r="D48" s="25"/>
      <c r="E48" s="5"/>
      <c r="F48" s="5">
        <f>E47</f>
        <v>120755.41199272448</v>
      </c>
      <c r="H48" s="20">
        <f>H47/30</f>
        <v>6037.7705996362238</v>
      </c>
    </row>
    <row r="49" spans="5:9" x14ac:dyDescent="0.25">
      <c r="E49" s="3"/>
      <c r="F49" s="3"/>
      <c r="H49" s="20">
        <f>H48*20</f>
        <v>120755.41199272448</v>
      </c>
      <c r="I49" t="s">
        <v>80</v>
      </c>
    </row>
    <row r="50" spans="5:9" x14ac:dyDescent="0.25">
      <c r="E50" s="3"/>
      <c r="F50" s="3"/>
    </row>
    <row r="51" spans="5:9" x14ac:dyDescent="0.25">
      <c r="E51" s="3"/>
      <c r="F51" s="3"/>
    </row>
    <row r="52" spans="5:9" x14ac:dyDescent="0.25">
      <c r="E52" s="3"/>
      <c r="F52" s="3"/>
    </row>
    <row r="53" spans="5:9" x14ac:dyDescent="0.25">
      <c r="E53" s="3"/>
      <c r="F53" s="3"/>
    </row>
    <row r="54" spans="5:9" x14ac:dyDescent="0.25">
      <c r="E54" s="3"/>
      <c r="F54" s="3"/>
    </row>
    <row r="55" spans="5:9" x14ac:dyDescent="0.25">
      <c r="E55" s="3"/>
      <c r="F55" s="3"/>
    </row>
    <row r="56" spans="5:9" x14ac:dyDescent="0.25">
      <c r="E56" s="3"/>
      <c r="F56" s="3"/>
    </row>
    <row r="57" spans="5:9" x14ac:dyDescent="0.25">
      <c r="E57" s="3"/>
      <c r="F57" s="3"/>
    </row>
    <row r="58" spans="5:9" x14ac:dyDescent="0.25">
      <c r="E58" s="3"/>
      <c r="F58" s="3"/>
    </row>
    <row r="59" spans="5:9" x14ac:dyDescent="0.25">
      <c r="E59" s="3"/>
      <c r="F59" s="3"/>
    </row>
    <row r="60" spans="5:9" x14ac:dyDescent="0.25">
      <c r="E60" s="3"/>
      <c r="F60" s="3"/>
    </row>
    <row r="61" spans="5:9" x14ac:dyDescent="0.25">
      <c r="E61" s="3"/>
      <c r="F61" s="3"/>
    </row>
    <row r="62" spans="5:9" x14ac:dyDescent="0.25">
      <c r="E62" s="3"/>
      <c r="F62" s="3"/>
    </row>
    <row r="63" spans="5:9" x14ac:dyDescent="0.25">
      <c r="E63" s="3"/>
      <c r="F63" s="3"/>
    </row>
    <row r="64" spans="5:9" x14ac:dyDescent="0.25">
      <c r="E64" s="3"/>
      <c r="F64" s="3"/>
    </row>
    <row r="65" spans="5:6" x14ac:dyDescent="0.25">
      <c r="E65" s="3"/>
      <c r="F65" s="3"/>
    </row>
    <row r="66" spans="5:6" x14ac:dyDescent="0.25">
      <c r="E66" s="3"/>
      <c r="F66" s="3"/>
    </row>
    <row r="67" spans="5:6" x14ac:dyDescent="0.25">
      <c r="E67" s="3"/>
      <c r="F67" s="3"/>
    </row>
    <row r="68" spans="5:6" x14ac:dyDescent="0.25">
      <c r="E68" s="3"/>
      <c r="F68" s="3"/>
    </row>
    <row r="69" spans="5:6" x14ac:dyDescent="0.25">
      <c r="E69" s="3"/>
      <c r="F69" s="3"/>
    </row>
    <row r="70" spans="5:6" x14ac:dyDescent="0.25">
      <c r="E70" s="3"/>
      <c r="F70" s="3"/>
    </row>
    <row r="71" spans="5:6" x14ac:dyDescent="0.25">
      <c r="E71" s="3"/>
      <c r="F71" s="3"/>
    </row>
    <row r="72" spans="5:6" x14ac:dyDescent="0.25">
      <c r="E72" s="3"/>
      <c r="F72" s="3"/>
    </row>
    <row r="73" spans="5:6" x14ac:dyDescent="0.25">
      <c r="E73" s="3"/>
      <c r="F73" s="3"/>
    </row>
    <row r="74" spans="5:6" x14ac:dyDescent="0.25">
      <c r="E74" s="3"/>
      <c r="F74" s="3"/>
    </row>
    <row r="75" spans="5:6" x14ac:dyDescent="0.25">
      <c r="E75" s="3"/>
      <c r="F75" s="3"/>
    </row>
    <row r="76" spans="5:6" x14ac:dyDescent="0.25">
      <c r="E76" s="3"/>
      <c r="F76" s="3"/>
    </row>
    <row r="77" spans="5:6" x14ac:dyDescent="0.25">
      <c r="E77" s="3"/>
      <c r="F77" s="3"/>
    </row>
    <row r="78" spans="5:6" x14ac:dyDescent="0.25">
      <c r="E78" s="3"/>
      <c r="F78" s="3"/>
    </row>
    <row r="79" spans="5:6" x14ac:dyDescent="0.25">
      <c r="E79" s="3"/>
      <c r="F79" s="3"/>
    </row>
    <row r="80" spans="5:6" x14ac:dyDescent="0.25">
      <c r="E80" s="3"/>
      <c r="F80" s="3"/>
    </row>
    <row r="81" spans="5:6" x14ac:dyDescent="0.25">
      <c r="E81" s="3"/>
      <c r="F81" s="3"/>
    </row>
    <row r="82" spans="5:6" x14ac:dyDescent="0.25">
      <c r="E82" s="3"/>
      <c r="F82" s="3"/>
    </row>
    <row r="83" spans="5:6" x14ac:dyDescent="0.25">
      <c r="E83" s="3"/>
      <c r="F83" s="3"/>
    </row>
    <row r="84" spans="5:6" x14ac:dyDescent="0.25">
      <c r="E84" s="3"/>
      <c r="F84" s="3"/>
    </row>
    <row r="85" spans="5:6" x14ac:dyDescent="0.25">
      <c r="E85" s="3"/>
      <c r="F85" s="3"/>
    </row>
    <row r="86" spans="5:6" x14ac:dyDescent="0.25">
      <c r="E86" s="3"/>
      <c r="F86" s="3"/>
    </row>
    <row r="87" spans="5:6" x14ac:dyDescent="0.25">
      <c r="E87" s="3"/>
      <c r="F87" s="3"/>
    </row>
    <row r="88" spans="5:6" x14ac:dyDescent="0.25">
      <c r="E88" s="3"/>
      <c r="F88" s="3"/>
    </row>
    <row r="89" spans="5:6" x14ac:dyDescent="0.25">
      <c r="E89" s="3"/>
      <c r="F89" s="3"/>
    </row>
    <row r="90" spans="5:6" x14ac:dyDescent="0.25">
      <c r="E90" s="3"/>
      <c r="F90" s="3"/>
    </row>
    <row r="91" spans="5:6" x14ac:dyDescent="0.25">
      <c r="E91" s="3"/>
      <c r="F91" s="3"/>
    </row>
    <row r="92" spans="5:6" x14ac:dyDescent="0.25">
      <c r="E92" s="3"/>
      <c r="F92" s="3"/>
    </row>
    <row r="93" spans="5:6" x14ac:dyDescent="0.25">
      <c r="E93" s="3"/>
      <c r="F93" s="3"/>
    </row>
    <row r="94" spans="5:6" x14ac:dyDescent="0.25">
      <c r="E94" s="3"/>
      <c r="F94" s="3"/>
    </row>
    <row r="95" spans="5:6" x14ac:dyDescent="0.25">
      <c r="E95" s="3"/>
      <c r="F95" s="3"/>
    </row>
    <row r="96" spans="5:6" x14ac:dyDescent="0.25">
      <c r="E96" s="3"/>
      <c r="F96" s="3"/>
    </row>
    <row r="97" spans="5:6" x14ac:dyDescent="0.25">
      <c r="E97" s="3"/>
      <c r="F97" s="3"/>
    </row>
    <row r="98" spans="5:6" x14ac:dyDescent="0.25">
      <c r="E98" s="3"/>
      <c r="F98" s="3"/>
    </row>
    <row r="99" spans="5:6" x14ac:dyDescent="0.25">
      <c r="E99" s="3"/>
      <c r="F99" s="3"/>
    </row>
    <row r="100" spans="5:6" x14ac:dyDescent="0.25">
      <c r="E100" s="3"/>
      <c r="F100" s="3"/>
    </row>
  </sheetData>
  <mergeCells count="18">
    <mergeCell ref="C39:D39"/>
    <mergeCell ref="A8:B8"/>
    <mergeCell ref="A10:C10"/>
    <mergeCell ref="A11:C11"/>
    <mergeCell ref="C14:D14"/>
    <mergeCell ref="C15:D15"/>
    <mergeCell ref="A23:C23"/>
    <mergeCell ref="A28:B28"/>
    <mergeCell ref="A29:B29"/>
    <mergeCell ref="C33:D33"/>
    <mergeCell ref="C34:D34"/>
    <mergeCell ref="C38:D38"/>
    <mergeCell ref="C6:D6"/>
    <mergeCell ref="A1:B1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BCAC-A7AA-46C5-B283-85397AE996DE}">
  <dimension ref="A1:S95"/>
  <sheetViews>
    <sheetView workbookViewId="0">
      <selection activeCell="A5" sqref="A5:E35"/>
    </sheetView>
  </sheetViews>
  <sheetFormatPr baseColWidth="10" defaultRowHeight="15" x14ac:dyDescent="0.25"/>
  <cols>
    <col min="3" max="3" width="32.28515625" customWidth="1"/>
    <col min="4" max="4" width="17.140625" customWidth="1"/>
    <col min="5" max="5" width="20.85546875" customWidth="1"/>
    <col min="7" max="7" width="18.28515625" customWidth="1"/>
  </cols>
  <sheetData>
    <row r="1" spans="1:19" x14ac:dyDescent="0.25">
      <c r="A1" s="52" t="s">
        <v>81</v>
      </c>
      <c r="B1" s="5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49" t="s">
        <v>82</v>
      </c>
      <c r="B3" s="49"/>
      <c r="C3" s="49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x14ac:dyDescent="0.25">
      <c r="A4" s="26"/>
      <c r="B4" s="26"/>
      <c r="C4" s="26"/>
      <c r="D4" s="26"/>
      <c r="E4" s="26"/>
      <c r="F4" s="26"/>
      <c r="G4" s="26"/>
      <c r="H4" s="48" t="s">
        <v>14</v>
      </c>
      <c r="I4" s="48"/>
      <c r="J4" s="48"/>
      <c r="K4" s="48" t="s">
        <v>7</v>
      </c>
      <c r="L4" s="48"/>
      <c r="M4" s="48"/>
      <c r="N4" s="48" t="s">
        <v>11</v>
      </c>
      <c r="O4" s="48"/>
      <c r="P4" s="48"/>
      <c r="Q4" s="48" t="s">
        <v>6</v>
      </c>
      <c r="R4" s="48"/>
      <c r="S4" s="48"/>
    </row>
    <row r="5" spans="1:19" x14ac:dyDescent="0.25">
      <c r="A5" s="25" t="s">
        <v>1</v>
      </c>
      <c r="B5" s="25" t="s">
        <v>2</v>
      </c>
      <c r="C5" s="25" t="s">
        <v>3</v>
      </c>
      <c r="D5" s="25" t="s">
        <v>4</v>
      </c>
      <c r="E5" s="25" t="s">
        <v>5</v>
      </c>
      <c r="F5" s="26"/>
      <c r="G5" s="26"/>
      <c r="H5" s="48"/>
      <c r="I5" s="48"/>
      <c r="J5" s="48"/>
      <c r="K5" s="25" t="s">
        <v>8</v>
      </c>
      <c r="L5" s="25" t="s">
        <v>9</v>
      </c>
      <c r="M5" s="25" t="s">
        <v>10</v>
      </c>
      <c r="N5" s="25" t="s">
        <v>8</v>
      </c>
      <c r="O5" s="25" t="s">
        <v>9</v>
      </c>
      <c r="P5" s="25" t="s">
        <v>10</v>
      </c>
      <c r="Q5" s="25" t="s">
        <v>8</v>
      </c>
      <c r="R5" s="25" t="s">
        <v>9</v>
      </c>
      <c r="S5" s="25" t="s">
        <v>10</v>
      </c>
    </row>
    <row r="6" spans="1:19" x14ac:dyDescent="0.25">
      <c r="A6" s="4">
        <v>43952</v>
      </c>
      <c r="B6" s="25">
        <v>143501</v>
      </c>
      <c r="C6" s="25"/>
      <c r="D6" s="38">
        <f>24*214000</f>
        <v>5136000</v>
      </c>
      <c r="E6" s="38"/>
      <c r="F6" s="26"/>
      <c r="G6" s="26"/>
      <c r="H6" s="25"/>
      <c r="I6" s="46"/>
      <c r="J6" s="47"/>
      <c r="K6" s="25"/>
      <c r="L6" s="7"/>
      <c r="M6" s="7"/>
      <c r="N6" s="7"/>
      <c r="O6" s="7"/>
      <c r="P6" s="7"/>
      <c r="Q6" s="25">
        <v>15</v>
      </c>
      <c r="R6" s="8">
        <v>208667</v>
      </c>
      <c r="S6" s="8">
        <v>3130000</v>
      </c>
    </row>
    <row r="7" spans="1:19" x14ac:dyDescent="0.25">
      <c r="A7" s="25"/>
      <c r="B7" s="25">
        <v>240801</v>
      </c>
      <c r="C7" s="25"/>
      <c r="D7" s="38">
        <f>D6*19%</f>
        <v>975840</v>
      </c>
      <c r="E7" s="38"/>
      <c r="F7" s="26"/>
      <c r="G7" s="26"/>
      <c r="H7" s="4">
        <v>43875</v>
      </c>
      <c r="I7" s="46" t="s">
        <v>12</v>
      </c>
      <c r="J7" s="47"/>
      <c r="K7" s="25">
        <v>13</v>
      </c>
      <c r="L7" s="7">
        <v>205000</v>
      </c>
      <c r="M7" s="7">
        <f>K7*L7</f>
        <v>2665000</v>
      </c>
      <c r="N7" s="7"/>
      <c r="O7" s="7"/>
      <c r="P7" s="7"/>
      <c r="Q7" s="25">
        <f>Q6+K7</f>
        <v>28</v>
      </c>
      <c r="R7" s="9">
        <f>S7/Q7</f>
        <v>206964.28571428571</v>
      </c>
      <c r="S7" s="9">
        <f>S6+M7</f>
        <v>5795000</v>
      </c>
    </row>
    <row r="8" spans="1:19" x14ac:dyDescent="0.25">
      <c r="A8" s="25"/>
      <c r="B8" s="25">
        <v>236540</v>
      </c>
      <c r="C8" s="25"/>
      <c r="D8" s="38"/>
      <c r="E8" s="38">
        <f>D6*2.5%</f>
        <v>128400</v>
      </c>
      <c r="F8" s="26"/>
      <c r="G8" s="26"/>
      <c r="H8" s="4">
        <v>43881</v>
      </c>
      <c r="I8" s="46" t="s">
        <v>13</v>
      </c>
      <c r="J8" s="47"/>
      <c r="K8" s="25"/>
      <c r="L8" s="7"/>
      <c r="M8" s="7"/>
      <c r="N8" s="7">
        <v>18</v>
      </c>
      <c r="O8" s="7">
        <v>206964</v>
      </c>
      <c r="P8" s="7">
        <f>N8*O8</f>
        <v>3725352</v>
      </c>
      <c r="Q8" s="25">
        <f>Q7-N8</f>
        <v>10</v>
      </c>
      <c r="R8" s="9">
        <v>206964</v>
      </c>
      <c r="S8" s="9">
        <f>S7-P8</f>
        <v>2069648</v>
      </c>
    </row>
    <row r="9" spans="1:19" x14ac:dyDescent="0.25">
      <c r="A9" s="25"/>
      <c r="B9" s="25">
        <v>220505</v>
      </c>
      <c r="C9" s="25"/>
      <c r="D9" s="38"/>
      <c r="E9" s="38">
        <f>D6+D7-E8</f>
        <v>5983440</v>
      </c>
      <c r="F9" s="26"/>
      <c r="G9" s="26"/>
      <c r="H9" s="4">
        <v>43886</v>
      </c>
      <c r="I9" s="46" t="s">
        <v>15</v>
      </c>
      <c r="J9" s="47"/>
      <c r="K9" s="25">
        <v>3</v>
      </c>
      <c r="L9" s="7">
        <v>206965</v>
      </c>
      <c r="M9" s="7">
        <f>L9*K9</f>
        <v>620895</v>
      </c>
      <c r="N9" s="7"/>
      <c r="O9" s="7"/>
      <c r="P9" s="7"/>
      <c r="Q9" s="25">
        <f>Q8-N9</f>
        <v>10</v>
      </c>
      <c r="R9" s="9">
        <v>206964</v>
      </c>
      <c r="S9" s="9">
        <f>S8-P9</f>
        <v>2069648</v>
      </c>
    </row>
    <row r="10" spans="1:19" x14ac:dyDescent="0.25">
      <c r="A10" s="26"/>
      <c r="B10" s="26"/>
      <c r="C10" s="26"/>
      <c r="D10" s="39"/>
      <c r="E10" s="39"/>
      <c r="F10" s="26"/>
      <c r="G10" s="26"/>
      <c r="H10" s="4">
        <v>43895</v>
      </c>
      <c r="I10" s="46" t="s">
        <v>13</v>
      </c>
      <c r="J10" s="47"/>
      <c r="K10" s="25"/>
      <c r="L10" s="7"/>
      <c r="M10" s="7"/>
      <c r="N10" s="7">
        <v>5</v>
      </c>
      <c r="O10" s="7">
        <v>206964</v>
      </c>
      <c r="P10" s="7">
        <f>O10*N10</f>
        <v>1034820</v>
      </c>
      <c r="Q10" s="25">
        <v>5</v>
      </c>
      <c r="R10" s="9">
        <f t="shared" ref="R10:R15" si="0">S10/Q10</f>
        <v>206965.6</v>
      </c>
      <c r="S10" s="9">
        <f>S9-P10</f>
        <v>1034828</v>
      </c>
    </row>
    <row r="11" spans="1:19" x14ac:dyDescent="0.25">
      <c r="A11" s="4">
        <v>43986</v>
      </c>
      <c r="B11" s="25">
        <v>413501</v>
      </c>
      <c r="C11" s="25"/>
      <c r="D11" s="38"/>
      <c r="E11" s="38">
        <f>18*400000</f>
        <v>7200000</v>
      </c>
      <c r="F11" s="26"/>
      <c r="G11" s="26"/>
      <c r="H11" s="4">
        <v>43922</v>
      </c>
      <c r="I11" s="46" t="s">
        <v>12</v>
      </c>
      <c r="J11" s="47"/>
      <c r="K11" s="25">
        <v>10</v>
      </c>
      <c r="L11" s="7">
        <v>215000</v>
      </c>
      <c r="M11" s="7">
        <f>L11*K11</f>
        <v>2150000</v>
      </c>
      <c r="N11" s="7"/>
      <c r="O11" s="7"/>
      <c r="P11" s="7"/>
      <c r="Q11" s="25">
        <v>15</v>
      </c>
      <c r="R11" s="9">
        <f t="shared" si="0"/>
        <v>212321.86666666667</v>
      </c>
      <c r="S11" s="9">
        <f>S10+M11</f>
        <v>3184828</v>
      </c>
    </row>
    <row r="12" spans="1:19" x14ac:dyDescent="0.25">
      <c r="A12" s="25"/>
      <c r="B12" s="25">
        <v>240802</v>
      </c>
      <c r="C12" s="25"/>
      <c r="D12" s="38"/>
      <c r="E12" s="38">
        <f>E11*19%</f>
        <v>1368000</v>
      </c>
      <c r="F12" s="26"/>
      <c r="G12" s="26"/>
      <c r="H12" s="4">
        <v>43926</v>
      </c>
      <c r="I12" s="46" t="s">
        <v>13</v>
      </c>
      <c r="J12" s="47"/>
      <c r="K12" s="25"/>
      <c r="L12" s="7"/>
      <c r="M12" s="7"/>
      <c r="N12" s="7">
        <v>8</v>
      </c>
      <c r="O12" s="7">
        <v>212322</v>
      </c>
      <c r="P12" s="7">
        <f>N12*O12</f>
        <v>1698576</v>
      </c>
      <c r="Q12" s="9">
        <f>Q11-N12</f>
        <v>7</v>
      </c>
      <c r="R12" s="7">
        <f t="shared" si="0"/>
        <v>212321.71428571429</v>
      </c>
      <c r="S12" s="9">
        <f>S11-P12</f>
        <v>1486252</v>
      </c>
    </row>
    <row r="13" spans="1:19" x14ac:dyDescent="0.25">
      <c r="A13" s="25"/>
      <c r="B13" s="25">
        <v>135515</v>
      </c>
      <c r="C13" s="25"/>
      <c r="D13" s="38">
        <f>E11*2.5%</f>
        <v>180000</v>
      </c>
      <c r="E13" s="38"/>
      <c r="F13" s="26"/>
      <c r="G13" s="26"/>
      <c r="H13" s="4">
        <v>43941</v>
      </c>
      <c r="I13" s="46" t="s">
        <v>12</v>
      </c>
      <c r="J13" s="47"/>
      <c r="K13" s="25">
        <v>30</v>
      </c>
      <c r="L13" s="7"/>
      <c r="M13" s="7">
        <v>6579000</v>
      </c>
      <c r="N13" s="7"/>
      <c r="O13" s="7"/>
      <c r="P13" s="7"/>
      <c r="Q13" s="9">
        <f>Q12+K13</f>
        <v>37</v>
      </c>
      <c r="R13" s="37">
        <f t="shared" si="0"/>
        <v>217979.78378378379</v>
      </c>
      <c r="S13" s="9">
        <f>S12+M13</f>
        <v>8065252</v>
      </c>
    </row>
    <row r="14" spans="1:19" x14ac:dyDescent="0.25">
      <c r="A14" s="25"/>
      <c r="B14" s="25">
        <v>130505</v>
      </c>
      <c r="C14" s="25"/>
      <c r="D14" s="38">
        <f>E11+E12-D13</f>
        <v>8388000</v>
      </c>
      <c r="E14" s="38"/>
      <c r="F14" s="26"/>
      <c r="G14" s="26"/>
      <c r="H14" s="4">
        <v>43983</v>
      </c>
      <c r="I14" s="46" t="s">
        <v>12</v>
      </c>
      <c r="J14" s="47"/>
      <c r="K14" s="25">
        <v>24</v>
      </c>
      <c r="L14" s="7">
        <v>214000</v>
      </c>
      <c r="M14" s="7">
        <f>K14*L14</f>
        <v>5136000</v>
      </c>
      <c r="N14" s="7"/>
      <c r="O14" s="7"/>
      <c r="P14" s="7"/>
      <c r="Q14" s="9">
        <f>Q13+K14</f>
        <v>61</v>
      </c>
      <c r="R14" s="37">
        <f t="shared" si="0"/>
        <v>216413.96721311475</v>
      </c>
      <c r="S14" s="9">
        <f>S13+M14</f>
        <v>13201252</v>
      </c>
    </row>
    <row r="15" spans="1:19" x14ac:dyDescent="0.25">
      <c r="A15" s="25"/>
      <c r="B15" s="25"/>
      <c r="C15" s="25"/>
      <c r="D15" s="38"/>
      <c r="E15" s="38"/>
      <c r="F15" s="26"/>
      <c r="G15" s="26"/>
      <c r="H15" s="4">
        <v>43986</v>
      </c>
      <c r="I15" s="46" t="s">
        <v>13</v>
      </c>
      <c r="J15" s="47"/>
      <c r="K15" s="25"/>
      <c r="L15" s="7"/>
      <c r="M15" s="7"/>
      <c r="N15" s="7">
        <v>18</v>
      </c>
      <c r="O15" s="7">
        <v>216414</v>
      </c>
      <c r="P15" s="7">
        <f>N15*O15</f>
        <v>3895452</v>
      </c>
      <c r="Q15" s="9">
        <f>Q14-N15</f>
        <v>43</v>
      </c>
      <c r="R15" s="37">
        <f t="shared" si="0"/>
        <v>216413.95348837209</v>
      </c>
      <c r="S15" s="9">
        <f>S14-P15</f>
        <v>9305800</v>
      </c>
    </row>
    <row r="16" spans="1:19" x14ac:dyDescent="0.25">
      <c r="A16" s="25"/>
      <c r="B16" s="25">
        <v>613505</v>
      </c>
      <c r="C16" s="25"/>
      <c r="D16" s="38">
        <f>P15</f>
        <v>3895452</v>
      </c>
      <c r="E16" s="3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 x14ac:dyDescent="0.25">
      <c r="A17" s="25"/>
      <c r="B17" s="25">
        <v>143501</v>
      </c>
      <c r="C17" s="25"/>
      <c r="D17" s="38"/>
      <c r="E17" s="38">
        <f>D16</f>
        <v>3895452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x14ac:dyDescent="0.25">
      <c r="A18" s="26"/>
      <c r="B18" s="26"/>
      <c r="C18" s="26"/>
      <c r="D18" s="39"/>
      <c r="E18" s="39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4">
        <v>43987</v>
      </c>
      <c r="B19" s="21">
        <v>427505</v>
      </c>
      <c r="C19" s="25"/>
      <c r="D19" s="38">
        <f>5*400000</f>
        <v>2000000</v>
      </c>
      <c r="E19" s="38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 x14ac:dyDescent="0.25">
      <c r="A20" s="25"/>
      <c r="B20" s="21">
        <v>240802</v>
      </c>
      <c r="C20" s="25"/>
      <c r="D20" s="38">
        <f>D19*19%</f>
        <v>380000</v>
      </c>
      <c r="E20" s="38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5"/>
      <c r="B21" s="21">
        <v>135515</v>
      </c>
      <c r="C21" s="25"/>
      <c r="D21" s="38"/>
      <c r="E21" s="38">
        <f>D19*2.5%</f>
        <v>50000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x14ac:dyDescent="0.25">
      <c r="A22" s="25"/>
      <c r="B22" s="21">
        <v>130505</v>
      </c>
      <c r="C22" s="25"/>
      <c r="D22" s="38"/>
      <c r="E22" s="38">
        <f>D19+D20-E21</f>
        <v>2330000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6"/>
      <c r="B23" s="26"/>
      <c r="C23" s="26"/>
      <c r="D23" s="39"/>
      <c r="E23" s="39"/>
      <c r="F23" s="26"/>
      <c r="G23" s="26"/>
      <c r="H23" s="26"/>
      <c r="I23" s="39">
        <f>J32</f>
        <v>105.72799999999999</v>
      </c>
      <c r="J23" s="39">
        <f>I23*G25</f>
        <v>386435.83999999997</v>
      </c>
      <c r="K23" s="39"/>
      <c r="L23" s="39"/>
      <c r="M23" s="26"/>
      <c r="N23" s="26"/>
      <c r="O23" s="26"/>
      <c r="P23" s="26"/>
      <c r="Q23" s="26"/>
      <c r="R23" s="26"/>
      <c r="S23" s="26"/>
    </row>
    <row r="24" spans="1:19" x14ac:dyDescent="0.25">
      <c r="A24" s="26"/>
      <c r="B24" s="26"/>
      <c r="C24" s="26"/>
      <c r="D24" s="39"/>
      <c r="E24" s="39"/>
      <c r="F24" s="26"/>
      <c r="G24" s="26"/>
      <c r="H24" s="26"/>
      <c r="I24" s="39"/>
      <c r="J24" s="39">
        <f>J23-D26</f>
        <v>193746.83999999997</v>
      </c>
      <c r="K24" s="39"/>
      <c r="L24" s="39"/>
      <c r="M24" s="26"/>
      <c r="N24" s="26"/>
      <c r="O24" s="26"/>
      <c r="P24" s="26"/>
      <c r="Q24" s="26"/>
      <c r="R24" s="26"/>
      <c r="S24" s="26"/>
    </row>
    <row r="25" spans="1:19" x14ac:dyDescent="0.25">
      <c r="A25" s="4">
        <v>43997</v>
      </c>
      <c r="B25" s="25">
        <v>211005</v>
      </c>
      <c r="C25" s="25"/>
      <c r="D25" s="38">
        <f>K32*3655</f>
        <v>5366534.16</v>
      </c>
      <c r="E25" s="38"/>
      <c r="F25" s="26" t="s">
        <v>83</v>
      </c>
      <c r="G25" s="39">
        <v>3655</v>
      </c>
      <c r="H25" s="26"/>
      <c r="I25" s="39"/>
      <c r="J25" s="39"/>
      <c r="K25" s="39"/>
      <c r="L25" s="39"/>
      <c r="M25" s="26"/>
      <c r="N25" s="26"/>
      <c r="O25" s="26"/>
      <c r="P25" s="26"/>
      <c r="Q25" s="26"/>
      <c r="R25" s="26"/>
      <c r="S25" s="26"/>
    </row>
    <row r="26" spans="1:19" x14ac:dyDescent="0.25">
      <c r="A26" s="25"/>
      <c r="B26" s="25">
        <v>230520</v>
      </c>
      <c r="C26" s="25"/>
      <c r="D26" s="38">
        <v>192689</v>
      </c>
      <c r="E26" s="38"/>
      <c r="F26" s="26"/>
      <c r="G26" s="39"/>
      <c r="H26" s="26"/>
      <c r="I26" s="39"/>
      <c r="J26" s="39"/>
      <c r="K26" s="39"/>
      <c r="L26" s="39"/>
      <c r="M26" s="26"/>
      <c r="N26" s="26"/>
      <c r="O26" s="26"/>
      <c r="P26" s="26"/>
      <c r="Q26" s="26"/>
      <c r="R26" s="26"/>
      <c r="S26" s="26"/>
    </row>
    <row r="27" spans="1:19" x14ac:dyDescent="0.25">
      <c r="A27" s="25"/>
      <c r="B27" s="25">
        <v>530520</v>
      </c>
      <c r="C27" s="25"/>
      <c r="D27" s="38">
        <f>(J32*G25)-D26</f>
        <v>193746.83999999997</v>
      </c>
      <c r="E27" s="38"/>
      <c r="F27" s="26"/>
      <c r="G27" s="39"/>
      <c r="H27" s="49" t="s">
        <v>51</v>
      </c>
      <c r="I27" s="49"/>
      <c r="J27" s="49"/>
      <c r="K27" s="49"/>
      <c r="L27" s="26"/>
      <c r="M27" s="26"/>
      <c r="N27" s="26"/>
      <c r="O27" s="26"/>
      <c r="P27" s="26"/>
      <c r="Q27" s="26"/>
      <c r="R27" s="26"/>
      <c r="S27" s="26"/>
    </row>
    <row r="28" spans="1:19" x14ac:dyDescent="0.25">
      <c r="A28" s="25"/>
      <c r="B28" s="25">
        <v>111005</v>
      </c>
      <c r="C28" s="25"/>
      <c r="D28" s="38"/>
      <c r="E28" s="38">
        <f>D25+D26+D27</f>
        <v>5752970</v>
      </c>
      <c r="F28" s="26"/>
      <c r="G28" s="39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6"/>
      <c r="B29" s="26"/>
      <c r="C29" s="26"/>
      <c r="D29" s="39"/>
      <c r="E29" s="39"/>
      <c r="F29" s="26"/>
      <c r="G29" s="39"/>
      <c r="H29" s="25" t="s">
        <v>35</v>
      </c>
      <c r="I29" s="25" t="s">
        <v>36</v>
      </c>
      <c r="J29" s="25" t="s">
        <v>52</v>
      </c>
      <c r="K29" s="21" t="s">
        <v>38</v>
      </c>
      <c r="L29" s="21" t="s">
        <v>54</v>
      </c>
      <c r="M29" s="26"/>
      <c r="N29" s="26"/>
      <c r="O29" s="26"/>
      <c r="P29" s="26"/>
      <c r="Q29" s="26"/>
      <c r="R29" s="26"/>
      <c r="S29" s="26"/>
    </row>
    <row r="30" spans="1:19" x14ac:dyDescent="0.25">
      <c r="A30" s="4">
        <v>44002</v>
      </c>
      <c r="B30" s="25">
        <v>143501</v>
      </c>
      <c r="C30" s="25"/>
      <c r="D30" s="38">
        <f>G32</f>
        <v>5321500</v>
      </c>
      <c r="E30" s="38"/>
      <c r="F30" s="26" t="s">
        <v>83</v>
      </c>
      <c r="G30" s="39">
        <v>3670</v>
      </c>
      <c r="H30" s="25">
        <v>0</v>
      </c>
      <c r="I30" s="25"/>
      <c r="J30" s="5"/>
      <c r="K30" s="5"/>
      <c r="L30" s="5">
        <v>9000</v>
      </c>
      <c r="M30" s="26"/>
      <c r="N30" s="26"/>
      <c r="O30" s="26"/>
      <c r="P30" s="26"/>
      <c r="Q30" s="26"/>
      <c r="R30" s="26"/>
      <c r="S30" s="26"/>
    </row>
    <row r="31" spans="1:19" x14ac:dyDescent="0.25">
      <c r="A31" s="25"/>
      <c r="B31" s="25">
        <v>240801</v>
      </c>
      <c r="C31" s="25"/>
      <c r="D31" s="38">
        <f>D30*19%</f>
        <v>1011085</v>
      </c>
      <c r="E31" s="38"/>
      <c r="F31" s="26" t="s">
        <v>84</v>
      </c>
      <c r="G31" s="39">
        <f>G30*58</f>
        <v>212860</v>
      </c>
      <c r="H31" s="25">
        <f>H30+1</f>
        <v>1</v>
      </c>
      <c r="I31" s="25">
        <v>1574</v>
      </c>
      <c r="J31" s="5">
        <f>L30*1.4%</f>
        <v>125.99999999999999</v>
      </c>
      <c r="K31" s="5">
        <f>I31-J31</f>
        <v>1448</v>
      </c>
      <c r="L31" s="5">
        <f>L30-K31</f>
        <v>7552</v>
      </c>
      <c r="M31" s="26"/>
      <c r="N31" s="26"/>
      <c r="O31" s="26"/>
      <c r="P31" s="26"/>
      <c r="Q31" s="26"/>
      <c r="R31" s="26"/>
      <c r="S31" s="26"/>
    </row>
    <row r="32" spans="1:19" x14ac:dyDescent="0.25">
      <c r="A32" s="25"/>
      <c r="B32" s="25">
        <v>514020</v>
      </c>
      <c r="C32" s="25"/>
      <c r="D32" s="38">
        <v>500000</v>
      </c>
      <c r="E32" s="38"/>
      <c r="F32" s="26" t="s">
        <v>85</v>
      </c>
      <c r="G32" s="39">
        <f>G31*25</f>
        <v>5321500</v>
      </c>
      <c r="H32" s="25">
        <f t="shared" ref="H32:H36" si="1">H31+1</f>
        <v>2</v>
      </c>
      <c r="I32" s="25">
        <v>1574</v>
      </c>
      <c r="J32" s="5">
        <f t="shared" ref="J32:J36" si="2">L31*1.4%</f>
        <v>105.72799999999999</v>
      </c>
      <c r="K32" s="5">
        <f t="shared" ref="K32:K36" si="3">I32-J32</f>
        <v>1468.2719999999999</v>
      </c>
      <c r="L32" s="5">
        <f t="shared" ref="L32:L36" si="4">L31-K32</f>
        <v>6083.7280000000001</v>
      </c>
      <c r="M32" s="26"/>
      <c r="N32" s="26"/>
      <c r="O32" s="26"/>
      <c r="P32" s="26"/>
      <c r="Q32" s="26"/>
      <c r="R32" s="26"/>
      <c r="S32" s="26"/>
    </row>
    <row r="33" spans="1:19" x14ac:dyDescent="0.25">
      <c r="A33" s="25"/>
      <c r="B33" s="25">
        <v>111005</v>
      </c>
      <c r="C33" s="25"/>
      <c r="D33" s="38"/>
      <c r="E33" s="38">
        <f>D31+D32</f>
        <v>1511085</v>
      </c>
      <c r="F33" s="26"/>
      <c r="G33" s="39"/>
      <c r="H33" s="25">
        <f t="shared" si="1"/>
        <v>3</v>
      </c>
      <c r="I33" s="25">
        <v>1574</v>
      </c>
      <c r="J33" s="5">
        <f t="shared" si="2"/>
        <v>85.172191999999995</v>
      </c>
      <c r="K33" s="5">
        <f t="shared" si="3"/>
        <v>1488.827808</v>
      </c>
      <c r="L33" s="5">
        <f t="shared" si="4"/>
        <v>4594.9001920000001</v>
      </c>
      <c r="M33" s="26"/>
      <c r="N33" s="26"/>
      <c r="O33" s="26"/>
      <c r="P33" s="26"/>
      <c r="Q33" s="26"/>
      <c r="R33" s="26"/>
      <c r="S33" s="26"/>
    </row>
    <row r="34" spans="1:19" x14ac:dyDescent="0.25">
      <c r="A34" s="25"/>
      <c r="B34" s="25">
        <v>221005</v>
      </c>
      <c r="C34" s="25"/>
      <c r="D34" s="38"/>
      <c r="E34" s="38">
        <f>D30</f>
        <v>5321500</v>
      </c>
      <c r="F34" s="26"/>
      <c r="G34" s="39"/>
      <c r="H34" s="25">
        <f t="shared" si="1"/>
        <v>4</v>
      </c>
      <c r="I34" s="25">
        <v>1574</v>
      </c>
      <c r="J34" s="5">
        <f t="shared" si="2"/>
        <v>64.328602687999989</v>
      </c>
      <c r="K34" s="5">
        <f t="shared" si="3"/>
        <v>1509.671397312</v>
      </c>
      <c r="L34" s="5">
        <f t="shared" si="4"/>
        <v>3085.2287946880001</v>
      </c>
      <c r="M34" s="26"/>
      <c r="N34" s="26"/>
      <c r="O34" s="26"/>
      <c r="P34" s="26"/>
      <c r="Q34" s="26"/>
      <c r="R34" s="26"/>
      <c r="S34" s="26"/>
    </row>
    <row r="35" spans="1:19" x14ac:dyDescent="0.25">
      <c r="A35" s="25"/>
      <c r="B35" s="25"/>
      <c r="C35" s="25" t="s">
        <v>86</v>
      </c>
      <c r="D35" s="38">
        <f>SUM(D30:D34)</f>
        <v>6832585</v>
      </c>
      <c r="E35" s="38">
        <f>SUM(E33:E34)</f>
        <v>6832585</v>
      </c>
      <c r="F35" s="26"/>
      <c r="G35" s="39"/>
      <c r="H35" s="25">
        <f t="shared" si="1"/>
        <v>5</v>
      </c>
      <c r="I35" s="25">
        <v>1574</v>
      </c>
      <c r="J35" s="5">
        <f t="shared" si="2"/>
        <v>43.193203125631996</v>
      </c>
      <c r="K35" s="5">
        <f t="shared" si="3"/>
        <v>1530.806796874368</v>
      </c>
      <c r="L35" s="5">
        <f t="shared" si="4"/>
        <v>1554.4219978136321</v>
      </c>
      <c r="M35" s="26"/>
      <c r="N35" s="26"/>
      <c r="O35" s="26"/>
      <c r="P35" s="26"/>
      <c r="Q35" s="26"/>
      <c r="R35" s="26"/>
      <c r="S35" s="26"/>
    </row>
    <row r="36" spans="1:19" x14ac:dyDescent="0.25">
      <c r="A36" s="26"/>
      <c r="B36" s="26"/>
      <c r="C36" s="26"/>
      <c r="D36" s="39"/>
      <c r="E36" s="39"/>
      <c r="F36" s="26"/>
      <c r="G36" s="26"/>
      <c r="H36" s="25">
        <f t="shared" si="1"/>
        <v>6</v>
      </c>
      <c r="I36" s="25">
        <v>1574</v>
      </c>
      <c r="J36" s="5">
        <f t="shared" si="2"/>
        <v>21.761907969390847</v>
      </c>
      <c r="K36" s="5">
        <f t="shared" si="3"/>
        <v>1552.2380920306091</v>
      </c>
      <c r="L36" s="5">
        <f t="shared" si="4"/>
        <v>2.1839057830229649</v>
      </c>
      <c r="M36" s="26"/>
      <c r="N36" s="26"/>
      <c r="O36" s="26"/>
      <c r="P36" s="26"/>
      <c r="Q36" s="26"/>
      <c r="R36" s="26"/>
      <c r="S36" s="26"/>
    </row>
    <row r="37" spans="1:19" x14ac:dyDescent="0.25">
      <c r="A37" s="26"/>
      <c r="B37" s="26"/>
      <c r="C37" s="26"/>
      <c r="D37" s="39"/>
      <c r="E37" s="39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 x14ac:dyDescent="0.25">
      <c r="A38" s="52" t="s">
        <v>71</v>
      </c>
      <c r="B38" s="52"/>
      <c r="C38" s="26"/>
      <c r="D38" s="39"/>
      <c r="E38" s="39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26"/>
      <c r="B39" s="26"/>
      <c r="C39" s="26"/>
      <c r="D39" s="39"/>
      <c r="E39" s="39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 x14ac:dyDescent="0.25">
      <c r="A40" s="49" t="s">
        <v>87</v>
      </c>
      <c r="B40" s="49"/>
      <c r="C40" s="39">
        <v>3645</v>
      </c>
      <c r="D40" s="39"/>
      <c r="E40" s="39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 x14ac:dyDescent="0.25">
      <c r="A41" s="49" t="s">
        <v>88</v>
      </c>
      <c r="B41" s="49"/>
      <c r="C41" s="39">
        <v>3660</v>
      </c>
      <c r="D41" s="39"/>
      <c r="E41" s="39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 x14ac:dyDescent="0.25">
      <c r="A42" s="26"/>
      <c r="B42" s="26"/>
      <c r="C42" s="39">
        <f>C40-C41</f>
        <v>-15</v>
      </c>
      <c r="D42" s="39"/>
      <c r="E42" s="39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 x14ac:dyDescent="0.25">
      <c r="A43" s="26"/>
      <c r="B43" s="26"/>
      <c r="C43" s="39"/>
      <c r="D43" s="39"/>
      <c r="E43" s="39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 x14ac:dyDescent="0.25">
      <c r="A44" s="4">
        <v>44012</v>
      </c>
      <c r="B44" s="25">
        <v>530530</v>
      </c>
      <c r="C44" s="38" t="s">
        <v>89</v>
      </c>
      <c r="D44" s="38">
        <f>9000*15</f>
        <v>135000</v>
      </c>
      <c r="E44" s="38"/>
      <c r="F44" s="26"/>
      <c r="G44" s="26" t="s">
        <v>90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 x14ac:dyDescent="0.25">
      <c r="A45" s="25"/>
      <c r="B45" s="25">
        <v>211005</v>
      </c>
      <c r="C45" s="38" t="s">
        <v>70</v>
      </c>
      <c r="D45" s="38"/>
      <c r="E45" s="38">
        <f>9000*15</f>
        <v>135000</v>
      </c>
      <c r="F45" s="26"/>
      <c r="G45" s="39">
        <v>1450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 x14ac:dyDescent="0.25">
      <c r="A46" s="27"/>
      <c r="B46" s="27"/>
      <c r="C46" s="40"/>
      <c r="D46" s="40"/>
      <c r="E46" s="40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5"/>
      <c r="B47" s="25">
        <v>530530</v>
      </c>
      <c r="C47" s="38" t="s">
        <v>91</v>
      </c>
      <c r="D47" s="38">
        <f>1450*15</f>
        <v>21750</v>
      </c>
      <c r="E47" s="38"/>
      <c r="F47" s="26"/>
      <c r="G47" s="26"/>
      <c r="H47" s="26"/>
      <c r="I47" s="26"/>
      <c r="J47" s="26">
        <f>4.2*15</f>
        <v>63</v>
      </c>
      <c r="K47" s="26"/>
      <c r="L47" s="26"/>
      <c r="M47" s="26"/>
      <c r="N47" s="26"/>
      <c r="O47" s="26"/>
      <c r="P47" s="26"/>
      <c r="Q47" s="26"/>
      <c r="R47" s="26"/>
      <c r="S47" s="26"/>
    </row>
    <row r="48" spans="1:19" x14ac:dyDescent="0.25">
      <c r="A48" s="25"/>
      <c r="B48" s="25">
        <v>221005</v>
      </c>
      <c r="C48" s="38" t="s">
        <v>70</v>
      </c>
      <c r="D48" s="38"/>
      <c r="E48" s="38">
        <f>D47</f>
        <v>21750</v>
      </c>
      <c r="F48" s="26"/>
      <c r="G48" s="26" t="s">
        <v>39</v>
      </c>
      <c r="H48" s="39">
        <v>85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/>
      <c r="B49" s="27"/>
      <c r="C49" s="26"/>
      <c r="D49" s="39"/>
      <c r="E49" s="39"/>
      <c r="F49" s="26"/>
      <c r="G49" s="26" t="s">
        <v>92</v>
      </c>
      <c r="H49" s="39">
        <f>H48/30</f>
        <v>2.8333333333333335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 x14ac:dyDescent="0.25">
      <c r="A50" s="26" t="s">
        <v>93</v>
      </c>
      <c r="B50" s="26"/>
      <c r="C50" s="26"/>
      <c r="D50" s="39"/>
      <c r="E50" s="39"/>
      <c r="F50" s="26"/>
      <c r="G50" s="26" t="s">
        <v>94</v>
      </c>
      <c r="H50" s="39">
        <f>H49*15</f>
        <v>42.5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4">
        <v>44012</v>
      </c>
      <c r="B51" s="25">
        <v>530520</v>
      </c>
      <c r="C51" s="25"/>
      <c r="D51" s="38">
        <f>H50*H52</f>
        <v>155550</v>
      </c>
      <c r="E51" s="38"/>
      <c r="F51" s="26"/>
      <c r="G51" s="26"/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 x14ac:dyDescent="0.25">
      <c r="A52" s="25"/>
      <c r="B52" s="25">
        <v>230505</v>
      </c>
      <c r="C52" s="25"/>
      <c r="D52" s="38"/>
      <c r="E52" s="38">
        <f>D51</f>
        <v>155550</v>
      </c>
      <c r="F52" s="26"/>
      <c r="G52" s="26" t="s">
        <v>95</v>
      </c>
      <c r="H52" s="39">
        <v>3660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6"/>
      <c r="B53" s="26"/>
      <c r="C53" s="26"/>
      <c r="D53" s="39"/>
      <c r="E53" s="39"/>
      <c r="F53" s="26"/>
      <c r="G53" s="26"/>
      <c r="H53" s="39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 x14ac:dyDescent="0.25">
      <c r="A54" s="26" t="s">
        <v>96</v>
      </c>
      <c r="B54" s="26"/>
      <c r="C54" s="26"/>
      <c r="D54" s="39"/>
      <c r="E54" s="39"/>
      <c r="F54" s="26"/>
      <c r="G54" s="26"/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6"/>
      <c r="B55" s="26"/>
      <c r="C55" s="26"/>
      <c r="D55" s="39"/>
      <c r="E55" s="39"/>
      <c r="F55" s="26"/>
      <c r="G55" s="26" t="s">
        <v>97</v>
      </c>
      <c r="H55" s="39">
        <v>173355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 x14ac:dyDescent="0.25">
      <c r="A56" s="4">
        <v>44012</v>
      </c>
      <c r="B56" s="25">
        <v>530520</v>
      </c>
      <c r="C56" s="25"/>
      <c r="D56" s="38">
        <f>H57</f>
        <v>115570</v>
      </c>
      <c r="E56" s="38"/>
      <c r="F56" s="26"/>
      <c r="G56" s="26" t="s">
        <v>92</v>
      </c>
      <c r="H56" s="39">
        <f>H55/30</f>
        <v>5778.5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25"/>
      <c r="B57" s="25">
        <v>230505</v>
      </c>
      <c r="C57" s="25"/>
      <c r="D57" s="38"/>
      <c r="E57" s="38">
        <f>D56</f>
        <v>115570</v>
      </c>
      <c r="F57" s="26"/>
      <c r="G57" s="26" t="s">
        <v>98</v>
      </c>
      <c r="H57" s="39">
        <f>H56*20</f>
        <v>115570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 x14ac:dyDescent="0.25">
      <c r="A58" s="26"/>
      <c r="B58" s="26"/>
      <c r="C58" s="26"/>
      <c r="D58" s="39"/>
      <c r="E58" s="39"/>
      <c r="F58" s="26"/>
      <c r="G58" s="26"/>
      <c r="H58" s="39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 x14ac:dyDescent="0.25">
      <c r="A59" s="26"/>
      <c r="B59" s="26"/>
      <c r="C59" s="26"/>
      <c r="D59" s="39"/>
      <c r="E59" s="39"/>
      <c r="F59" s="26"/>
      <c r="G59" s="26"/>
      <c r="H59" s="39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 x14ac:dyDescent="0.25">
      <c r="A60" s="49" t="s">
        <v>62</v>
      </c>
      <c r="B60" s="49"/>
      <c r="C60" s="49"/>
      <c r="D60" s="39"/>
      <c r="E60" s="39"/>
      <c r="F60" s="26"/>
      <c r="G60" s="26"/>
      <c r="H60" s="39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 x14ac:dyDescent="0.25">
      <c r="A61" s="26"/>
      <c r="B61" s="26"/>
      <c r="C61" s="26"/>
      <c r="D61" s="39"/>
      <c r="E61" s="39"/>
      <c r="F61" s="26"/>
      <c r="G61" s="26"/>
      <c r="H61" s="39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 x14ac:dyDescent="0.25">
      <c r="A62" s="26" t="s">
        <v>2</v>
      </c>
      <c r="B62" s="49" t="s">
        <v>3</v>
      </c>
      <c r="C62" s="49"/>
      <c r="D62" s="39" t="s">
        <v>4</v>
      </c>
      <c r="E62" s="39" t="s">
        <v>5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 x14ac:dyDescent="0.25">
      <c r="A63" s="25">
        <v>1105</v>
      </c>
      <c r="B63" s="54"/>
      <c r="C63" s="55"/>
      <c r="D63" s="3">
        <f>'ABRIL '!D53</f>
        <v>10455800</v>
      </c>
      <c r="E63" s="3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9" x14ac:dyDescent="0.25">
      <c r="A64" s="25">
        <v>1110</v>
      </c>
      <c r="B64" s="54"/>
      <c r="C64" s="55"/>
      <c r="D64" s="3"/>
      <c r="E64" s="3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x14ac:dyDescent="0.25">
      <c r="A65" s="25">
        <v>1305</v>
      </c>
      <c r="B65" s="54"/>
      <c r="C65" s="55"/>
      <c r="D65" s="3"/>
      <c r="E65" s="3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25">
      <c r="A66" s="25">
        <v>1355</v>
      </c>
      <c r="B66" s="54"/>
      <c r="C66" s="55"/>
      <c r="D66" s="3"/>
      <c r="E66" s="3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25">
      <c r="A67" s="25">
        <v>1435</v>
      </c>
      <c r="B67" s="54"/>
      <c r="C67" s="55"/>
      <c r="D67" s="3"/>
      <c r="E67" s="3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x14ac:dyDescent="0.25">
      <c r="A68" s="25">
        <v>1524</v>
      </c>
      <c r="B68" s="53"/>
      <c r="C68" s="49"/>
      <c r="D68" s="3"/>
      <c r="E68" s="3"/>
    </row>
    <row r="69" spans="1:16" x14ac:dyDescent="0.25">
      <c r="A69" s="25">
        <v>1528</v>
      </c>
      <c r="B69" s="53"/>
      <c r="C69" s="49"/>
      <c r="D69" s="3"/>
      <c r="E69" s="3"/>
    </row>
    <row r="70" spans="1:16" x14ac:dyDescent="0.25">
      <c r="A70" s="25">
        <v>2105</v>
      </c>
      <c r="B70" s="53"/>
      <c r="C70" s="49"/>
      <c r="D70" s="3"/>
      <c r="E70" s="3"/>
    </row>
    <row r="71" spans="1:16" x14ac:dyDescent="0.25">
      <c r="A71" s="25">
        <v>2110</v>
      </c>
      <c r="B71" s="53"/>
      <c r="C71" s="49"/>
      <c r="D71" s="3"/>
      <c r="E71" s="3"/>
    </row>
    <row r="72" spans="1:16" x14ac:dyDescent="0.25">
      <c r="A72" s="25">
        <v>2205</v>
      </c>
      <c r="B72" s="53"/>
      <c r="C72" s="49"/>
      <c r="D72" s="3"/>
      <c r="E72" s="3"/>
    </row>
    <row r="73" spans="1:16" x14ac:dyDescent="0.25">
      <c r="A73" s="25">
        <v>2210</v>
      </c>
      <c r="B73" s="53"/>
      <c r="C73" s="49"/>
      <c r="D73" s="3"/>
      <c r="E73" s="3"/>
    </row>
    <row r="74" spans="1:16" x14ac:dyDescent="0.25">
      <c r="A74" s="25">
        <v>2305</v>
      </c>
      <c r="B74" s="53"/>
      <c r="C74" s="49"/>
      <c r="D74" s="3"/>
      <c r="E74" s="3"/>
    </row>
    <row r="75" spans="1:16" x14ac:dyDescent="0.25">
      <c r="A75" s="25">
        <v>2365</v>
      </c>
      <c r="B75" s="53"/>
      <c r="C75" s="49"/>
      <c r="D75" s="3"/>
      <c r="E75" s="3"/>
    </row>
    <row r="76" spans="1:16" x14ac:dyDescent="0.25">
      <c r="A76" s="25">
        <v>2408</v>
      </c>
      <c r="B76" s="53"/>
      <c r="C76" s="49"/>
      <c r="D76" s="3"/>
      <c r="E76" s="3"/>
    </row>
    <row r="77" spans="1:16" x14ac:dyDescent="0.25">
      <c r="A77" s="25">
        <v>3115</v>
      </c>
      <c r="B77" s="53"/>
      <c r="C77" s="49"/>
      <c r="D77" s="3"/>
      <c r="E77" s="3"/>
    </row>
    <row r="78" spans="1:16" x14ac:dyDescent="0.25">
      <c r="A78" s="25">
        <v>4135</v>
      </c>
      <c r="B78" s="53"/>
      <c r="C78" s="49"/>
      <c r="D78" s="3"/>
      <c r="E78" s="3"/>
    </row>
    <row r="79" spans="1:16" x14ac:dyDescent="0.25">
      <c r="A79" s="25">
        <v>4210</v>
      </c>
      <c r="B79" s="53"/>
      <c r="C79" s="49"/>
      <c r="D79" s="3"/>
      <c r="E79" s="3"/>
    </row>
    <row r="80" spans="1:16" x14ac:dyDescent="0.25">
      <c r="A80" s="25">
        <v>4275</v>
      </c>
      <c r="B80" s="53"/>
      <c r="C80" s="49"/>
      <c r="D80" s="3"/>
      <c r="E80" s="3"/>
    </row>
    <row r="81" spans="1:5" x14ac:dyDescent="0.25">
      <c r="A81" s="25">
        <v>5105</v>
      </c>
      <c r="B81" s="53"/>
      <c r="C81" s="49"/>
      <c r="D81" s="3"/>
      <c r="E81" s="3"/>
    </row>
    <row r="82" spans="1:5" x14ac:dyDescent="0.25">
      <c r="A82" s="25">
        <v>5135</v>
      </c>
      <c r="B82" s="53"/>
      <c r="C82" s="49"/>
      <c r="D82" s="3"/>
      <c r="E82" s="3"/>
    </row>
    <row r="83" spans="1:5" x14ac:dyDescent="0.25">
      <c r="A83" s="25">
        <v>5140</v>
      </c>
      <c r="B83" s="53"/>
      <c r="C83" s="49"/>
      <c r="D83" s="3"/>
      <c r="E83" s="3"/>
    </row>
    <row r="84" spans="1:5" x14ac:dyDescent="0.25">
      <c r="A84" s="25">
        <v>5305</v>
      </c>
      <c r="B84" s="53"/>
      <c r="C84" s="49"/>
      <c r="D84" s="3"/>
      <c r="E84" s="3"/>
    </row>
    <row r="85" spans="1:5" x14ac:dyDescent="0.25">
      <c r="A85" s="25">
        <v>6135</v>
      </c>
      <c r="B85" s="53"/>
      <c r="C85" s="49"/>
      <c r="D85" s="3"/>
      <c r="E85" s="3"/>
    </row>
    <row r="86" spans="1:5" x14ac:dyDescent="0.25">
      <c r="D86" s="3"/>
      <c r="E86" s="3"/>
    </row>
    <row r="87" spans="1:5" x14ac:dyDescent="0.25">
      <c r="D87" s="3"/>
      <c r="E87" s="3"/>
    </row>
    <row r="88" spans="1:5" x14ac:dyDescent="0.25">
      <c r="D88" s="3"/>
      <c r="E88" s="3"/>
    </row>
    <row r="89" spans="1:5" x14ac:dyDescent="0.25">
      <c r="D89" s="3"/>
      <c r="E89" s="3"/>
    </row>
    <row r="90" spans="1:5" x14ac:dyDescent="0.25">
      <c r="D90" s="3"/>
      <c r="E90" s="3"/>
    </row>
    <row r="91" spans="1:5" x14ac:dyDescent="0.25">
      <c r="D91" s="3"/>
      <c r="E91" s="3"/>
    </row>
    <row r="92" spans="1:5" x14ac:dyDescent="0.25">
      <c r="D92" s="3"/>
      <c r="E92" s="3"/>
    </row>
    <row r="93" spans="1:5" x14ac:dyDescent="0.25">
      <c r="D93" s="3"/>
      <c r="E93" s="3"/>
    </row>
    <row r="94" spans="1:5" x14ac:dyDescent="0.25">
      <c r="D94" s="3"/>
      <c r="E94" s="3"/>
    </row>
    <row r="95" spans="1:5" x14ac:dyDescent="0.25">
      <c r="D95" s="3"/>
      <c r="E95" s="3"/>
    </row>
  </sheetData>
  <mergeCells count="45">
    <mergeCell ref="B85:C85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73:C73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A40:B40"/>
    <mergeCell ref="A41:B41"/>
    <mergeCell ref="A60:C60"/>
    <mergeCell ref="B62:C62"/>
    <mergeCell ref="I12:J12"/>
    <mergeCell ref="I13:J13"/>
    <mergeCell ref="I14:J14"/>
    <mergeCell ref="I15:J15"/>
    <mergeCell ref="H27:K27"/>
    <mergeCell ref="A38:B38"/>
    <mergeCell ref="N4:P4"/>
    <mergeCell ref="Q4:S4"/>
    <mergeCell ref="I11:J11"/>
    <mergeCell ref="A1:B1"/>
    <mergeCell ref="A3:C3"/>
    <mergeCell ref="H4:J5"/>
    <mergeCell ref="K4:M4"/>
    <mergeCell ref="I6:J6"/>
    <mergeCell ref="I7:J7"/>
    <mergeCell ref="I8:J8"/>
    <mergeCell ref="I9:J9"/>
    <mergeCell ref="I10: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7F5C-280C-4FB8-9220-BDB73DFB14F0}">
  <dimension ref="A1:D66"/>
  <sheetViews>
    <sheetView workbookViewId="0">
      <selection activeCell="B1" sqref="B1:C3"/>
    </sheetView>
  </sheetViews>
  <sheetFormatPr baseColWidth="10" defaultRowHeight="15" x14ac:dyDescent="0.25"/>
  <sheetData>
    <row r="1" spans="1:4" x14ac:dyDescent="0.25">
      <c r="A1" t="s">
        <v>1</v>
      </c>
      <c r="B1" t="s">
        <v>2</v>
      </c>
      <c r="C1" t="s">
        <v>4</v>
      </c>
      <c r="D1" t="s">
        <v>5</v>
      </c>
    </row>
    <row r="2" spans="1:4" x14ac:dyDescent="0.25">
      <c r="A2" s="36">
        <v>43832</v>
      </c>
      <c r="B2">
        <v>143501</v>
      </c>
      <c r="C2">
        <v>2000000</v>
      </c>
    </row>
    <row r="3" spans="1:4" x14ac:dyDescent="0.25">
      <c r="A3" s="36">
        <v>43832</v>
      </c>
      <c r="B3">
        <v>240801</v>
      </c>
      <c r="C3">
        <v>380000</v>
      </c>
    </row>
    <row r="4" spans="1:4" x14ac:dyDescent="0.25">
      <c r="A4" s="36">
        <v>43832</v>
      </c>
      <c r="B4">
        <v>220505</v>
      </c>
      <c r="D4">
        <v>2380000</v>
      </c>
    </row>
    <row r="5" spans="1:4" x14ac:dyDescent="0.25">
      <c r="A5" s="36">
        <v>43834</v>
      </c>
      <c r="B5">
        <v>413501</v>
      </c>
      <c r="D5">
        <v>3200000</v>
      </c>
    </row>
    <row r="6" spans="1:4" x14ac:dyDescent="0.25">
      <c r="A6" s="36">
        <v>43834</v>
      </c>
      <c r="B6">
        <v>240802</v>
      </c>
      <c r="D6">
        <v>608000</v>
      </c>
    </row>
    <row r="7" spans="1:4" x14ac:dyDescent="0.25">
      <c r="A7" s="36">
        <v>43834</v>
      </c>
      <c r="B7">
        <v>135515</v>
      </c>
      <c r="C7">
        <v>80000</v>
      </c>
    </row>
    <row r="8" spans="1:4" x14ac:dyDescent="0.25">
      <c r="A8" s="36">
        <v>43834</v>
      </c>
      <c r="B8">
        <v>135517</v>
      </c>
      <c r="C8">
        <v>91200</v>
      </c>
    </row>
    <row r="9" spans="1:4" x14ac:dyDescent="0.25">
      <c r="A9" s="36">
        <v>43834</v>
      </c>
      <c r="B9">
        <v>130505</v>
      </c>
      <c r="C9">
        <v>3636800</v>
      </c>
    </row>
    <row r="10" spans="1:4" x14ac:dyDescent="0.25">
      <c r="A10" s="36">
        <v>43834</v>
      </c>
      <c r="B10">
        <v>613501</v>
      </c>
      <c r="C10">
        <v>1600000</v>
      </c>
    </row>
    <row r="11" spans="1:4" x14ac:dyDescent="0.25">
      <c r="A11" s="36">
        <v>43834</v>
      </c>
      <c r="B11">
        <v>143501</v>
      </c>
      <c r="D11">
        <v>1600000</v>
      </c>
    </row>
    <row r="12" spans="1:4" x14ac:dyDescent="0.25">
      <c r="A12" s="36">
        <v>43838</v>
      </c>
      <c r="B12">
        <v>143501</v>
      </c>
      <c r="C12">
        <v>3150000</v>
      </c>
    </row>
    <row r="13" spans="1:4" x14ac:dyDescent="0.25">
      <c r="A13" s="36">
        <v>43838</v>
      </c>
      <c r="B13">
        <v>240801</v>
      </c>
      <c r="C13">
        <v>598500</v>
      </c>
    </row>
    <row r="14" spans="1:4" x14ac:dyDescent="0.25">
      <c r="A14" s="36">
        <v>43838</v>
      </c>
      <c r="B14">
        <v>236540</v>
      </c>
      <c r="D14">
        <v>78750</v>
      </c>
    </row>
    <row r="15" spans="1:4" x14ac:dyDescent="0.25">
      <c r="A15" s="36">
        <v>43838</v>
      </c>
      <c r="B15">
        <v>220505</v>
      </c>
      <c r="D15">
        <v>3669750</v>
      </c>
    </row>
    <row r="16" spans="1:4" x14ac:dyDescent="0.25">
      <c r="A16" s="36">
        <v>43840</v>
      </c>
      <c r="B16">
        <v>143501</v>
      </c>
      <c r="D16">
        <v>420000</v>
      </c>
    </row>
    <row r="17" spans="1:4" x14ac:dyDescent="0.25">
      <c r="A17" s="36">
        <v>43840</v>
      </c>
      <c r="B17">
        <v>240801</v>
      </c>
      <c r="D17">
        <v>79800</v>
      </c>
    </row>
    <row r="18" spans="1:4" x14ac:dyDescent="0.25">
      <c r="A18" s="36">
        <v>43840</v>
      </c>
      <c r="B18">
        <v>236540</v>
      </c>
      <c r="C18">
        <v>10500</v>
      </c>
    </row>
    <row r="19" spans="1:4" x14ac:dyDescent="0.25">
      <c r="A19" s="36">
        <v>43840</v>
      </c>
      <c r="B19">
        <v>220505</v>
      </c>
      <c r="C19">
        <v>489300</v>
      </c>
    </row>
    <row r="20" spans="1:4" x14ac:dyDescent="0.25">
      <c r="A20" s="36">
        <v>43845</v>
      </c>
      <c r="B20">
        <v>110505</v>
      </c>
      <c r="C20">
        <v>1454720</v>
      </c>
    </row>
    <row r="21" spans="1:4" x14ac:dyDescent="0.25">
      <c r="A21" s="36">
        <v>43845</v>
      </c>
      <c r="B21">
        <v>130505</v>
      </c>
      <c r="D21">
        <v>1454720</v>
      </c>
    </row>
    <row r="22" spans="1:4" x14ac:dyDescent="0.25">
      <c r="A22" s="36">
        <v>43850</v>
      </c>
      <c r="B22">
        <v>513535</v>
      </c>
      <c r="C22">
        <v>60000</v>
      </c>
    </row>
    <row r="23" spans="1:4" x14ac:dyDescent="0.25">
      <c r="A23" s="36">
        <v>43850</v>
      </c>
      <c r="B23">
        <v>513530</v>
      </c>
      <c r="C23">
        <v>45000</v>
      </c>
    </row>
    <row r="24" spans="1:4" x14ac:dyDescent="0.25">
      <c r="A24" s="36">
        <v>43850</v>
      </c>
      <c r="B24">
        <v>233530</v>
      </c>
      <c r="D24">
        <v>105000</v>
      </c>
    </row>
    <row r="25" spans="1:4" x14ac:dyDescent="0.25">
      <c r="A25" s="36">
        <v>43850</v>
      </c>
      <c r="B25">
        <v>233530</v>
      </c>
      <c r="C25">
        <v>105000</v>
      </c>
    </row>
    <row r="26" spans="1:4" x14ac:dyDescent="0.25">
      <c r="A26" s="36">
        <v>43850</v>
      </c>
      <c r="B26">
        <v>111005</v>
      </c>
      <c r="D26">
        <v>105000</v>
      </c>
    </row>
    <row r="27" spans="1:4" x14ac:dyDescent="0.25">
      <c r="A27" s="42">
        <v>43871</v>
      </c>
      <c r="B27" s="41">
        <v>210505</v>
      </c>
      <c r="C27" s="41"/>
      <c r="D27" s="41">
        <v>20000000</v>
      </c>
    </row>
    <row r="28" spans="1:4" x14ac:dyDescent="0.25">
      <c r="A28" s="42">
        <v>43871</v>
      </c>
      <c r="B28" s="41">
        <v>530505</v>
      </c>
      <c r="C28" s="41">
        <v>120000</v>
      </c>
      <c r="D28" s="41"/>
    </row>
    <row r="29" spans="1:4" x14ac:dyDescent="0.25">
      <c r="A29" s="42">
        <v>43871</v>
      </c>
      <c r="B29" s="41">
        <v>111005</v>
      </c>
      <c r="C29" s="41">
        <v>19880000</v>
      </c>
      <c r="D29" s="41"/>
    </row>
    <row r="30" spans="1:4" x14ac:dyDescent="0.25">
      <c r="A30" s="42">
        <v>43889</v>
      </c>
      <c r="B30" s="41">
        <v>510520</v>
      </c>
      <c r="C30" s="41">
        <v>136000</v>
      </c>
      <c r="D30" s="41"/>
    </row>
    <row r="31" spans="1:4" x14ac:dyDescent="0.25">
      <c r="A31" s="42">
        <v>43889</v>
      </c>
      <c r="B31" s="41">
        <v>230505</v>
      </c>
      <c r="C31" s="41"/>
      <c r="D31" s="41">
        <v>136000</v>
      </c>
    </row>
    <row r="32" spans="1:4" x14ac:dyDescent="0.25">
      <c r="A32" s="42">
        <v>43844</v>
      </c>
      <c r="B32" s="41">
        <v>143501</v>
      </c>
      <c r="C32" s="41">
        <v>2665000</v>
      </c>
      <c r="D32" s="41"/>
    </row>
    <row r="33" spans="1:4" x14ac:dyDescent="0.25">
      <c r="A33" s="42">
        <v>43844</v>
      </c>
      <c r="B33" s="41">
        <v>240801</v>
      </c>
      <c r="C33" s="41">
        <v>506350</v>
      </c>
      <c r="D33" s="41"/>
    </row>
    <row r="34" spans="1:4" x14ac:dyDescent="0.25">
      <c r="A34" s="42">
        <v>43844</v>
      </c>
      <c r="B34" s="41">
        <v>236540</v>
      </c>
      <c r="C34" s="41"/>
      <c r="D34" s="41">
        <v>66625</v>
      </c>
    </row>
    <row r="35" spans="1:4" x14ac:dyDescent="0.25">
      <c r="A35" s="42">
        <v>43844</v>
      </c>
      <c r="B35" s="41">
        <v>220505</v>
      </c>
      <c r="C35" s="41"/>
      <c r="D35" s="41">
        <v>3104725</v>
      </c>
    </row>
    <row r="36" spans="1:4" x14ac:dyDescent="0.25">
      <c r="A36" s="42">
        <v>43881</v>
      </c>
      <c r="B36" s="41">
        <v>413501</v>
      </c>
      <c r="C36" s="41"/>
      <c r="D36" s="41">
        <v>7200000</v>
      </c>
    </row>
    <row r="37" spans="1:4" x14ac:dyDescent="0.25">
      <c r="A37" s="42">
        <v>43881</v>
      </c>
      <c r="B37" s="41">
        <v>240802</v>
      </c>
      <c r="C37" s="41"/>
      <c r="D37" s="41">
        <v>1368000</v>
      </c>
    </row>
    <row r="38" spans="1:4" x14ac:dyDescent="0.25">
      <c r="A38" s="42">
        <v>43881</v>
      </c>
      <c r="B38" s="41">
        <v>135515</v>
      </c>
      <c r="C38" s="41">
        <v>180000</v>
      </c>
      <c r="D38" s="41"/>
    </row>
    <row r="39" spans="1:4" x14ac:dyDescent="0.25">
      <c r="A39" s="42">
        <v>43881</v>
      </c>
      <c r="B39" s="41">
        <v>135517</v>
      </c>
      <c r="C39" s="41">
        <v>205200</v>
      </c>
      <c r="D39" s="41"/>
    </row>
    <row r="40" spans="1:4" x14ac:dyDescent="0.25">
      <c r="A40" s="42">
        <v>43881</v>
      </c>
      <c r="B40" s="41">
        <v>130505</v>
      </c>
      <c r="C40" s="41">
        <v>8182800</v>
      </c>
      <c r="D40" s="41"/>
    </row>
    <row r="41" spans="1:4" x14ac:dyDescent="0.25">
      <c r="A41" s="42">
        <v>43881</v>
      </c>
      <c r="B41" s="41">
        <v>613501</v>
      </c>
      <c r="C41" s="41">
        <v>3725352</v>
      </c>
      <c r="D41" s="41"/>
    </row>
    <row r="42" spans="1:4" x14ac:dyDescent="0.25">
      <c r="A42" s="42">
        <v>43881</v>
      </c>
      <c r="B42" s="41">
        <v>143501</v>
      </c>
      <c r="C42" s="41"/>
      <c r="D42" s="41">
        <v>3725352</v>
      </c>
    </row>
    <row r="43" spans="1:4" x14ac:dyDescent="0.25">
      <c r="A43" s="42">
        <v>43886</v>
      </c>
      <c r="B43" s="41">
        <v>427505</v>
      </c>
      <c r="C43" s="41">
        <v>1200000</v>
      </c>
      <c r="D43" s="41"/>
    </row>
    <row r="44" spans="1:4" x14ac:dyDescent="0.25">
      <c r="A44" s="42">
        <v>43886</v>
      </c>
      <c r="B44" s="41">
        <v>240802</v>
      </c>
      <c r="C44" s="41">
        <v>228000</v>
      </c>
      <c r="D44" s="41"/>
    </row>
    <row r="45" spans="1:4" x14ac:dyDescent="0.25">
      <c r="A45" s="42">
        <v>43886</v>
      </c>
      <c r="B45" s="41">
        <v>135515</v>
      </c>
      <c r="C45" s="41"/>
      <c r="D45" s="41">
        <v>30000</v>
      </c>
    </row>
    <row r="46" spans="1:4" x14ac:dyDescent="0.25">
      <c r="A46" s="42">
        <v>43886</v>
      </c>
      <c r="B46" s="41">
        <v>135517</v>
      </c>
      <c r="C46" s="41"/>
      <c r="D46" s="41">
        <v>34200</v>
      </c>
    </row>
    <row r="47" spans="1:4" x14ac:dyDescent="0.25">
      <c r="A47" s="42">
        <v>43886</v>
      </c>
      <c r="B47" s="41">
        <v>130505</v>
      </c>
      <c r="C47" s="41"/>
      <c r="D47" s="41">
        <v>1363800</v>
      </c>
    </row>
    <row r="48" spans="1:4" x14ac:dyDescent="0.25">
      <c r="A48" s="42">
        <v>43887</v>
      </c>
      <c r="B48" s="41">
        <v>513535</v>
      </c>
      <c r="C48" s="41">
        <v>500000</v>
      </c>
      <c r="D48" s="41"/>
    </row>
    <row r="49" spans="1:4" x14ac:dyDescent="0.25">
      <c r="A49" s="42">
        <v>43887</v>
      </c>
      <c r="B49" s="41">
        <v>513530</v>
      </c>
      <c r="C49" s="41">
        <v>300000</v>
      </c>
      <c r="D49" s="41"/>
    </row>
    <row r="50" spans="1:4" x14ac:dyDescent="0.25">
      <c r="A50" s="42">
        <v>43887</v>
      </c>
      <c r="B50" s="41">
        <v>111005</v>
      </c>
      <c r="C50" s="41"/>
      <c r="D50" s="41">
        <v>800000</v>
      </c>
    </row>
    <row r="51" spans="1:4" x14ac:dyDescent="0.25">
      <c r="A51" s="42">
        <v>43889</v>
      </c>
      <c r="B51" s="41">
        <v>510520</v>
      </c>
      <c r="C51" s="41">
        <v>136000</v>
      </c>
      <c r="D51" s="41"/>
    </row>
    <row r="52" spans="1:4" x14ac:dyDescent="0.25">
      <c r="A52" s="42">
        <v>43889</v>
      </c>
      <c r="B52" s="41">
        <v>230505</v>
      </c>
      <c r="C52" s="41"/>
      <c r="D52" s="41">
        <v>136000</v>
      </c>
    </row>
    <row r="53" spans="1:4" x14ac:dyDescent="0.25">
      <c r="A53" s="42">
        <v>43889</v>
      </c>
      <c r="B53" s="41">
        <v>110505</v>
      </c>
      <c r="C53" s="41">
        <v>9001080</v>
      </c>
      <c r="D53" s="41"/>
    </row>
    <row r="54" spans="1:4" x14ac:dyDescent="0.25">
      <c r="A54" s="42">
        <v>43889</v>
      </c>
      <c r="B54" s="41">
        <v>130505</v>
      </c>
      <c r="C54" s="41"/>
      <c r="D54" s="41">
        <v>9001080</v>
      </c>
    </row>
    <row r="55" spans="1:4" x14ac:dyDescent="0.25">
      <c r="A55" s="44">
        <v>43895</v>
      </c>
      <c r="B55" s="43">
        <v>413501</v>
      </c>
      <c r="C55" s="43"/>
      <c r="D55" s="43">
        <v>2000000</v>
      </c>
    </row>
    <row r="56" spans="1:4" x14ac:dyDescent="0.25">
      <c r="A56" s="44">
        <v>43895</v>
      </c>
      <c r="B56" s="43">
        <v>240802</v>
      </c>
      <c r="C56" s="43"/>
      <c r="D56" s="43">
        <v>380000</v>
      </c>
    </row>
    <row r="57" spans="1:4" x14ac:dyDescent="0.25">
      <c r="A57" s="44">
        <v>43895</v>
      </c>
      <c r="B57" s="43">
        <v>135515</v>
      </c>
      <c r="C57" s="43">
        <v>50000</v>
      </c>
      <c r="D57" s="43"/>
    </row>
    <row r="58" spans="1:4" x14ac:dyDescent="0.25">
      <c r="A58" s="44">
        <v>43895</v>
      </c>
      <c r="B58" s="43">
        <v>130505</v>
      </c>
      <c r="C58" s="43">
        <v>2330000</v>
      </c>
      <c r="D58" s="43"/>
    </row>
    <row r="59" spans="1:4" x14ac:dyDescent="0.25">
      <c r="A59" s="44">
        <v>43895</v>
      </c>
      <c r="B59" s="43">
        <v>613505</v>
      </c>
      <c r="C59" s="43">
        <v>1034820</v>
      </c>
      <c r="D59" s="43"/>
    </row>
    <row r="60" spans="1:4" x14ac:dyDescent="0.25">
      <c r="A60" s="44">
        <v>43895</v>
      </c>
      <c r="B60" s="43">
        <v>143501</v>
      </c>
      <c r="C60" s="43"/>
      <c r="D60" s="43">
        <v>1034820</v>
      </c>
    </row>
    <row r="61" spans="1:4" x14ac:dyDescent="0.25">
      <c r="A61" s="44">
        <v>43900</v>
      </c>
      <c r="B61" s="43">
        <v>210505</v>
      </c>
      <c r="C61" s="43">
        <v>739713</v>
      </c>
      <c r="D61" s="43"/>
    </row>
    <row r="62" spans="1:4" x14ac:dyDescent="0.25">
      <c r="A62" s="44">
        <v>43900</v>
      </c>
      <c r="B62" s="43">
        <v>230505</v>
      </c>
      <c r="C62" s="43">
        <v>136000</v>
      </c>
      <c r="D62" s="43"/>
    </row>
    <row r="63" spans="1:4" x14ac:dyDescent="0.25">
      <c r="A63" s="44">
        <v>43900</v>
      </c>
      <c r="B63" s="43">
        <v>510520</v>
      </c>
      <c r="C63" s="43">
        <v>68000.000000000029</v>
      </c>
      <c r="D63" s="43"/>
    </row>
    <row r="64" spans="1:4" x14ac:dyDescent="0.25">
      <c r="A64" s="44">
        <v>43900</v>
      </c>
      <c r="B64" s="43">
        <v>111005</v>
      </c>
      <c r="C64" s="43"/>
      <c r="D64" s="43">
        <v>943713</v>
      </c>
    </row>
    <row r="65" spans="1:4" x14ac:dyDescent="0.25">
      <c r="A65" s="44">
        <v>43921</v>
      </c>
      <c r="B65" s="43">
        <v>510505</v>
      </c>
      <c r="C65" s="43">
        <v>130969.9516</v>
      </c>
      <c r="D65" s="43"/>
    </row>
    <row r="66" spans="1:4" x14ac:dyDescent="0.25">
      <c r="A66" s="44">
        <v>43921</v>
      </c>
      <c r="B66" s="43">
        <v>230505</v>
      </c>
      <c r="C66" s="43"/>
      <c r="D66" s="43">
        <v>130969.9516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4E4F-29BC-4238-9859-EB6E310B22A0}">
  <dimension ref="A1:B3"/>
  <sheetViews>
    <sheetView tabSelected="1" zoomScale="105" workbookViewId="0">
      <selection activeCell="F7" sqref="F7"/>
    </sheetView>
  </sheetViews>
  <sheetFormatPr baseColWidth="10" defaultRowHeight="15" x14ac:dyDescent="0.25"/>
  <cols>
    <col min="2" max="2" width="14.28515625" customWidth="1"/>
  </cols>
  <sheetData>
    <row r="1" spans="1:2" x14ac:dyDescent="0.25">
      <c r="A1" t="s">
        <v>2</v>
      </c>
      <c r="B1" t="s">
        <v>99</v>
      </c>
    </row>
    <row r="2" spans="1:2" x14ac:dyDescent="0.25">
      <c r="A2">
        <v>143501</v>
      </c>
      <c r="B2" t="s">
        <v>100</v>
      </c>
    </row>
    <row r="3" spans="1:2" x14ac:dyDescent="0.25">
      <c r="A3">
        <v>240801</v>
      </c>
      <c r="B3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 </vt:lpstr>
      <vt:lpstr>MARZO </vt:lpstr>
      <vt:lpstr>ABRIL </vt:lpstr>
      <vt:lpstr>MAYO</vt:lpstr>
      <vt:lpstr>JUNIO-TALLER 22</vt:lpstr>
      <vt:lpstr>POWER BI</vt:lpstr>
      <vt:lpstr>CODIGO_DESC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pc</dc:creator>
  <cp:lastModifiedBy>daniel7byte</cp:lastModifiedBy>
  <dcterms:created xsi:type="dcterms:W3CDTF">2020-07-07T03:05:11Z</dcterms:created>
  <dcterms:modified xsi:type="dcterms:W3CDTF">2020-07-24T23:54:22Z</dcterms:modified>
</cp:coreProperties>
</file>