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eldaRobotizada" sheetId="1" r:id="rId4"/>
    <sheet state="visible" name="Comunicaciones" sheetId="2" r:id="rId5"/>
    <sheet state="visible" name="SCADA" sheetId="3" r:id="rId6"/>
    <sheet state="visible" name="Ingresos" sheetId="4" r:id="rId7"/>
    <sheet state="visible" name="Evaluacion" sheetId="5" r:id="rId8"/>
    <sheet state="visible" name="Nómina" sheetId="6" r:id="rId9"/>
  </sheets>
  <definedNames/>
  <calcPr/>
</workbook>
</file>

<file path=xl/sharedStrings.xml><?xml version="1.0" encoding="utf-8"?>
<sst xmlns="http://schemas.openxmlformats.org/spreadsheetml/2006/main" count="252" uniqueCount="121">
  <si>
    <t>v</t>
  </si>
  <si>
    <t>Costos capitalizados</t>
  </si>
  <si>
    <t>Equipos</t>
  </si>
  <si>
    <t>Referencia</t>
  </si>
  <si>
    <t>Costo</t>
  </si>
  <si>
    <t>Robots</t>
  </si>
  <si>
    <t>Manejo de material</t>
  </si>
  <si>
    <t>Sensores</t>
  </si>
  <si>
    <t>Controladores</t>
  </si>
  <si>
    <t>Control de la celda</t>
  </si>
  <si>
    <t>Software (RobotStudio)</t>
  </si>
  <si>
    <t>Software de inspección</t>
  </si>
  <si>
    <t>Modificación de otros sistemas</t>
  </si>
  <si>
    <t>Transporte e instalación</t>
  </si>
  <si>
    <t>Total</t>
  </si>
  <si>
    <t>Costos no capitalizados</t>
  </si>
  <si>
    <t>Equipos de movimiento/manipulación</t>
  </si>
  <si>
    <t>Instalación</t>
  </si>
  <si>
    <t>Entrenamientos</t>
  </si>
  <si>
    <t>Programación</t>
  </si>
  <si>
    <t>Total inversión inicial</t>
  </si>
  <si>
    <t>Costos operativos</t>
  </si>
  <si>
    <t>Consumo energético</t>
  </si>
  <si>
    <t>Mantenimiento</t>
  </si>
  <si>
    <t>Seguro</t>
  </si>
  <si>
    <t>Software (Licencias)</t>
  </si>
  <si>
    <t>Depreciación</t>
  </si>
  <si>
    <t>Routers</t>
  </si>
  <si>
    <t>Switches</t>
  </si>
  <si>
    <t>Módems</t>
  </si>
  <si>
    <t>Cableado</t>
  </si>
  <si>
    <t>Conversores de protocolo</t>
  </si>
  <si>
    <t>Repetidores</t>
  </si>
  <si>
    <t>Software de configuración</t>
  </si>
  <si>
    <t>Elementos de soporte</t>
  </si>
  <si>
    <t>PLC</t>
  </si>
  <si>
    <t>HMI</t>
  </si>
  <si>
    <t>Módulos PLC</t>
  </si>
  <si>
    <t>Cableados de red</t>
  </si>
  <si>
    <t>Servidor SCADA</t>
  </si>
  <si>
    <t>Software SCADA</t>
  </si>
  <si>
    <t>Seguridad eléctrica</t>
  </si>
  <si>
    <t>Elementos mecánicos del tablero</t>
  </si>
  <si>
    <t>Precio m^2</t>
  </si>
  <si>
    <t xml:space="preserve">Piso Pared Cerámico Avellano Beige 30x60cm </t>
  </si>
  <si>
    <t xml:space="preserve">Cerámica Para Pared Estilo Decorativo Atelier-B 30x60 </t>
  </si>
  <si>
    <t xml:space="preserve">Pared Santa Maria Brillante Multicolor 30x45 </t>
  </si>
  <si>
    <t>Producto 1 - Baldosa mate 30x60</t>
  </si>
  <si>
    <t>Producto 2 - Baldosa esmaltada decorada 30x60</t>
  </si>
  <si>
    <t>Producto 2 - Baldosa texturizada 30x60</t>
  </si>
  <si>
    <t>Tamaño lote (m^2)</t>
  </si>
  <si>
    <t xml:space="preserve">Precio de un lote </t>
  </si>
  <si>
    <t>Lotes vendidos al mes</t>
  </si>
  <si>
    <t>Total ganancia mensual</t>
  </si>
  <si>
    <t>Precio m^2 promedio</t>
  </si>
  <si>
    <t>Producción m^2 (planta actual)</t>
  </si>
  <si>
    <t>Producción m^2 (planta automatizada)</t>
  </si>
  <si>
    <t>Aumento de la producción en m^2</t>
  </si>
  <si>
    <t>Total ganancia mensual promedio</t>
  </si>
  <si>
    <t>Inversión inicial</t>
  </si>
  <si>
    <t>Costos de nómina</t>
  </si>
  <si>
    <t>Ventas</t>
  </si>
  <si>
    <t>Concepto</t>
  </si>
  <si>
    <t>Celda robotizada</t>
  </si>
  <si>
    <t>Producto 1</t>
  </si>
  <si>
    <t>Comunicaciones</t>
  </si>
  <si>
    <t>Producto 2</t>
  </si>
  <si>
    <t>SCADA</t>
  </si>
  <si>
    <t>Producto 3</t>
  </si>
  <si>
    <t>MES</t>
  </si>
  <si>
    <t>INGRESOS</t>
  </si>
  <si>
    <t>TOTAL INGRESOS</t>
  </si>
  <si>
    <t>EGRESOS</t>
  </si>
  <si>
    <t>Inversión</t>
  </si>
  <si>
    <t>-</t>
  </si>
  <si>
    <t>TOTAL EGRESOS</t>
  </si>
  <si>
    <t>TOTAL</t>
  </si>
  <si>
    <t>Flujo de caja</t>
  </si>
  <si>
    <t>Valor presente</t>
  </si>
  <si>
    <t>Valor presente acumulado</t>
  </si>
  <si>
    <t>Evaluación</t>
  </si>
  <si>
    <t>Costo de oportunidad</t>
  </si>
  <si>
    <t xml:space="preserve">VP </t>
  </si>
  <si>
    <t>VPN</t>
  </si>
  <si>
    <t>TIR</t>
  </si>
  <si>
    <t>Payback</t>
  </si>
  <si>
    <t>ESTADO DE PERDIDAS Y GANANCIAS</t>
  </si>
  <si>
    <t>Costos</t>
  </si>
  <si>
    <t>Utilidad bruta</t>
  </si>
  <si>
    <t>Gasto financiero</t>
  </si>
  <si>
    <t>Utilidad antes de impuestos</t>
  </si>
  <si>
    <t>Impuestos</t>
  </si>
  <si>
    <t>Utilidad neta</t>
  </si>
  <si>
    <t>ROI</t>
  </si>
  <si>
    <t>Salario (MXN)</t>
  </si>
  <si>
    <t>Diario</t>
  </si>
  <si>
    <t>Mensual</t>
  </si>
  <si>
    <t>En COP</t>
  </si>
  <si>
    <t>Nómina</t>
  </si>
  <si>
    <t>Planta actual</t>
  </si>
  <si>
    <t>Planta automatizada</t>
  </si>
  <si>
    <t>Personal</t>
  </si>
  <si>
    <t>Salario</t>
  </si>
  <si>
    <t>Operadores</t>
  </si>
  <si>
    <t>Ingeniero 1</t>
  </si>
  <si>
    <t>Proceso</t>
  </si>
  <si>
    <t>Cantidad de personal</t>
  </si>
  <si>
    <t>Ingeniero 2</t>
  </si>
  <si>
    <t>Prensado</t>
  </si>
  <si>
    <t>Ingeniero 3</t>
  </si>
  <si>
    <t>Esmaltado</t>
  </si>
  <si>
    <t>Ingeniero 4</t>
  </si>
  <si>
    <t>Impresión</t>
  </si>
  <si>
    <t>Ingeniero 5</t>
  </si>
  <si>
    <t>Horneado</t>
  </si>
  <si>
    <t>Ingeniero 6</t>
  </si>
  <si>
    <t>QC</t>
  </si>
  <si>
    <t>Ingeniero 7</t>
  </si>
  <si>
    <t>Empacado</t>
  </si>
  <si>
    <t>Paletizado</t>
  </si>
  <si>
    <t>Delta salarios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</si>
</sst>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 $]#,##0"/>
    <numFmt numFmtId="165" formatCode="[$ $]#,##0.00"/>
  </numFmts>
  <fonts count="7">
    <font>
      <sz val="10.0"/>
      <color rgb="FF000000"/>
      <name val="Arial"/>
      <scheme val="minor"/>
    </font>
    <font>
      <color theme="1"/>
      <name val="Arial"/>
      <scheme val="minor"/>
    </font>
    <font/>
    <font>
      <b/>
      <color theme="1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FFF00"/>
        <bgColor rgb="FFFFFF00"/>
      </patternFill>
    </fill>
    <fill>
      <patternFill patternType="solid">
        <fgColor rgb="FFB4C6E7"/>
        <bgColor rgb="FFB4C6E7"/>
      </patternFill>
    </fill>
  </fills>
  <borders count="1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4" fillId="0" fontId="1" numFmtId="0" xfId="0" applyBorder="1" applyFont="1"/>
    <xf borderId="4" fillId="0" fontId="1" numFmtId="164" xfId="0" applyBorder="1" applyFont="1" applyNumberFormat="1"/>
    <xf borderId="1" fillId="0" fontId="1" numFmtId="164" xfId="0" applyBorder="1" applyFont="1" applyNumberFormat="1"/>
    <xf borderId="4" fillId="0" fontId="1" numFmtId="0" xfId="0" applyAlignment="1" applyBorder="1" applyFont="1">
      <alignment horizontal="left" readingOrder="0" shrinkToFit="0" wrapText="1"/>
    </xf>
    <xf borderId="4" fillId="0" fontId="1" numFmtId="164" xfId="0" applyAlignment="1" applyBorder="1" applyFont="1" applyNumberFormat="1">
      <alignment readingOrder="0"/>
    </xf>
    <xf borderId="1" fillId="0" fontId="3" numFmtId="164" xfId="0" applyAlignment="1" applyBorder="1" applyFont="1" applyNumberFormat="1">
      <alignment readingOrder="0"/>
    </xf>
    <xf borderId="0" fillId="0" fontId="1" numFmtId="0" xfId="0" applyFont="1"/>
    <xf borderId="1" fillId="0" fontId="3" numFmtId="164" xfId="0" applyBorder="1" applyFont="1" applyNumberFormat="1"/>
    <xf borderId="0" fillId="0" fontId="4" numFmtId="0" xfId="0" applyAlignment="1" applyFont="1">
      <alignment readingOrder="0"/>
    </xf>
    <xf borderId="5" fillId="0" fontId="1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1" fillId="0" fontId="1" numFmtId="4" xfId="0" applyAlignment="1" applyBorder="1" applyFont="1" applyNumberFormat="1">
      <alignment readingOrder="0"/>
    </xf>
    <xf borderId="1" fillId="0" fontId="1" numFmtId="0" xfId="0" applyAlignment="1" applyBorder="1" applyFont="1">
      <alignment readingOrder="0"/>
    </xf>
    <xf borderId="1" fillId="2" fontId="3" numFmtId="0" xfId="0" applyAlignment="1" applyBorder="1" applyFill="1" applyFont="1">
      <alignment horizontal="center" readingOrder="0"/>
    </xf>
    <xf borderId="4" fillId="2" fontId="5" numFmtId="0" xfId="0" applyAlignment="1" applyBorder="1" applyFont="1">
      <alignment horizontal="center" readingOrder="0"/>
    </xf>
    <xf borderId="4" fillId="2" fontId="5" numFmtId="0" xfId="0" applyAlignment="1" applyBorder="1" applyFont="1">
      <alignment horizontal="center" shrinkToFit="0" wrapText="0"/>
    </xf>
    <xf borderId="0" fillId="0" fontId="5" numFmtId="0" xfId="0" applyAlignment="1" applyFont="1">
      <alignment horizontal="center" shrinkToFit="0" wrapText="0"/>
    </xf>
    <xf borderId="1" fillId="0" fontId="5" numFmtId="0" xfId="0" applyAlignment="1" applyBorder="1" applyFont="1">
      <alignment horizontal="center"/>
    </xf>
    <xf borderId="0" fillId="0" fontId="6" numFmtId="0" xfId="0" applyAlignment="1" applyFont="1">
      <alignment shrinkToFit="0" wrapText="0"/>
    </xf>
    <xf borderId="4" fillId="0" fontId="6" numFmtId="0" xfId="0" applyAlignment="1" applyBorder="1" applyFont="1">
      <alignment readingOrder="0"/>
    </xf>
    <xf borderId="4" fillId="0" fontId="6" numFmtId="0" xfId="0" applyAlignment="1" applyBorder="1" applyFont="1">
      <alignment shrinkToFit="0" wrapText="0"/>
    </xf>
    <xf borderId="4" fillId="0" fontId="6" numFmtId="164" xfId="0" applyAlignment="1" applyBorder="1" applyFont="1" applyNumberFormat="1">
      <alignment horizontal="right" readingOrder="0" shrinkToFit="0" wrapText="0"/>
    </xf>
    <xf borderId="4" fillId="0" fontId="6" numFmtId="0" xfId="0" applyBorder="1" applyFont="1"/>
    <xf borderId="4" fillId="0" fontId="6" numFmtId="164" xfId="0" applyAlignment="1" applyBorder="1" applyFont="1" applyNumberFormat="1">
      <alignment horizontal="right" shrinkToFit="0" wrapText="0"/>
    </xf>
    <xf borderId="4" fillId="0" fontId="6" numFmtId="0" xfId="0" applyAlignment="1" applyBorder="1" applyFont="1">
      <alignment horizontal="center" readingOrder="0" shrinkToFit="0" wrapText="0"/>
    </xf>
    <xf borderId="1" fillId="0" fontId="5" numFmtId="0" xfId="0" applyAlignment="1" applyBorder="1" applyFont="1">
      <alignment horizontal="center" readingOrder="0"/>
    </xf>
    <xf borderId="4" fillId="0" fontId="5" numFmtId="0" xfId="0" applyAlignment="1" applyBorder="1" applyFont="1">
      <alignment readingOrder="0"/>
    </xf>
    <xf borderId="4" fillId="0" fontId="6" numFmtId="164" xfId="0" applyAlignment="1" applyBorder="1" applyFont="1" applyNumberFormat="1">
      <alignment shrinkToFit="0" wrapText="0"/>
    </xf>
    <xf borderId="4" fillId="3" fontId="6" numFmtId="164" xfId="0" applyAlignment="1" applyBorder="1" applyFill="1" applyFont="1" applyNumberFormat="1">
      <alignment horizontal="right" shrinkToFit="0" wrapText="0"/>
    </xf>
    <xf borderId="1" fillId="4" fontId="5" numFmtId="0" xfId="0" applyAlignment="1" applyBorder="1" applyFill="1" applyFont="1">
      <alignment horizontal="center" readingOrder="0" shrinkToFit="0" wrapText="0"/>
    </xf>
    <xf borderId="3" fillId="0" fontId="6" numFmtId="9" xfId="0" applyAlignment="1" applyBorder="1" applyFont="1" applyNumberFormat="1">
      <alignment horizontal="right" readingOrder="0" shrinkToFit="0" wrapText="0"/>
    </xf>
    <xf borderId="13" fillId="0" fontId="6" numFmtId="0" xfId="0" applyAlignment="1" applyBorder="1" applyFont="1">
      <alignment readingOrder="0" shrinkToFit="0" wrapText="0"/>
    </xf>
    <xf borderId="12" fillId="0" fontId="6" numFmtId="164" xfId="0" applyAlignment="1" applyBorder="1" applyFont="1" applyNumberFormat="1">
      <alignment horizontal="right" shrinkToFit="0" wrapText="0"/>
    </xf>
    <xf borderId="13" fillId="3" fontId="6" numFmtId="0" xfId="0" applyAlignment="1" applyBorder="1" applyFont="1">
      <alignment readingOrder="0" shrinkToFit="0" wrapText="0"/>
    </xf>
    <xf borderId="12" fillId="3" fontId="6" numFmtId="164" xfId="0" applyAlignment="1" applyBorder="1" applyFont="1" applyNumberFormat="1">
      <alignment horizontal="right" shrinkToFit="0" wrapText="0"/>
    </xf>
    <xf borderId="13" fillId="3" fontId="6" numFmtId="0" xfId="0" applyAlignment="1" applyBorder="1" applyFont="1">
      <alignment shrinkToFit="0" wrapText="0"/>
    </xf>
    <xf borderId="12" fillId="3" fontId="6" numFmtId="9" xfId="0" applyAlignment="1" applyBorder="1" applyFont="1" applyNumberFormat="1">
      <alignment horizontal="right" shrinkToFit="0" wrapText="0"/>
    </xf>
    <xf borderId="4" fillId="3" fontId="5" numFmtId="0" xfId="0" applyAlignment="1" applyBorder="1" applyFont="1">
      <alignment readingOrder="0"/>
    </xf>
    <xf borderId="4" fillId="3" fontId="6" numFmtId="0" xfId="0" applyAlignment="1" applyBorder="1" applyFont="1">
      <alignment horizontal="right" readingOrder="0" shrinkToFit="0" wrapText="0"/>
    </xf>
    <xf borderId="0" fillId="0" fontId="6" numFmtId="0" xfId="0" applyFont="1"/>
    <xf borderId="0" fillId="0" fontId="1" numFmtId="0" xfId="0" applyAlignment="1" applyFont="1">
      <alignment horizontal="center" readingOrder="0"/>
    </xf>
    <xf borderId="4" fillId="0" fontId="1" numFmtId="165" xfId="0" applyAlignment="1" applyBorder="1" applyFont="1" applyNumberFormat="1">
      <alignment readingOrder="0"/>
    </xf>
    <xf borderId="4" fillId="0" fontId="1" numFmtId="165" xfId="0" applyBorder="1" applyFont="1" applyNumberFormat="1"/>
    <xf borderId="1" fillId="0" fontId="3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 vertical="bottom"/>
    </xf>
    <xf borderId="10" fillId="0" fontId="5" numFmtId="0" xfId="0" applyAlignment="1" applyBorder="1" applyFont="1">
      <alignment horizontal="center" vertical="bottom"/>
    </xf>
    <xf borderId="13" fillId="0" fontId="5" numFmtId="0" xfId="0" applyAlignment="1" applyBorder="1" applyFont="1">
      <alignment vertical="bottom"/>
    </xf>
    <xf borderId="12" fillId="0" fontId="5" numFmtId="0" xfId="0" applyAlignment="1" applyBorder="1" applyFont="1">
      <alignment vertical="bottom"/>
    </xf>
    <xf borderId="12" fillId="0" fontId="6" numFmtId="0" xfId="0" applyAlignment="1" applyBorder="1" applyFont="1">
      <alignment readingOrder="0" vertical="bottom"/>
    </xf>
    <xf borderId="12" fillId="0" fontId="6" numFmtId="165" xfId="0" applyAlignment="1" applyBorder="1" applyFont="1" applyNumberFormat="1">
      <alignment vertical="bottom"/>
    </xf>
    <xf borderId="4" fillId="0" fontId="6" numFmtId="0" xfId="0" applyAlignment="1" applyBorder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Valor presente acumulado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Evaluacion!$C$23:$N$23</c:f>
              <c:numCache/>
            </c:numRef>
          </c:val>
          <c:smooth val="0"/>
        </c:ser>
        <c:axId val="1419807756"/>
        <c:axId val="2029599027"/>
      </c:lineChart>
      <c:catAx>
        <c:axId val="14198077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9599027"/>
      </c:catAx>
      <c:valAx>
        <c:axId val="20295990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Valor presente acumulado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98077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47625</xdr:colOff>
      <xdr:row>0</xdr:row>
      <xdr:rowOff>180975</xdr:rowOff>
    </xdr:from>
    <xdr:ext cx="7648575" cy="52768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447675</xdr:colOff>
      <xdr:row>4</xdr:row>
      <xdr:rowOff>95250</xdr:rowOff>
    </xdr:from>
    <xdr:ext cx="2457450" cy="2390775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295275</xdr:colOff>
      <xdr:row>4</xdr:row>
      <xdr:rowOff>38100</xdr:rowOff>
    </xdr:from>
    <xdr:ext cx="2733675" cy="2390775"/>
    <xdr:pic>
      <xdr:nvPicPr>
        <xdr:cNvPr id="0" name="image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85725</xdr:colOff>
      <xdr:row>4</xdr:row>
      <xdr:rowOff>95250</xdr:rowOff>
    </xdr:from>
    <xdr:ext cx="2676525" cy="2333625"/>
    <xdr:pic>
      <xdr:nvPicPr>
        <xdr:cNvPr id="0" name="image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304800</xdr:colOff>
      <xdr:row>24</xdr:row>
      <xdr:rowOff>152400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omecenter.com.co/homecenter-co/product/395624/piso-pared-ceramico-avellano-beige-30x60cm-caja-162-m2/395624/?kid=goosho_1246419&amp;shop=googleShopping&amp;gad_source=1&amp;gclid=CjwKCAjwz42xBhB9EiwA48pT7zUZUM5bbt577Q1XyNc6PeTEHuW5_orI4zHAUkWnBT5m6q9_t3lo5BoCgkIQAvD_BwE" TargetMode="External"/><Relationship Id="rId2" Type="http://schemas.openxmlformats.org/officeDocument/2006/relationships/hyperlink" Target="https://www.decorceramica.com/atelier-b-30-60-marengo-kc03me182/p" TargetMode="External"/><Relationship Id="rId3" Type="http://schemas.openxmlformats.org/officeDocument/2006/relationships/hyperlink" Target="https://corona.co/productos/revestimientos/paredes/pared-santa-maria/p/451419791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3.75"/>
  </cols>
  <sheetData>
    <row r="1">
      <c r="A1" s="1" t="s">
        <v>0</v>
      </c>
    </row>
    <row r="2">
      <c r="B2" s="2" t="s">
        <v>1</v>
      </c>
      <c r="C2" s="3"/>
      <c r="D2" s="3"/>
      <c r="E2" s="4"/>
    </row>
    <row r="3">
      <c r="B3" s="5" t="s">
        <v>2</v>
      </c>
      <c r="C3" s="5" t="s">
        <v>3</v>
      </c>
      <c r="D3" s="5" t="s">
        <v>4</v>
      </c>
      <c r="E3" s="5" t="s">
        <v>4</v>
      </c>
    </row>
    <row r="4">
      <c r="B4" s="6" t="s">
        <v>5</v>
      </c>
      <c r="C4" s="7"/>
      <c r="D4" s="7"/>
      <c r="E4" s="8"/>
    </row>
    <row r="5">
      <c r="B5" s="6" t="s">
        <v>6</v>
      </c>
      <c r="C5" s="7"/>
      <c r="D5" s="7"/>
      <c r="E5" s="8"/>
    </row>
    <row r="6">
      <c r="B6" s="6" t="s">
        <v>7</v>
      </c>
      <c r="C6" s="7"/>
      <c r="D6" s="7"/>
      <c r="E6" s="8"/>
    </row>
    <row r="7">
      <c r="B7" s="6" t="s">
        <v>8</v>
      </c>
      <c r="C7" s="7"/>
      <c r="D7" s="7"/>
      <c r="E7" s="8"/>
    </row>
    <row r="8">
      <c r="B8" s="6" t="s">
        <v>9</v>
      </c>
      <c r="C8" s="7"/>
      <c r="D8" s="7"/>
      <c r="E8" s="8"/>
    </row>
    <row r="9">
      <c r="B9" s="6" t="s">
        <v>10</v>
      </c>
      <c r="C9" s="7"/>
      <c r="D9" s="7"/>
      <c r="E9" s="8"/>
    </row>
    <row r="10">
      <c r="B10" s="6" t="s">
        <v>11</v>
      </c>
      <c r="C10" s="7"/>
      <c r="D10" s="7"/>
      <c r="E10" s="8"/>
    </row>
    <row r="11">
      <c r="B11" s="6" t="s">
        <v>12</v>
      </c>
      <c r="C11" s="7"/>
      <c r="D11" s="7"/>
      <c r="E11" s="8"/>
    </row>
    <row r="12">
      <c r="B12" s="6" t="s">
        <v>13</v>
      </c>
      <c r="C12" s="7"/>
      <c r="D12" s="7"/>
      <c r="E12" s="8"/>
    </row>
    <row r="13">
      <c r="B13" s="5" t="s">
        <v>14</v>
      </c>
      <c r="C13" s="9"/>
      <c r="D13" s="3"/>
      <c r="E13" s="4"/>
    </row>
    <row r="15">
      <c r="B15" s="2" t="s">
        <v>15</v>
      </c>
      <c r="C15" s="3"/>
      <c r="D15" s="3"/>
      <c r="E15" s="4"/>
    </row>
    <row r="16">
      <c r="B16" s="5" t="s">
        <v>2</v>
      </c>
      <c r="C16" s="5" t="s">
        <v>3</v>
      </c>
      <c r="D16" s="5" t="s">
        <v>4</v>
      </c>
      <c r="E16" s="5" t="s">
        <v>4</v>
      </c>
    </row>
    <row r="17">
      <c r="B17" s="10" t="s">
        <v>16</v>
      </c>
      <c r="C17" s="7"/>
      <c r="D17" s="7"/>
      <c r="E17" s="8"/>
    </row>
    <row r="18">
      <c r="B18" s="6" t="s">
        <v>17</v>
      </c>
      <c r="C18" s="7"/>
      <c r="D18" s="7"/>
      <c r="E18" s="8"/>
    </row>
    <row r="19">
      <c r="B19" s="6" t="s">
        <v>18</v>
      </c>
      <c r="C19" s="7"/>
      <c r="D19" s="7"/>
      <c r="E19" s="8"/>
    </row>
    <row r="20">
      <c r="B20" s="6" t="s">
        <v>19</v>
      </c>
      <c r="C20" s="7"/>
      <c r="D20" s="7"/>
      <c r="E20" s="11">
        <v>2.0E9</v>
      </c>
    </row>
    <row r="21">
      <c r="B21" s="5" t="s">
        <v>14</v>
      </c>
      <c r="C21" s="9">
        <f>SUM(E17:E20)</f>
        <v>2000000000</v>
      </c>
      <c r="D21" s="3"/>
      <c r="E21" s="4"/>
    </row>
    <row r="23">
      <c r="B23" s="5" t="s">
        <v>20</v>
      </c>
      <c r="C23" s="12">
        <f>C21+C13</f>
        <v>2000000000</v>
      </c>
      <c r="D23" s="3"/>
      <c r="E23" s="4"/>
    </row>
    <row r="25">
      <c r="B25" s="2" t="s">
        <v>21</v>
      </c>
      <c r="C25" s="3"/>
      <c r="D25" s="3"/>
      <c r="E25" s="4"/>
    </row>
    <row r="26">
      <c r="B26" s="5" t="s">
        <v>2</v>
      </c>
      <c r="C26" s="5" t="s">
        <v>3</v>
      </c>
      <c r="D26" s="5" t="s">
        <v>4</v>
      </c>
      <c r="E26" s="5" t="s">
        <v>4</v>
      </c>
    </row>
    <row r="27">
      <c r="B27" s="10" t="s">
        <v>22</v>
      </c>
      <c r="C27" s="7"/>
      <c r="D27" s="7"/>
      <c r="E27" s="8"/>
    </row>
    <row r="28">
      <c r="B28" s="6" t="s">
        <v>23</v>
      </c>
      <c r="C28" s="7"/>
      <c r="D28" s="7"/>
      <c r="E28" s="8"/>
    </row>
    <row r="29">
      <c r="B29" s="6" t="s">
        <v>19</v>
      </c>
      <c r="C29" s="7"/>
      <c r="D29" s="7"/>
      <c r="E29" s="8"/>
    </row>
    <row r="30">
      <c r="B30" s="6" t="s">
        <v>24</v>
      </c>
      <c r="C30" s="7"/>
      <c r="D30" s="7"/>
      <c r="E30" s="8"/>
      <c r="H30" s="13">
        <f>75000/500</f>
        <v>150</v>
      </c>
    </row>
    <row r="31">
      <c r="B31" s="6" t="s">
        <v>25</v>
      </c>
      <c r="C31" s="7"/>
      <c r="D31" s="7"/>
      <c r="E31" s="8"/>
    </row>
    <row r="32">
      <c r="B32" s="6" t="s">
        <v>26</v>
      </c>
      <c r="C32" s="7"/>
      <c r="D32" s="7"/>
      <c r="E32" s="11">
        <v>1.5E7</v>
      </c>
    </row>
    <row r="33">
      <c r="B33" s="5" t="s">
        <v>14</v>
      </c>
      <c r="C33" s="14">
        <f>E32</f>
        <v>15000000</v>
      </c>
      <c r="D33" s="3"/>
      <c r="E33" s="4"/>
    </row>
  </sheetData>
  <mergeCells count="7">
    <mergeCell ref="B2:E2"/>
    <mergeCell ref="C13:E13"/>
    <mergeCell ref="B15:E15"/>
    <mergeCell ref="C21:E21"/>
    <mergeCell ref="C23:E23"/>
    <mergeCell ref="B25:E25"/>
    <mergeCell ref="C33:E3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</cols>
  <sheetData>
    <row r="2">
      <c r="B2" s="2" t="s">
        <v>1</v>
      </c>
      <c r="C2" s="3"/>
      <c r="D2" s="3"/>
      <c r="E2" s="4"/>
    </row>
    <row r="3">
      <c r="B3" s="5" t="s">
        <v>2</v>
      </c>
      <c r="C3" s="5" t="s">
        <v>3</v>
      </c>
      <c r="D3" s="5" t="s">
        <v>4</v>
      </c>
      <c r="E3" s="5" t="s">
        <v>4</v>
      </c>
    </row>
    <row r="4">
      <c r="B4" s="6" t="s">
        <v>27</v>
      </c>
      <c r="C4" s="7"/>
      <c r="D4" s="7"/>
      <c r="E4" s="8"/>
    </row>
    <row r="5">
      <c r="B5" s="6" t="s">
        <v>28</v>
      </c>
      <c r="C5" s="7"/>
      <c r="D5" s="7"/>
      <c r="E5" s="8"/>
    </row>
    <row r="6">
      <c r="B6" s="6" t="s">
        <v>29</v>
      </c>
      <c r="C6" s="7"/>
      <c r="D6" s="7"/>
      <c r="E6" s="8"/>
    </row>
    <row r="7">
      <c r="B7" s="6" t="s">
        <v>30</v>
      </c>
      <c r="C7" s="7"/>
      <c r="D7" s="7"/>
      <c r="E7" s="8"/>
    </row>
    <row r="8">
      <c r="B8" s="6" t="s">
        <v>31</v>
      </c>
      <c r="C8" s="7"/>
      <c r="D8" s="7"/>
      <c r="E8" s="8"/>
    </row>
    <row r="9">
      <c r="B9" s="6" t="s">
        <v>32</v>
      </c>
      <c r="C9" s="7"/>
      <c r="D9" s="7"/>
      <c r="E9" s="8"/>
    </row>
    <row r="10">
      <c r="B10" s="6" t="s">
        <v>33</v>
      </c>
      <c r="C10" s="7"/>
      <c r="D10" s="7"/>
      <c r="E10" s="8"/>
    </row>
    <row r="11">
      <c r="B11" s="6" t="s">
        <v>34</v>
      </c>
      <c r="C11" s="7"/>
      <c r="D11" s="7"/>
      <c r="E11" s="8"/>
    </row>
    <row r="12">
      <c r="B12" s="5" t="s">
        <v>14</v>
      </c>
      <c r="C12" s="9">
        <f>SUM(E4:E11)</f>
        <v>0</v>
      </c>
      <c r="D12" s="3"/>
      <c r="E12" s="4"/>
    </row>
    <row r="14">
      <c r="B14" s="2" t="s">
        <v>15</v>
      </c>
      <c r="C14" s="3"/>
      <c r="D14" s="3"/>
      <c r="E14" s="4"/>
    </row>
    <row r="15">
      <c r="B15" s="5" t="s">
        <v>2</v>
      </c>
      <c r="C15" s="5" t="s">
        <v>3</v>
      </c>
      <c r="D15" s="5" t="s">
        <v>4</v>
      </c>
      <c r="E15" s="5" t="s">
        <v>4</v>
      </c>
    </row>
    <row r="16">
      <c r="B16" s="10" t="s">
        <v>16</v>
      </c>
      <c r="C16" s="7"/>
      <c r="D16" s="7"/>
      <c r="E16" s="8"/>
    </row>
    <row r="17">
      <c r="B17" s="6" t="s">
        <v>17</v>
      </c>
      <c r="C17" s="7"/>
      <c r="D17" s="7"/>
      <c r="E17" s="8"/>
    </row>
    <row r="18">
      <c r="B18" s="6" t="s">
        <v>19</v>
      </c>
      <c r="C18" s="7"/>
      <c r="D18" s="7"/>
      <c r="E18" s="11">
        <v>2.0E9</v>
      </c>
    </row>
    <row r="19">
      <c r="B19" s="5" t="s">
        <v>14</v>
      </c>
      <c r="C19" s="9">
        <f>SUM(E16:E18)</f>
        <v>2000000000</v>
      </c>
      <c r="D19" s="3"/>
      <c r="E19" s="4"/>
    </row>
    <row r="21">
      <c r="B21" s="5" t="s">
        <v>20</v>
      </c>
      <c r="C21" s="12">
        <f>C19+C12</f>
        <v>2000000000</v>
      </c>
      <c r="D21" s="3"/>
      <c r="E21" s="4"/>
    </row>
    <row r="23">
      <c r="B23" s="2" t="s">
        <v>21</v>
      </c>
      <c r="C23" s="3"/>
      <c r="D23" s="3"/>
      <c r="E23" s="4"/>
    </row>
    <row r="24">
      <c r="B24" s="5" t="s">
        <v>2</v>
      </c>
      <c r="C24" s="5" t="s">
        <v>3</v>
      </c>
      <c r="D24" s="5" t="s">
        <v>4</v>
      </c>
      <c r="E24" s="5" t="s">
        <v>4</v>
      </c>
    </row>
    <row r="25">
      <c r="B25" s="10" t="s">
        <v>22</v>
      </c>
      <c r="C25" s="7"/>
      <c r="D25" s="7"/>
      <c r="E25" s="8"/>
    </row>
    <row r="26">
      <c r="B26" s="6" t="s">
        <v>23</v>
      </c>
      <c r="C26" s="7"/>
      <c r="D26" s="7"/>
      <c r="E26" s="8"/>
    </row>
    <row r="27">
      <c r="B27" s="6" t="s">
        <v>19</v>
      </c>
      <c r="C27" s="7"/>
      <c r="D27" s="7"/>
      <c r="E27" s="8"/>
    </row>
    <row r="28">
      <c r="B28" s="6" t="s">
        <v>24</v>
      </c>
      <c r="C28" s="7"/>
      <c r="D28" s="7"/>
      <c r="E28" s="8"/>
    </row>
    <row r="29">
      <c r="B29" s="6" t="s">
        <v>25</v>
      </c>
      <c r="C29" s="7"/>
      <c r="D29" s="7"/>
      <c r="E29" s="8"/>
    </row>
    <row r="30">
      <c r="B30" s="6" t="s">
        <v>26</v>
      </c>
      <c r="C30" s="7"/>
      <c r="D30" s="7"/>
      <c r="E30" s="11">
        <v>1.5E7</v>
      </c>
    </row>
    <row r="31">
      <c r="B31" s="5" t="s">
        <v>14</v>
      </c>
      <c r="C31" s="14">
        <f>E30</f>
        <v>15000000</v>
      </c>
      <c r="D31" s="3"/>
      <c r="E31" s="4"/>
    </row>
  </sheetData>
  <mergeCells count="7">
    <mergeCell ref="B2:E2"/>
    <mergeCell ref="C12:E12"/>
    <mergeCell ref="B14:E14"/>
    <mergeCell ref="C19:E19"/>
    <mergeCell ref="C21:E21"/>
    <mergeCell ref="B23:E23"/>
    <mergeCell ref="C31:E3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</cols>
  <sheetData>
    <row r="2">
      <c r="B2" s="2" t="s">
        <v>1</v>
      </c>
      <c r="C2" s="3"/>
      <c r="D2" s="3"/>
      <c r="E2" s="4"/>
    </row>
    <row r="3">
      <c r="B3" s="5" t="s">
        <v>2</v>
      </c>
      <c r="C3" s="5" t="s">
        <v>3</v>
      </c>
      <c r="D3" s="5" t="s">
        <v>4</v>
      </c>
      <c r="E3" s="5" t="s">
        <v>4</v>
      </c>
    </row>
    <row r="4">
      <c r="B4" s="6" t="s">
        <v>35</v>
      </c>
      <c r="C4" s="7"/>
      <c r="D4" s="7"/>
      <c r="E4" s="8"/>
    </row>
    <row r="5">
      <c r="B5" s="6" t="s">
        <v>36</v>
      </c>
      <c r="C5" s="7"/>
      <c r="D5" s="7"/>
      <c r="E5" s="8"/>
    </row>
    <row r="6">
      <c r="B6" s="6" t="s">
        <v>37</v>
      </c>
      <c r="C6" s="7"/>
      <c r="D6" s="7"/>
      <c r="E6" s="8"/>
    </row>
    <row r="7">
      <c r="B7" s="6" t="s">
        <v>30</v>
      </c>
      <c r="C7" s="7"/>
      <c r="D7" s="7"/>
      <c r="E7" s="8"/>
    </row>
    <row r="8">
      <c r="B8" s="6" t="s">
        <v>38</v>
      </c>
      <c r="C8" s="7"/>
      <c r="D8" s="7"/>
      <c r="E8" s="8"/>
    </row>
    <row r="9">
      <c r="B9" s="6" t="s">
        <v>39</v>
      </c>
      <c r="C9" s="7"/>
      <c r="D9" s="7"/>
      <c r="E9" s="8"/>
    </row>
    <row r="10">
      <c r="B10" s="6" t="s">
        <v>40</v>
      </c>
      <c r="C10" s="7"/>
      <c r="D10" s="7"/>
      <c r="E10" s="8"/>
    </row>
    <row r="11">
      <c r="B11" s="6" t="s">
        <v>41</v>
      </c>
      <c r="C11" s="7"/>
      <c r="D11" s="7"/>
      <c r="E11" s="8"/>
    </row>
    <row r="12">
      <c r="B12" s="6" t="s">
        <v>34</v>
      </c>
      <c r="C12" s="7"/>
      <c r="D12" s="7"/>
      <c r="E12" s="8"/>
    </row>
    <row r="13">
      <c r="B13" s="6" t="s">
        <v>42</v>
      </c>
      <c r="C13" s="7"/>
      <c r="D13" s="7"/>
      <c r="E13" s="8"/>
    </row>
    <row r="14">
      <c r="B14" s="5" t="s">
        <v>14</v>
      </c>
      <c r="C14" s="9">
        <f>SUM(E4:E13)</f>
        <v>0</v>
      </c>
      <c r="D14" s="3"/>
      <c r="E14" s="4"/>
    </row>
    <row r="16">
      <c r="B16" s="2" t="s">
        <v>15</v>
      </c>
      <c r="C16" s="3"/>
      <c r="D16" s="3"/>
      <c r="E16" s="4"/>
    </row>
    <row r="17">
      <c r="B17" s="5" t="s">
        <v>2</v>
      </c>
      <c r="C17" s="5" t="s">
        <v>3</v>
      </c>
      <c r="D17" s="5" t="s">
        <v>4</v>
      </c>
      <c r="E17" s="5" t="s">
        <v>4</v>
      </c>
    </row>
    <row r="18">
      <c r="B18" s="10" t="s">
        <v>16</v>
      </c>
      <c r="C18" s="7"/>
      <c r="D18" s="7"/>
      <c r="E18" s="8"/>
    </row>
    <row r="19">
      <c r="B19" s="6" t="s">
        <v>17</v>
      </c>
      <c r="C19" s="7"/>
      <c r="D19" s="7"/>
      <c r="E19" s="8"/>
    </row>
    <row r="20">
      <c r="B20" s="6" t="s">
        <v>19</v>
      </c>
      <c r="C20" s="7"/>
      <c r="D20" s="7"/>
      <c r="E20" s="11">
        <v>2.0E9</v>
      </c>
    </row>
    <row r="21">
      <c r="B21" s="5" t="s">
        <v>14</v>
      </c>
      <c r="C21" s="9">
        <f>SUM(E18:E20)</f>
        <v>2000000000</v>
      </c>
      <c r="D21" s="3"/>
      <c r="E21" s="4"/>
    </row>
    <row r="23">
      <c r="B23" s="5" t="s">
        <v>20</v>
      </c>
      <c r="C23" s="12">
        <f>C21+C14</f>
        <v>2000000000</v>
      </c>
      <c r="D23" s="3"/>
      <c r="E23" s="4"/>
    </row>
    <row r="25">
      <c r="B25" s="2" t="s">
        <v>21</v>
      </c>
      <c r="C25" s="3"/>
      <c r="D25" s="3"/>
      <c r="E25" s="4"/>
    </row>
    <row r="26">
      <c r="B26" s="5" t="s">
        <v>2</v>
      </c>
      <c r="C26" s="5" t="s">
        <v>3</v>
      </c>
      <c r="D26" s="5" t="s">
        <v>4</v>
      </c>
      <c r="E26" s="5" t="s">
        <v>4</v>
      </c>
    </row>
    <row r="27">
      <c r="B27" s="10" t="s">
        <v>22</v>
      </c>
      <c r="C27" s="7"/>
      <c r="D27" s="7"/>
      <c r="E27" s="8"/>
    </row>
    <row r="28">
      <c r="B28" s="6" t="s">
        <v>23</v>
      </c>
      <c r="C28" s="7"/>
      <c r="D28" s="7"/>
      <c r="E28" s="8"/>
    </row>
    <row r="29">
      <c r="B29" s="6" t="s">
        <v>19</v>
      </c>
      <c r="C29" s="7"/>
      <c r="D29" s="7"/>
      <c r="E29" s="8"/>
    </row>
    <row r="30">
      <c r="B30" s="6" t="s">
        <v>24</v>
      </c>
      <c r="C30" s="7"/>
      <c r="D30" s="7"/>
      <c r="E30" s="8"/>
    </row>
    <row r="31">
      <c r="B31" s="6" t="s">
        <v>25</v>
      </c>
      <c r="C31" s="7"/>
      <c r="D31" s="7"/>
      <c r="E31" s="8"/>
    </row>
    <row r="32">
      <c r="B32" s="6" t="s">
        <v>26</v>
      </c>
      <c r="C32" s="7"/>
      <c r="D32" s="7"/>
      <c r="E32" s="11">
        <v>1.5E7</v>
      </c>
    </row>
    <row r="33">
      <c r="B33" s="5" t="s">
        <v>14</v>
      </c>
      <c r="C33" s="14">
        <f>E32</f>
        <v>15000000</v>
      </c>
      <c r="D33" s="3"/>
      <c r="E33" s="4"/>
    </row>
  </sheetData>
  <mergeCells count="7">
    <mergeCell ref="B2:E2"/>
    <mergeCell ref="C14:E14"/>
    <mergeCell ref="B16:E16"/>
    <mergeCell ref="C21:E21"/>
    <mergeCell ref="C23:E23"/>
    <mergeCell ref="B25:E25"/>
    <mergeCell ref="C33:E3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2" max="2" width="18.5"/>
    <col customWidth="1" min="4" max="4" width="14.38"/>
    <col customWidth="1" min="6" max="6" width="18.5"/>
    <col customWidth="1" min="10" max="10" width="19.88"/>
    <col customWidth="1" min="12" max="12" width="6.5"/>
  </cols>
  <sheetData>
    <row r="2">
      <c r="B2" s="6" t="s">
        <v>43</v>
      </c>
      <c r="C2" s="11">
        <v>41300.0</v>
      </c>
      <c r="F2" s="6" t="s">
        <v>43</v>
      </c>
      <c r="G2" s="11">
        <v>79519.0</v>
      </c>
      <c r="J2" s="6" t="s">
        <v>43</v>
      </c>
      <c r="K2" s="11">
        <v>38300.0</v>
      </c>
    </row>
    <row r="3">
      <c r="B3" s="15" t="s">
        <v>44</v>
      </c>
      <c r="F3" s="15" t="s">
        <v>45</v>
      </c>
      <c r="J3" s="15" t="s">
        <v>46</v>
      </c>
    </row>
    <row r="4">
      <c r="B4" s="2" t="s">
        <v>47</v>
      </c>
      <c r="C4" s="3"/>
      <c r="D4" s="4"/>
      <c r="F4" s="2" t="s">
        <v>48</v>
      </c>
      <c r="G4" s="3"/>
      <c r="H4" s="4"/>
      <c r="J4" s="2" t="s">
        <v>49</v>
      </c>
      <c r="K4" s="3"/>
      <c r="L4" s="4"/>
    </row>
    <row r="5">
      <c r="B5" s="16"/>
      <c r="C5" s="17"/>
      <c r="D5" s="18"/>
      <c r="F5" s="16"/>
      <c r="G5" s="17"/>
      <c r="H5" s="18"/>
      <c r="J5" s="16"/>
      <c r="K5" s="17"/>
      <c r="L5" s="18"/>
    </row>
    <row r="6">
      <c r="B6" s="19"/>
      <c r="D6" s="20"/>
      <c r="F6" s="19"/>
      <c r="H6" s="20"/>
      <c r="J6" s="19"/>
      <c r="L6" s="20"/>
    </row>
    <row r="7">
      <c r="B7" s="19"/>
      <c r="D7" s="20"/>
      <c r="F7" s="19"/>
      <c r="H7" s="20"/>
      <c r="J7" s="19"/>
      <c r="L7" s="20"/>
    </row>
    <row r="8">
      <c r="B8" s="19"/>
      <c r="D8" s="20"/>
      <c r="F8" s="19"/>
      <c r="H8" s="20"/>
      <c r="J8" s="19"/>
      <c r="L8" s="20"/>
    </row>
    <row r="9">
      <c r="B9" s="19"/>
      <c r="D9" s="20"/>
      <c r="F9" s="19"/>
      <c r="H9" s="20"/>
      <c r="J9" s="19"/>
      <c r="L9" s="20"/>
    </row>
    <row r="10">
      <c r="B10" s="19"/>
      <c r="D10" s="20"/>
      <c r="F10" s="19"/>
      <c r="H10" s="20"/>
      <c r="J10" s="19"/>
      <c r="L10" s="20"/>
    </row>
    <row r="11">
      <c r="B11" s="19"/>
      <c r="D11" s="20"/>
      <c r="F11" s="19"/>
      <c r="H11" s="20"/>
      <c r="J11" s="19"/>
      <c r="L11" s="20"/>
    </row>
    <row r="12">
      <c r="B12" s="19"/>
      <c r="D12" s="20"/>
      <c r="F12" s="19"/>
      <c r="H12" s="20"/>
      <c r="J12" s="19"/>
      <c r="L12" s="20"/>
    </row>
    <row r="13">
      <c r="B13" s="19"/>
      <c r="D13" s="20"/>
      <c r="F13" s="19"/>
      <c r="H13" s="20"/>
      <c r="J13" s="19"/>
      <c r="L13" s="20"/>
    </row>
    <row r="14">
      <c r="B14" s="19"/>
      <c r="D14" s="20"/>
      <c r="F14" s="19"/>
      <c r="H14" s="20"/>
      <c r="J14" s="19"/>
      <c r="L14" s="20"/>
    </row>
    <row r="15">
      <c r="B15" s="19"/>
      <c r="D15" s="20"/>
      <c r="F15" s="19"/>
      <c r="H15" s="20"/>
      <c r="J15" s="19"/>
      <c r="L15" s="20"/>
    </row>
    <row r="16">
      <c r="B16" s="19"/>
      <c r="D16" s="20"/>
      <c r="F16" s="19"/>
      <c r="H16" s="20"/>
      <c r="J16" s="19"/>
      <c r="L16" s="20"/>
    </row>
    <row r="17">
      <c r="B17" s="21"/>
      <c r="C17" s="22"/>
      <c r="D17" s="23"/>
      <c r="F17" s="21"/>
      <c r="G17" s="22"/>
      <c r="H17" s="23"/>
      <c r="J17" s="21"/>
      <c r="K17" s="22"/>
      <c r="L17" s="23"/>
    </row>
    <row r="18">
      <c r="B18" s="6" t="s">
        <v>50</v>
      </c>
      <c r="C18" s="24">
        <v>1.62</v>
      </c>
      <c r="D18" s="4"/>
      <c r="F18" s="6" t="s">
        <v>50</v>
      </c>
      <c r="G18" s="24">
        <v>1.44</v>
      </c>
      <c r="H18" s="4"/>
      <c r="J18" s="6" t="s">
        <v>50</v>
      </c>
      <c r="K18" s="24">
        <v>1.89</v>
      </c>
      <c r="L18" s="4"/>
    </row>
    <row r="19">
      <c r="B19" s="6" t="s">
        <v>51</v>
      </c>
      <c r="C19" s="9">
        <f>C18*C2</f>
        <v>66906</v>
      </c>
      <c r="D19" s="4"/>
      <c r="F19" s="6" t="s">
        <v>51</v>
      </c>
      <c r="G19" s="9">
        <f>G18*G2</f>
        <v>114507.36</v>
      </c>
      <c r="H19" s="4"/>
      <c r="J19" s="6" t="s">
        <v>51</v>
      </c>
      <c r="K19" s="9">
        <f>K18*K2</f>
        <v>72387</v>
      </c>
      <c r="L19" s="4"/>
    </row>
    <row r="20">
      <c r="B20" s="6" t="s">
        <v>52</v>
      </c>
      <c r="C20" s="25">
        <v>70000.0</v>
      </c>
      <c r="D20" s="4"/>
      <c r="F20" s="6" t="s">
        <v>52</v>
      </c>
      <c r="G20" s="25">
        <v>54000.0</v>
      </c>
      <c r="H20" s="4"/>
      <c r="J20" s="6" t="s">
        <v>52</v>
      </c>
      <c r="K20" s="25">
        <v>53000.0</v>
      </c>
      <c r="L20" s="4"/>
    </row>
    <row r="21">
      <c r="B21" s="6" t="s">
        <v>53</v>
      </c>
      <c r="C21" s="9">
        <f>C20*C19</f>
        <v>4683420000</v>
      </c>
      <c r="D21" s="4"/>
      <c r="F21" s="6" t="s">
        <v>53</v>
      </c>
      <c r="G21" s="9">
        <f>G20*G19</f>
        <v>6183397440</v>
      </c>
      <c r="H21" s="4"/>
      <c r="J21" s="6" t="s">
        <v>53</v>
      </c>
      <c r="K21" s="9">
        <f>K20*K19</f>
        <v>3836511000</v>
      </c>
      <c r="L21" s="4"/>
    </row>
    <row r="23">
      <c r="F23" s="6" t="s">
        <v>14</v>
      </c>
      <c r="G23" s="8">
        <f>SUM(C21+G21+K21)</f>
        <v>14703328440</v>
      </c>
    </row>
    <row r="24">
      <c r="B24" s="25" t="s">
        <v>54</v>
      </c>
      <c r="C24" s="4"/>
      <c r="D24" s="8">
        <f>AVERAGE(C2,G2,K2)</f>
        <v>53039.66667</v>
      </c>
    </row>
    <row r="25">
      <c r="B25" s="25" t="s">
        <v>55</v>
      </c>
      <c r="C25" s="4"/>
      <c r="D25" s="6">
        <v>233000.0</v>
      </c>
    </row>
    <row r="26">
      <c r="B26" s="25" t="s">
        <v>56</v>
      </c>
      <c r="C26" s="4"/>
      <c r="D26" s="6">
        <v>510000.0</v>
      </c>
    </row>
    <row r="27">
      <c r="B27" s="25" t="s">
        <v>57</v>
      </c>
      <c r="C27" s="4"/>
      <c r="D27" s="7">
        <f>D26-D25</f>
        <v>277000</v>
      </c>
    </row>
    <row r="28">
      <c r="B28" s="25" t="s">
        <v>58</v>
      </c>
      <c r="C28" s="4"/>
      <c r="D28" s="8">
        <f>D27*D24</f>
        <v>14691987667</v>
      </c>
    </row>
  </sheetData>
  <mergeCells count="23">
    <mergeCell ref="C19:D19"/>
    <mergeCell ref="C20:D20"/>
    <mergeCell ref="C21:D21"/>
    <mergeCell ref="K21:L21"/>
    <mergeCell ref="K20:L20"/>
    <mergeCell ref="K19:L19"/>
    <mergeCell ref="F5:H17"/>
    <mergeCell ref="F4:H4"/>
    <mergeCell ref="J5:L17"/>
    <mergeCell ref="J4:L4"/>
    <mergeCell ref="K18:L18"/>
    <mergeCell ref="B24:C24"/>
    <mergeCell ref="B27:C27"/>
    <mergeCell ref="B28:C28"/>
    <mergeCell ref="B25:C25"/>
    <mergeCell ref="B26:C26"/>
    <mergeCell ref="B4:D4"/>
    <mergeCell ref="B5:D17"/>
    <mergeCell ref="C18:D18"/>
    <mergeCell ref="G21:H21"/>
    <mergeCell ref="G20:H20"/>
    <mergeCell ref="G19:H19"/>
    <mergeCell ref="G18:H18"/>
  </mergeCells>
  <hyperlinks>
    <hyperlink r:id="rId1" ref="B3"/>
    <hyperlink r:id="rId2" ref="F3"/>
    <hyperlink r:id="rId3" ref="J3"/>
  </hyperlinks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63"/>
    <col customWidth="1" min="2" max="2" width="15.5"/>
    <col customWidth="1" min="3" max="3" width="14.88"/>
    <col customWidth="1" min="4" max="6" width="14.13"/>
    <col customWidth="1" min="7" max="9" width="14.88"/>
    <col customWidth="1" min="10" max="13" width="14.13"/>
    <col customWidth="1" min="14" max="14" width="14.88"/>
  </cols>
  <sheetData>
    <row r="3">
      <c r="B3" s="26" t="s">
        <v>59</v>
      </c>
      <c r="C3" s="4"/>
      <c r="E3" s="26" t="s">
        <v>60</v>
      </c>
      <c r="F3" s="4"/>
      <c r="H3" s="26" t="s">
        <v>21</v>
      </c>
      <c r="I3" s="4"/>
      <c r="K3" s="26" t="s">
        <v>61</v>
      </c>
      <c r="L3" s="4"/>
    </row>
    <row r="4">
      <c r="B4" s="5" t="s">
        <v>62</v>
      </c>
      <c r="C4" s="5" t="s">
        <v>4</v>
      </c>
      <c r="E4" s="5" t="s">
        <v>62</v>
      </c>
      <c r="F4" s="5" t="s">
        <v>4</v>
      </c>
      <c r="H4" s="5" t="s">
        <v>62</v>
      </c>
      <c r="I4" s="5" t="s">
        <v>4</v>
      </c>
      <c r="K4" s="5" t="s">
        <v>62</v>
      </c>
      <c r="L4" s="5" t="s">
        <v>4</v>
      </c>
    </row>
    <row r="5">
      <c r="B5" s="6" t="s">
        <v>63</v>
      </c>
      <c r="C5" s="11">
        <f>CeldaRobotizada!C23</f>
        <v>2000000000</v>
      </c>
      <c r="E5" s="6" t="s">
        <v>63</v>
      </c>
      <c r="F5" s="11">
        <v>0.0</v>
      </c>
      <c r="H5" s="6" t="s">
        <v>63</v>
      </c>
      <c r="I5" s="11">
        <f>CeldaRobotizada!C33</f>
        <v>15000000</v>
      </c>
      <c r="K5" s="6" t="s">
        <v>64</v>
      </c>
      <c r="L5" s="11">
        <f>Ingresos!C21</f>
        <v>4683420000</v>
      </c>
    </row>
    <row r="6">
      <c r="B6" s="6" t="s">
        <v>65</v>
      </c>
      <c r="C6" s="11">
        <f>Comunicaciones!C21</f>
        <v>2000000000</v>
      </c>
      <c r="E6" s="6" t="s">
        <v>65</v>
      </c>
      <c r="F6" s="11">
        <v>0.0</v>
      </c>
      <c r="H6" s="6" t="s">
        <v>65</v>
      </c>
      <c r="I6" s="11">
        <f>Comunicaciones!C31</f>
        <v>15000000</v>
      </c>
      <c r="K6" s="6" t="s">
        <v>66</v>
      </c>
      <c r="L6" s="11">
        <f>Ingresos!G21</f>
        <v>6183397440</v>
      </c>
    </row>
    <row r="7">
      <c r="B7" s="6" t="s">
        <v>67</v>
      </c>
      <c r="C7" s="11">
        <f>SCADA!C23</f>
        <v>2000000000</v>
      </c>
      <c r="E7" s="6" t="s">
        <v>67</v>
      </c>
      <c r="F7" s="11">
        <v>0.0</v>
      </c>
      <c r="H7" s="6" t="s">
        <v>67</v>
      </c>
      <c r="I7" s="11">
        <f>SCADA!C33</f>
        <v>15000000</v>
      </c>
      <c r="K7" s="6" t="s">
        <v>68</v>
      </c>
      <c r="L7" s="11">
        <f>Ingresos!K21</f>
        <v>3836511000</v>
      </c>
    </row>
    <row r="8">
      <c r="B8" s="5" t="s">
        <v>14</v>
      </c>
      <c r="C8" s="11">
        <f>SUM(C5:C7)</f>
        <v>6000000000</v>
      </c>
      <c r="E8" s="5" t="s">
        <v>14</v>
      </c>
      <c r="F8" s="11">
        <f>SUM(F5:F7)</f>
        <v>0</v>
      </c>
      <c r="H8" s="5" t="s">
        <v>14</v>
      </c>
      <c r="I8" s="11">
        <f>SUM(I5:I7)</f>
        <v>45000000</v>
      </c>
      <c r="K8" s="5" t="s">
        <v>14</v>
      </c>
      <c r="L8" s="11">
        <f>SUM(L5:L7)</f>
        <v>14703328440</v>
      </c>
    </row>
    <row r="11">
      <c r="A11" s="27" t="s">
        <v>69</v>
      </c>
      <c r="B11" s="28">
        <v>0.0</v>
      </c>
      <c r="C11" s="28">
        <v>1.0</v>
      </c>
      <c r="D11" s="28">
        <v>2.0</v>
      </c>
      <c r="E11" s="28">
        <v>3.0</v>
      </c>
      <c r="F11" s="28">
        <v>4.0</v>
      </c>
      <c r="G11" s="28">
        <v>5.0</v>
      </c>
      <c r="H11" s="28">
        <v>6.0</v>
      </c>
      <c r="I11" s="28">
        <v>7.0</v>
      </c>
      <c r="J11" s="28">
        <v>8.0</v>
      </c>
      <c r="K11" s="28">
        <v>9.0</v>
      </c>
      <c r="L11" s="28">
        <v>10.0</v>
      </c>
      <c r="M11" s="28">
        <v>11.0</v>
      </c>
      <c r="N11" s="28">
        <v>12.0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30" t="s">
        <v>70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4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>
      <c r="A13" s="32" t="s">
        <v>61</v>
      </c>
      <c r="B13" s="33"/>
      <c r="C13" s="34">
        <f t="shared" ref="C13:N13" si="1">$L$8</f>
        <v>14703328440</v>
      </c>
      <c r="D13" s="34">
        <f t="shared" si="1"/>
        <v>14703328440</v>
      </c>
      <c r="E13" s="34">
        <f t="shared" si="1"/>
        <v>14703328440</v>
      </c>
      <c r="F13" s="34">
        <f t="shared" si="1"/>
        <v>14703328440</v>
      </c>
      <c r="G13" s="34">
        <f t="shared" si="1"/>
        <v>14703328440</v>
      </c>
      <c r="H13" s="34">
        <f t="shared" si="1"/>
        <v>14703328440</v>
      </c>
      <c r="I13" s="34">
        <f t="shared" si="1"/>
        <v>14703328440</v>
      </c>
      <c r="J13" s="34">
        <f t="shared" si="1"/>
        <v>14703328440</v>
      </c>
      <c r="K13" s="34">
        <f t="shared" si="1"/>
        <v>14703328440</v>
      </c>
      <c r="L13" s="34">
        <f t="shared" si="1"/>
        <v>14703328440</v>
      </c>
      <c r="M13" s="34">
        <f t="shared" si="1"/>
        <v>14703328440</v>
      </c>
      <c r="N13" s="34">
        <f t="shared" si="1"/>
        <v>14703328440</v>
      </c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>
      <c r="A14" s="35" t="s">
        <v>71</v>
      </c>
      <c r="B14" s="33"/>
      <c r="C14" s="36">
        <f t="shared" ref="C14:N14" si="2">C13</f>
        <v>14703328440</v>
      </c>
      <c r="D14" s="36">
        <f t="shared" si="2"/>
        <v>14703328440</v>
      </c>
      <c r="E14" s="36">
        <f t="shared" si="2"/>
        <v>14703328440</v>
      </c>
      <c r="F14" s="36">
        <f t="shared" si="2"/>
        <v>14703328440</v>
      </c>
      <c r="G14" s="36">
        <f t="shared" si="2"/>
        <v>14703328440</v>
      </c>
      <c r="H14" s="36">
        <f t="shared" si="2"/>
        <v>14703328440</v>
      </c>
      <c r="I14" s="36">
        <f t="shared" si="2"/>
        <v>14703328440</v>
      </c>
      <c r="J14" s="36">
        <f t="shared" si="2"/>
        <v>14703328440</v>
      </c>
      <c r="K14" s="36">
        <f t="shared" si="2"/>
        <v>14703328440</v>
      </c>
      <c r="L14" s="36">
        <f t="shared" si="2"/>
        <v>14703328440</v>
      </c>
      <c r="M14" s="36">
        <f t="shared" si="2"/>
        <v>14703328440</v>
      </c>
      <c r="N14" s="36">
        <f t="shared" si="2"/>
        <v>14703328440</v>
      </c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>
      <c r="A15" s="30" t="s">
        <v>72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4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>
      <c r="A16" s="32" t="s">
        <v>73</v>
      </c>
      <c r="B16" s="36">
        <f>C8</f>
        <v>6000000000</v>
      </c>
      <c r="C16" s="37" t="s">
        <v>74</v>
      </c>
      <c r="D16" s="37" t="s">
        <v>74</v>
      </c>
      <c r="E16" s="37" t="s">
        <v>74</v>
      </c>
      <c r="F16" s="37" t="s">
        <v>74</v>
      </c>
      <c r="G16" s="37" t="s">
        <v>74</v>
      </c>
      <c r="H16" s="37" t="s">
        <v>74</v>
      </c>
      <c r="I16" s="37" t="s">
        <v>74</v>
      </c>
      <c r="J16" s="37" t="s">
        <v>74</v>
      </c>
      <c r="K16" s="37" t="s">
        <v>74</v>
      </c>
      <c r="L16" s="37" t="s">
        <v>74</v>
      </c>
      <c r="M16" s="37" t="s">
        <v>74</v>
      </c>
      <c r="N16" s="37" t="s">
        <v>74</v>
      </c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>
      <c r="A17" s="32" t="s">
        <v>21</v>
      </c>
      <c r="B17" s="37" t="s">
        <v>74</v>
      </c>
      <c r="C17" s="34">
        <f t="shared" ref="C17:N17" si="3">$I$8</f>
        <v>45000000</v>
      </c>
      <c r="D17" s="34">
        <f t="shared" si="3"/>
        <v>45000000</v>
      </c>
      <c r="E17" s="34">
        <f t="shared" si="3"/>
        <v>45000000</v>
      </c>
      <c r="F17" s="34">
        <f t="shared" si="3"/>
        <v>45000000</v>
      </c>
      <c r="G17" s="34">
        <f t="shared" si="3"/>
        <v>45000000</v>
      </c>
      <c r="H17" s="34">
        <f t="shared" si="3"/>
        <v>45000000</v>
      </c>
      <c r="I17" s="34">
        <f t="shared" si="3"/>
        <v>45000000</v>
      </c>
      <c r="J17" s="34">
        <f t="shared" si="3"/>
        <v>45000000</v>
      </c>
      <c r="K17" s="34">
        <f t="shared" si="3"/>
        <v>45000000</v>
      </c>
      <c r="L17" s="34">
        <f t="shared" si="3"/>
        <v>45000000</v>
      </c>
      <c r="M17" s="34">
        <f t="shared" si="3"/>
        <v>45000000</v>
      </c>
      <c r="N17" s="34">
        <f t="shared" si="3"/>
        <v>45000000</v>
      </c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>
      <c r="A18" s="32" t="s">
        <v>60</v>
      </c>
      <c r="B18" s="37" t="s">
        <v>74</v>
      </c>
      <c r="C18" s="34">
        <f t="shared" ref="C18:N18" si="4">$F$8</f>
        <v>0</v>
      </c>
      <c r="D18" s="34">
        <f t="shared" si="4"/>
        <v>0</v>
      </c>
      <c r="E18" s="34">
        <f t="shared" si="4"/>
        <v>0</v>
      </c>
      <c r="F18" s="34">
        <f t="shared" si="4"/>
        <v>0</v>
      </c>
      <c r="G18" s="34">
        <f t="shared" si="4"/>
        <v>0</v>
      </c>
      <c r="H18" s="34">
        <f t="shared" si="4"/>
        <v>0</v>
      </c>
      <c r="I18" s="34">
        <f t="shared" si="4"/>
        <v>0</v>
      </c>
      <c r="J18" s="34">
        <f t="shared" si="4"/>
        <v>0</v>
      </c>
      <c r="K18" s="34">
        <f t="shared" si="4"/>
        <v>0</v>
      </c>
      <c r="L18" s="34">
        <f t="shared" si="4"/>
        <v>0</v>
      </c>
      <c r="M18" s="34">
        <f t="shared" si="4"/>
        <v>0</v>
      </c>
      <c r="N18" s="34">
        <f t="shared" si="4"/>
        <v>0</v>
      </c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>
      <c r="A19" s="35" t="s">
        <v>75</v>
      </c>
      <c r="B19" s="36">
        <f t="shared" ref="B19:N19" si="5">SUM(B16:B18)</f>
        <v>6000000000</v>
      </c>
      <c r="C19" s="34">
        <f t="shared" si="5"/>
        <v>45000000</v>
      </c>
      <c r="D19" s="34">
        <f t="shared" si="5"/>
        <v>45000000</v>
      </c>
      <c r="E19" s="34">
        <f t="shared" si="5"/>
        <v>45000000</v>
      </c>
      <c r="F19" s="34">
        <f t="shared" si="5"/>
        <v>45000000</v>
      </c>
      <c r="G19" s="34">
        <f t="shared" si="5"/>
        <v>45000000</v>
      </c>
      <c r="H19" s="34">
        <f t="shared" si="5"/>
        <v>45000000</v>
      </c>
      <c r="I19" s="34">
        <f t="shared" si="5"/>
        <v>45000000</v>
      </c>
      <c r="J19" s="34">
        <f t="shared" si="5"/>
        <v>45000000</v>
      </c>
      <c r="K19" s="34">
        <f t="shared" si="5"/>
        <v>45000000</v>
      </c>
      <c r="L19" s="34">
        <f t="shared" si="5"/>
        <v>45000000</v>
      </c>
      <c r="M19" s="34">
        <f t="shared" si="5"/>
        <v>45000000</v>
      </c>
      <c r="N19" s="34">
        <f t="shared" si="5"/>
        <v>45000000</v>
      </c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>
      <c r="A20" s="38" t="s">
        <v>76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4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>
      <c r="A21" s="32" t="s">
        <v>77</v>
      </c>
      <c r="B21" s="36">
        <f t="shared" ref="B21:N21" si="6">B14-B19</f>
        <v>-6000000000</v>
      </c>
      <c r="C21" s="36">
        <f t="shared" si="6"/>
        <v>14658328440</v>
      </c>
      <c r="D21" s="36">
        <f t="shared" si="6"/>
        <v>14658328440</v>
      </c>
      <c r="E21" s="36">
        <f t="shared" si="6"/>
        <v>14658328440</v>
      </c>
      <c r="F21" s="36">
        <f t="shared" si="6"/>
        <v>14658328440</v>
      </c>
      <c r="G21" s="36">
        <f t="shared" si="6"/>
        <v>14658328440</v>
      </c>
      <c r="H21" s="36">
        <f t="shared" si="6"/>
        <v>14658328440</v>
      </c>
      <c r="I21" s="36">
        <f t="shared" si="6"/>
        <v>14658328440</v>
      </c>
      <c r="J21" s="36">
        <f t="shared" si="6"/>
        <v>14658328440</v>
      </c>
      <c r="K21" s="36">
        <f t="shared" si="6"/>
        <v>14658328440</v>
      </c>
      <c r="L21" s="36">
        <f t="shared" si="6"/>
        <v>14658328440</v>
      </c>
      <c r="M21" s="36">
        <f t="shared" si="6"/>
        <v>14658328440</v>
      </c>
      <c r="N21" s="36">
        <f t="shared" si="6"/>
        <v>14658328440</v>
      </c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>
      <c r="A22" s="39" t="s">
        <v>78</v>
      </c>
      <c r="B22" s="36">
        <f t="shared" ref="B22:N22" si="7">(B21/(1+$B$27)^B11)</f>
        <v>-6000000000</v>
      </c>
      <c r="C22" s="36">
        <f t="shared" si="7"/>
        <v>13960312800</v>
      </c>
      <c r="D22" s="36">
        <f t="shared" si="7"/>
        <v>13295536000</v>
      </c>
      <c r="E22" s="36">
        <f t="shared" si="7"/>
        <v>12662415238</v>
      </c>
      <c r="F22" s="36">
        <f t="shared" si="7"/>
        <v>12059443084</v>
      </c>
      <c r="G22" s="36">
        <f t="shared" si="7"/>
        <v>11485183889</v>
      </c>
      <c r="H22" s="36">
        <f t="shared" si="7"/>
        <v>10938270371</v>
      </c>
      <c r="I22" s="36">
        <f t="shared" si="7"/>
        <v>10417400353</v>
      </c>
      <c r="J22" s="36">
        <f t="shared" si="7"/>
        <v>9921333670</v>
      </c>
      <c r="K22" s="36">
        <f t="shared" si="7"/>
        <v>9448889209</v>
      </c>
      <c r="L22" s="36">
        <f t="shared" si="7"/>
        <v>8998942104</v>
      </c>
      <c r="M22" s="36">
        <f t="shared" si="7"/>
        <v>8570421051</v>
      </c>
      <c r="N22" s="36">
        <f t="shared" si="7"/>
        <v>8162305763</v>
      </c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>
      <c r="A23" s="39" t="s">
        <v>79</v>
      </c>
      <c r="B23" s="40">
        <f>B22</f>
        <v>-6000000000</v>
      </c>
      <c r="C23" s="41">
        <f t="shared" ref="C23:N23" si="8">C22+B23</f>
        <v>7960312800</v>
      </c>
      <c r="D23" s="41">
        <f t="shared" si="8"/>
        <v>21255848800</v>
      </c>
      <c r="E23" s="41">
        <f t="shared" si="8"/>
        <v>33918264038</v>
      </c>
      <c r="F23" s="41">
        <f t="shared" si="8"/>
        <v>45977707122</v>
      </c>
      <c r="G23" s="41">
        <f t="shared" si="8"/>
        <v>57462891011</v>
      </c>
      <c r="H23" s="41">
        <f t="shared" si="8"/>
        <v>68401161382</v>
      </c>
      <c r="I23" s="41">
        <f t="shared" si="8"/>
        <v>78818561736</v>
      </c>
      <c r="J23" s="41">
        <f t="shared" si="8"/>
        <v>88739895405</v>
      </c>
      <c r="K23" s="41">
        <f t="shared" si="8"/>
        <v>98188784615</v>
      </c>
      <c r="L23" s="41">
        <f t="shared" si="8"/>
        <v>107187726719</v>
      </c>
      <c r="M23" s="41">
        <f t="shared" si="8"/>
        <v>115758147770</v>
      </c>
      <c r="N23" s="41">
        <f t="shared" si="8"/>
        <v>123920453533</v>
      </c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>
      <c r="C25" s="31"/>
      <c r="D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>
      <c r="A26" s="42" t="s">
        <v>80</v>
      </c>
      <c r="B26" s="4"/>
      <c r="C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>
      <c r="A27" s="39" t="s">
        <v>81</v>
      </c>
      <c r="B27" s="43">
        <v>0.05</v>
      </c>
      <c r="C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>
      <c r="A28" s="44" t="s">
        <v>82</v>
      </c>
      <c r="B28" s="45">
        <f t="array" ref="B28">NPV(B27,C21:N21)</f>
        <v>129920453533</v>
      </c>
      <c r="C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>
      <c r="A29" s="44" t="s">
        <v>59</v>
      </c>
      <c r="B29" s="45">
        <f>C8</f>
        <v>6000000000</v>
      </c>
      <c r="C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>
      <c r="A30" s="46" t="s">
        <v>83</v>
      </c>
      <c r="B30" s="47">
        <f>B28-B29</f>
        <v>123920453533</v>
      </c>
      <c r="C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>
      <c r="A31" s="48" t="s">
        <v>84</v>
      </c>
      <c r="B31" s="49">
        <f>IRR(B21:N21)</f>
        <v>2.44305386</v>
      </c>
      <c r="C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>
      <c r="A32" s="50" t="s">
        <v>85</v>
      </c>
      <c r="B32" s="51">
        <v>7.0</v>
      </c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>
      <c r="A34" s="30" t="s">
        <v>86</v>
      </c>
      <c r="B34" s="4"/>
      <c r="C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>
      <c r="A35" s="32" t="s">
        <v>61</v>
      </c>
      <c r="B35" s="36">
        <f>SUM(C14:N14)</f>
        <v>176439941280</v>
      </c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>
      <c r="A36" s="32" t="s">
        <v>87</v>
      </c>
      <c r="B36" s="36">
        <f>SUM(C19:N19)</f>
        <v>540000000</v>
      </c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>
      <c r="A37" s="32" t="s">
        <v>88</v>
      </c>
      <c r="B37" s="36">
        <f>B35-B36</f>
        <v>175899941280</v>
      </c>
      <c r="C37" s="31"/>
      <c r="D37" s="31"/>
      <c r="E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>
      <c r="A38" s="32" t="s">
        <v>89</v>
      </c>
      <c r="B38" s="36">
        <v>0.0</v>
      </c>
      <c r="C38" s="31"/>
      <c r="D38" s="31"/>
      <c r="E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>
      <c r="A39" s="32" t="s">
        <v>90</v>
      </c>
      <c r="B39" s="36">
        <f>B37-B38</f>
        <v>175899941280</v>
      </c>
      <c r="C39" s="31"/>
      <c r="D39" s="31"/>
      <c r="E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>
      <c r="A40" s="32" t="s">
        <v>91</v>
      </c>
      <c r="B40" s="36">
        <f>B39*0.19</f>
        <v>33420988843</v>
      </c>
      <c r="C40" s="31"/>
      <c r="D40" s="31"/>
      <c r="E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>
      <c r="A41" s="32" t="s">
        <v>92</v>
      </c>
      <c r="B41" s="36">
        <f>B39-B40</f>
        <v>142478952437</v>
      </c>
      <c r="C41" s="31"/>
      <c r="D41" s="31"/>
      <c r="E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>
      <c r="A42" s="6" t="s">
        <v>93</v>
      </c>
      <c r="B42" s="7">
        <f>(B41-C8)/(C8)</f>
        <v>22.74649207</v>
      </c>
      <c r="C42" s="31"/>
      <c r="D42" s="31"/>
      <c r="E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>
      <c r="A46" s="52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>
      <c r="A47" s="52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>
      <c r="A48" s="52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</sheetData>
  <mergeCells count="9">
    <mergeCell ref="A26:B26"/>
    <mergeCell ref="A34:B34"/>
    <mergeCell ref="B3:C3"/>
    <mergeCell ref="E3:F3"/>
    <mergeCell ref="H3:I3"/>
    <mergeCell ref="K3:L3"/>
    <mergeCell ref="A12:N12"/>
    <mergeCell ref="A15:N15"/>
    <mergeCell ref="A20:N20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9999"/>
    <outlinePr summaryBelow="0" summaryRight="0"/>
  </sheetPr>
  <sheetViews>
    <sheetView workbookViewId="0"/>
  </sheetViews>
  <sheetFormatPr customHeight="1" defaultColWidth="12.63" defaultRowHeight="15.75"/>
  <cols>
    <col customWidth="1" min="5" max="5" width="11.13"/>
    <col customWidth="1" min="6" max="6" width="19.0"/>
  </cols>
  <sheetData>
    <row r="2">
      <c r="D2" s="53"/>
      <c r="E2" s="7"/>
      <c r="F2" s="6" t="s">
        <v>94</v>
      </c>
    </row>
    <row r="3">
      <c r="E3" s="6" t="s">
        <v>95</v>
      </c>
      <c r="F3" s="54">
        <v>250.0</v>
      </c>
    </row>
    <row r="4">
      <c r="E4" s="6" t="s">
        <v>96</v>
      </c>
      <c r="F4" s="55">
        <f>F3*30</f>
        <v>7500</v>
      </c>
    </row>
    <row r="5">
      <c r="E5" s="6" t="s">
        <v>97</v>
      </c>
      <c r="F5" s="55">
        <f>F4*228.28</f>
        <v>1712100</v>
      </c>
    </row>
    <row r="7">
      <c r="B7" s="56" t="s">
        <v>98</v>
      </c>
      <c r="C7" s="4"/>
      <c r="E7" s="2" t="s">
        <v>99</v>
      </c>
      <c r="F7" s="3"/>
      <c r="G7" s="4"/>
      <c r="I7" s="57" t="s">
        <v>100</v>
      </c>
      <c r="J7" s="3"/>
      <c r="K7" s="4"/>
    </row>
    <row r="8">
      <c r="B8" s="5" t="s">
        <v>101</v>
      </c>
      <c r="C8" s="5" t="s">
        <v>102</v>
      </c>
      <c r="E8" s="56" t="s">
        <v>103</v>
      </c>
      <c r="F8" s="3"/>
      <c r="G8" s="4"/>
      <c r="I8" s="58" t="s">
        <v>103</v>
      </c>
      <c r="J8" s="22"/>
      <c r="K8" s="23"/>
    </row>
    <row r="9">
      <c r="B9" s="6" t="s">
        <v>104</v>
      </c>
      <c r="C9" s="11">
        <v>8000000.0</v>
      </c>
      <c r="E9" s="5" t="s">
        <v>105</v>
      </c>
      <c r="F9" s="5" t="s">
        <v>106</v>
      </c>
      <c r="G9" s="5" t="s">
        <v>102</v>
      </c>
      <c r="I9" s="59" t="s">
        <v>105</v>
      </c>
      <c r="J9" s="60" t="s">
        <v>106</v>
      </c>
      <c r="K9" s="60" t="s">
        <v>102</v>
      </c>
    </row>
    <row r="10">
      <c r="B10" s="6" t="s">
        <v>107</v>
      </c>
      <c r="C10" s="11">
        <v>8000000.0</v>
      </c>
      <c r="E10" s="6" t="s">
        <v>108</v>
      </c>
      <c r="F10" s="6">
        <v>9.0</v>
      </c>
      <c r="G10" s="55">
        <f t="shared" ref="G10:G16" si="1">F10*$F$5</f>
        <v>15408900</v>
      </c>
      <c r="I10" s="6" t="s">
        <v>108</v>
      </c>
      <c r="J10" s="61">
        <v>9.0</v>
      </c>
      <c r="K10" s="62">
        <f t="shared" ref="K10:K16" si="2">J10*$F$5</f>
        <v>15408900</v>
      </c>
    </row>
    <row r="11">
      <c r="B11" s="6" t="s">
        <v>109</v>
      </c>
      <c r="C11" s="11">
        <v>8000000.0</v>
      </c>
      <c r="E11" s="6" t="s">
        <v>110</v>
      </c>
      <c r="F11" s="6">
        <v>3.0</v>
      </c>
      <c r="G11" s="55">
        <f t="shared" si="1"/>
        <v>5136300</v>
      </c>
      <c r="I11" s="6" t="s">
        <v>110</v>
      </c>
      <c r="J11" s="61">
        <v>6.0</v>
      </c>
      <c r="K11" s="62">
        <f t="shared" si="2"/>
        <v>10272600</v>
      </c>
    </row>
    <row r="12">
      <c r="B12" s="6" t="s">
        <v>111</v>
      </c>
      <c r="C12" s="11">
        <v>8000000.0</v>
      </c>
      <c r="E12" s="6" t="s">
        <v>112</v>
      </c>
      <c r="F12" s="6">
        <v>3.0</v>
      </c>
      <c r="G12" s="55">
        <f t="shared" si="1"/>
        <v>5136300</v>
      </c>
      <c r="I12" s="6" t="s">
        <v>112</v>
      </c>
      <c r="J12" s="61">
        <v>3.0</v>
      </c>
      <c r="K12" s="62">
        <f t="shared" si="2"/>
        <v>5136300</v>
      </c>
    </row>
    <row r="13">
      <c r="B13" s="6" t="s">
        <v>113</v>
      </c>
      <c r="C13" s="11">
        <v>8000000.0</v>
      </c>
      <c r="E13" s="6" t="s">
        <v>114</v>
      </c>
      <c r="F13" s="6">
        <v>3.0</v>
      </c>
      <c r="G13" s="55">
        <f t="shared" si="1"/>
        <v>5136300</v>
      </c>
      <c r="I13" s="6" t="s">
        <v>114</v>
      </c>
      <c r="J13" s="61">
        <v>3.0</v>
      </c>
      <c r="K13" s="62">
        <f t="shared" si="2"/>
        <v>5136300</v>
      </c>
    </row>
    <row r="14">
      <c r="B14" s="6" t="s">
        <v>115</v>
      </c>
      <c r="C14" s="11">
        <v>8000000.0</v>
      </c>
      <c r="E14" s="6" t="s">
        <v>116</v>
      </c>
      <c r="F14" s="6">
        <v>9.0</v>
      </c>
      <c r="G14" s="55">
        <f t="shared" si="1"/>
        <v>15408900</v>
      </c>
      <c r="I14" s="6" t="s">
        <v>116</v>
      </c>
      <c r="J14" s="61">
        <v>3.0</v>
      </c>
      <c r="K14" s="62">
        <f t="shared" si="2"/>
        <v>5136300</v>
      </c>
    </row>
    <row r="15">
      <c r="B15" s="6" t="s">
        <v>117</v>
      </c>
      <c r="C15" s="11">
        <v>8000000.0</v>
      </c>
      <c r="E15" s="6" t="s">
        <v>118</v>
      </c>
      <c r="F15" s="6">
        <v>27.0</v>
      </c>
      <c r="G15" s="55">
        <f t="shared" si="1"/>
        <v>46226700</v>
      </c>
      <c r="I15" s="6" t="s">
        <v>118</v>
      </c>
      <c r="J15" s="61">
        <v>3.0</v>
      </c>
      <c r="K15" s="62">
        <f t="shared" si="2"/>
        <v>5136300</v>
      </c>
    </row>
    <row r="16">
      <c r="E16" s="6" t="s">
        <v>119</v>
      </c>
      <c r="F16" s="6">
        <v>27.0</v>
      </c>
      <c r="G16" s="55">
        <f t="shared" si="1"/>
        <v>46226700</v>
      </c>
      <c r="I16" s="6" t="s">
        <v>119</v>
      </c>
      <c r="J16" s="63">
        <v>3.0</v>
      </c>
      <c r="K16" s="62">
        <f t="shared" si="2"/>
        <v>5136300</v>
      </c>
    </row>
    <row r="17">
      <c r="E17" s="25" t="s">
        <v>14</v>
      </c>
      <c r="F17" s="4"/>
      <c r="G17" s="55">
        <f>SUM(G10:G16)</f>
        <v>138680100</v>
      </c>
      <c r="I17" s="25" t="s">
        <v>14</v>
      </c>
      <c r="J17" s="4"/>
      <c r="K17" s="55">
        <f>SUM(K10:K16)</f>
        <v>51363000</v>
      </c>
    </row>
    <row r="19">
      <c r="E19" s="6" t="s">
        <v>120</v>
      </c>
      <c r="F19" s="55">
        <f>G17-K17</f>
        <v>87317100</v>
      </c>
    </row>
  </sheetData>
  <mergeCells count="7">
    <mergeCell ref="E8:G8"/>
    <mergeCell ref="E7:G7"/>
    <mergeCell ref="I7:K7"/>
    <mergeCell ref="I8:K8"/>
    <mergeCell ref="E17:F17"/>
    <mergeCell ref="I17:J17"/>
    <mergeCell ref="B7:C7"/>
  </mergeCells>
  <drawing r:id="rId1"/>
</worksheet>
</file>