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Índice" sheetId="1" r:id="rId4"/>
    <sheet state="visible" name="CANVAS" sheetId="2" r:id="rId5"/>
    <sheet state="visible" name="CeldaRobotizada" sheetId="3" r:id="rId6"/>
    <sheet state="visible" name="Comunicaciones" sheetId="4" r:id="rId7"/>
    <sheet state="visible" name="SCADA" sheetId="5" r:id="rId8"/>
    <sheet state="visible" name="Ingresos - Ventas de los produc" sheetId="6" r:id="rId9"/>
    <sheet state="visible" name="Materia Prima" sheetId="7" r:id="rId10"/>
    <sheet state="visible" name="Nómina - Año 0" sheetId="8" r:id="rId11"/>
    <sheet state="visible" name="Año 0 - Proyecto" sheetId="9" r:id="rId12"/>
    <sheet state="visible" name="Nómina - Puesta en marcha" sheetId="10" r:id="rId13"/>
    <sheet state="visible" name="Evaluacion" sheetId="11" r:id="rId14"/>
  </sheets>
  <definedNames/>
  <calcPr/>
</workbook>
</file>

<file path=xl/sharedStrings.xml><?xml version="1.0" encoding="utf-8"?>
<sst xmlns="http://schemas.openxmlformats.org/spreadsheetml/2006/main" count="381" uniqueCount="183">
  <si>
    <t>TecnomecatroniX - Evaluación económica</t>
  </si>
  <si>
    <t>Modelo de negocio</t>
  </si>
  <si>
    <t>Hoja #1</t>
  </si>
  <si>
    <t>Costos de la celda robotizada</t>
  </si>
  <si>
    <t>Hoja #2</t>
  </si>
  <si>
    <t>Costos de las comunicaciones</t>
  </si>
  <si>
    <t>Hoja #3</t>
  </si>
  <si>
    <t>Costos del SCADA</t>
  </si>
  <si>
    <t>Hoja #4</t>
  </si>
  <si>
    <t>Cálculo de ingresos por ventas</t>
  </si>
  <si>
    <t>Hoja #5</t>
  </si>
  <si>
    <t>Cálculo de costos de materia prima</t>
  </si>
  <si>
    <t>Hoja #6</t>
  </si>
  <si>
    <t>Nómina contratada para el proyecto</t>
  </si>
  <si>
    <t>Hoja #7</t>
  </si>
  <si>
    <t>Flujo de caja del año del proyecto</t>
  </si>
  <si>
    <t>Hoja #8</t>
  </si>
  <si>
    <t>Nómina cuando el proyecto esté puesto en marcha</t>
  </si>
  <si>
    <t>Hoja #9</t>
  </si>
  <si>
    <t>Evaluación económica final</t>
  </si>
  <si>
    <t>Hoja #10</t>
  </si>
  <si>
    <t>v</t>
  </si>
  <si>
    <t>Costos maquinas</t>
  </si>
  <si>
    <t>Equipos</t>
  </si>
  <si>
    <t>Referencia</t>
  </si>
  <si>
    <t>Costo</t>
  </si>
  <si>
    <t>Robots</t>
  </si>
  <si>
    <t>Manejo de material</t>
  </si>
  <si>
    <t>Sensores</t>
  </si>
  <si>
    <t>Controladores</t>
  </si>
  <si>
    <t>Control de la celda</t>
  </si>
  <si>
    <t>Software (RobotStudio)</t>
  </si>
  <si>
    <t>Software de inspección</t>
  </si>
  <si>
    <t>Modificación de otros sistemas</t>
  </si>
  <si>
    <t>Transporte e instalación</t>
  </si>
  <si>
    <t>Total</t>
  </si>
  <si>
    <t>Costos de mano de obra de instalación</t>
  </si>
  <si>
    <t>Equipos de movimiento/manipulación</t>
  </si>
  <si>
    <t>Instalación</t>
  </si>
  <si>
    <t>Entrenamientos</t>
  </si>
  <si>
    <t>Programación</t>
  </si>
  <si>
    <t>Total inversión inicial</t>
  </si>
  <si>
    <t>Costos operativos (Cuando esté puesto en marcha)</t>
  </si>
  <si>
    <t>Consumo energético</t>
  </si>
  <si>
    <t>Mantenimiento</t>
  </si>
  <si>
    <t>Seguro</t>
  </si>
  <si>
    <t>Software (Licencias)</t>
  </si>
  <si>
    <t>Depreciación</t>
  </si>
  <si>
    <t>Routers</t>
  </si>
  <si>
    <t>Switches</t>
  </si>
  <si>
    <t>Módems</t>
  </si>
  <si>
    <t>Cableado</t>
  </si>
  <si>
    <t>Conversores de protocolo</t>
  </si>
  <si>
    <t>Repetidores</t>
  </si>
  <si>
    <t>Software de configuración</t>
  </si>
  <si>
    <t>Elementos de soporte</t>
  </si>
  <si>
    <t>PLC</t>
  </si>
  <si>
    <t>HMI</t>
  </si>
  <si>
    <t>Módulos PLC</t>
  </si>
  <si>
    <t>Cableados de red</t>
  </si>
  <si>
    <t>Servidor SCADA</t>
  </si>
  <si>
    <t>Software SCADA</t>
  </si>
  <si>
    <t>Seguridad eléctrica</t>
  </si>
  <si>
    <t>Elementos mecánicos del tablero</t>
  </si>
  <si>
    <t>Precio m^2</t>
  </si>
  <si>
    <t xml:space="preserve">Piso Pared Cerámico Avellano Beige 30x60cm </t>
  </si>
  <si>
    <t xml:space="preserve">Cerámica Para Pared Estilo Decorativo Atelier-B 30x60 </t>
  </si>
  <si>
    <t xml:space="preserve">Pared Santa Maria Brillante Multicolor 30x45 </t>
  </si>
  <si>
    <t>Producto 1 - Baldosa mate 30x60</t>
  </si>
  <si>
    <t>Producto 2 - Baldosa esmaltada decorada 30x60</t>
  </si>
  <si>
    <t>Producto 3 - Baldosa texturizada 30x60</t>
  </si>
  <si>
    <t>Tamaño lote (m^2)</t>
  </si>
  <si>
    <t>m^2 producidos</t>
  </si>
  <si>
    <t>Lotes producidos</t>
  </si>
  <si>
    <t xml:space="preserve">Precio de un lote </t>
  </si>
  <si>
    <t>Lotes vendidos al mes</t>
  </si>
  <si>
    <t>Total ganancia mensual</t>
  </si>
  <si>
    <t>Precio m^2 promedio</t>
  </si>
  <si>
    <t>Ganancias x producto</t>
  </si>
  <si>
    <t>Producción m^2 (planta actual)</t>
  </si>
  <si>
    <t>Producto</t>
  </si>
  <si>
    <t>Mensual</t>
  </si>
  <si>
    <t>Anual</t>
  </si>
  <si>
    <t>% participación</t>
  </si>
  <si>
    <t>Producción m^2 (planta automatizada)</t>
  </si>
  <si>
    <t>Aumento de la producción en m^2</t>
  </si>
  <si>
    <t>Total ganancia mensual promedio</t>
  </si>
  <si>
    <t>Total (Mensual)</t>
  </si>
  <si>
    <t>Total (anual)</t>
  </si>
  <si>
    <t>Tasa de crecimiento de ventas (anual)</t>
  </si>
  <si>
    <t>Año</t>
  </si>
  <si>
    <t>INGRESOS</t>
  </si>
  <si>
    <t>Ventas</t>
  </si>
  <si>
    <t>TOTAL INGRESOS</t>
  </si>
  <si>
    <t>Materias primas para fabricar baldosa</t>
  </si>
  <si>
    <t>Materia</t>
  </si>
  <si>
    <t>Precio por kg</t>
  </si>
  <si>
    <t>Cantidad necesaria</t>
  </si>
  <si>
    <t>Precio</t>
  </si>
  <si>
    <t>Total por m^2</t>
  </si>
  <si>
    <t xml:space="preserve">Total costo mensual </t>
  </si>
  <si>
    <t>Total costo anual</t>
  </si>
  <si>
    <t xml:space="preserve">Aumento de precio </t>
  </si>
  <si>
    <t>Salario (MXN)</t>
  </si>
  <si>
    <t>Diario</t>
  </si>
  <si>
    <t>En COP</t>
  </si>
  <si>
    <t>Gestión y ejecución del proyecto</t>
  </si>
  <si>
    <t>Personal para instalación, movimiento de cargas, etc</t>
  </si>
  <si>
    <t>Ingenieros</t>
  </si>
  <si>
    <t>Mano de obra</t>
  </si>
  <si>
    <t>Personal</t>
  </si>
  <si>
    <t>Salario</t>
  </si>
  <si>
    <t>Proceso</t>
  </si>
  <si>
    <t>Cantidad de personal</t>
  </si>
  <si>
    <t>Daniel</t>
  </si>
  <si>
    <t>Transportes</t>
  </si>
  <si>
    <t>Ingeniero 2</t>
  </si>
  <si>
    <t>Ingeniero 3</t>
  </si>
  <si>
    <t>...</t>
  </si>
  <si>
    <t>Ingeniero 4</t>
  </si>
  <si>
    <t>Ingeniero 5</t>
  </si>
  <si>
    <t>Ingeniero 6</t>
  </si>
  <si>
    <t>Ingeniero 7</t>
  </si>
  <si>
    <t>Inversión inicial (Materiales)</t>
  </si>
  <si>
    <t>Costos de nómina</t>
  </si>
  <si>
    <t xml:space="preserve">Costos de instalación </t>
  </si>
  <si>
    <t>Concepto</t>
  </si>
  <si>
    <t>Celda robotizada</t>
  </si>
  <si>
    <t>Producto 1</t>
  </si>
  <si>
    <t>Comunicaciones</t>
  </si>
  <si>
    <t>Producto 2</t>
  </si>
  <si>
    <t>SCADA</t>
  </si>
  <si>
    <t>Producto 3</t>
  </si>
  <si>
    <t>MES</t>
  </si>
  <si>
    <t>EGRESOS</t>
  </si>
  <si>
    <t>Inversión</t>
  </si>
  <si>
    <t>-</t>
  </si>
  <si>
    <t>Costos de instalación</t>
  </si>
  <si>
    <t>TOTAL EGRESOS</t>
  </si>
  <si>
    <t>TOTAL</t>
  </si>
  <si>
    <t>Flujo de caja</t>
  </si>
  <si>
    <t>Valor presente</t>
  </si>
  <si>
    <t>Valor presente acumulado</t>
  </si>
  <si>
    <t>Costo de oportunidad</t>
  </si>
  <si>
    <t xml:space="preserve">VP </t>
  </si>
  <si>
    <t>Inversión inicial</t>
  </si>
  <si>
    <t>VPN (Año 0)</t>
  </si>
  <si>
    <t>Planta actual</t>
  </si>
  <si>
    <t>Planta automatizada</t>
  </si>
  <si>
    <t>Operadores</t>
  </si>
  <si>
    <t>Prensado</t>
  </si>
  <si>
    <t>Esmaltado</t>
  </si>
  <si>
    <t>Esmaltado+Engobe</t>
  </si>
  <si>
    <t>Impresión</t>
  </si>
  <si>
    <t>Horneado</t>
  </si>
  <si>
    <t>QC</t>
  </si>
  <si>
    <t>Empacado</t>
  </si>
  <si>
    <t>Paletizado</t>
  </si>
  <si>
    <t>Delta salarios (Mensual)</t>
  </si>
  <si>
    <t>Aumento anual</t>
  </si>
  <si>
    <t>Año 0 (Proyecto)</t>
  </si>
  <si>
    <t>Costos operativos</t>
  </si>
  <si>
    <t>Delta salarios operarios</t>
  </si>
  <si>
    <t>Nómina + instalación</t>
  </si>
  <si>
    <t>AÑO</t>
  </si>
  <si>
    <t>Materia prima</t>
  </si>
  <si>
    <t>Costos</t>
  </si>
  <si>
    <t>Utilidad bruta</t>
  </si>
  <si>
    <t>Gasto financiero</t>
  </si>
  <si>
    <t>Utilidad antes de impuestos</t>
  </si>
  <si>
    <t>Impuestos</t>
  </si>
  <si>
    <t>Depreciaciones</t>
  </si>
  <si>
    <t>Utilidad neta</t>
  </si>
  <si>
    <t>Evaluación</t>
  </si>
  <si>
    <t>Valor inicial</t>
  </si>
  <si>
    <t>Valor de rescate (15%)</t>
  </si>
  <si>
    <t>Vida util (años)</t>
  </si>
  <si>
    <t>VPN</t>
  </si>
  <si>
    <t>Depreciación anual</t>
  </si>
  <si>
    <t>TIR</t>
  </si>
  <si>
    <t>Payback</t>
  </si>
  <si>
    <t>ROI</t>
  </si>
  <si>
    <t>TIR (financiero)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</si>
</sst>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[$ $]#,##0"/>
    <numFmt numFmtId="165" formatCode="[$ $]#,##0.00"/>
  </numFmts>
  <fonts count="8">
    <font>
      <sz val="10.0"/>
      <color rgb="FF000000"/>
      <name val="Arial"/>
      <scheme val="minor"/>
    </font>
    <font>
      <color theme="1"/>
      <name val="Arial"/>
      <scheme val="minor"/>
    </font>
    <font/>
    <font>
      <b/>
      <color theme="1"/>
      <name val="Arial"/>
      <scheme val="minor"/>
    </font>
    <font>
      <u/>
      <color rgb="FF0000FF"/>
    </font>
    <font>
      <b/>
      <color theme="1"/>
      <name val="Arial"/>
    </font>
    <font>
      <color theme="1"/>
      <name val="Arial"/>
    </font>
    <font>
      <color rgb="FFFFFFFF"/>
      <name val="Arial"/>
      <scheme val="minor"/>
    </font>
  </fonts>
  <fills count="6">
    <fill>
      <patternFill patternType="none"/>
    </fill>
    <fill>
      <patternFill patternType="lightGray"/>
    </fill>
    <fill>
      <patternFill patternType="solid">
        <fgColor rgb="FFC9DAF8"/>
        <bgColor rgb="FFC9DAF8"/>
      </patternFill>
    </fill>
    <fill>
      <patternFill patternType="solid">
        <fgColor rgb="FFFFFF00"/>
        <bgColor rgb="FFFFFF00"/>
      </patternFill>
    </fill>
    <fill>
      <patternFill patternType="solid">
        <fgColor rgb="FFB4C6E7"/>
        <bgColor rgb="FFB4C6E7"/>
      </patternFill>
    </fill>
    <fill>
      <patternFill patternType="solid">
        <fgColor rgb="FFF4CCCC"/>
        <bgColor rgb="FFF4CCCC"/>
      </patternFill>
    </fill>
  </fills>
  <borders count="15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bottom style="thin">
        <color rgb="FF000000"/>
      </bottom>
    </border>
  </borders>
  <cellStyleXfs count="1">
    <xf borderId="0" fillId="0" fontId="0" numFmtId="0" applyAlignment="1" applyFont="1"/>
  </cellStyleXfs>
  <cellXfs count="8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 vertical="center"/>
    </xf>
    <xf borderId="1" fillId="0" fontId="1" numFmtId="0" xfId="0" applyAlignment="1" applyBorder="1" applyFont="1">
      <alignment horizontal="center" readingOrder="0" vertical="center"/>
    </xf>
    <xf borderId="2" fillId="0" fontId="2" numFmtId="0" xfId="0" applyBorder="1" applyFont="1"/>
    <xf borderId="3" fillId="0" fontId="2" numFmtId="0" xfId="0" applyBorder="1" applyFont="1"/>
    <xf borderId="1" fillId="0" fontId="1" numFmtId="0" xfId="0" applyAlignment="1" applyBorder="1" applyFont="1">
      <alignment readingOrder="0"/>
    </xf>
    <xf borderId="4" fillId="0" fontId="1" numFmtId="0" xfId="0" applyAlignment="1" applyBorder="1" applyFont="1">
      <alignment horizontal="center" readingOrder="0" vertical="center"/>
    </xf>
    <xf borderId="5" fillId="0" fontId="1" numFmtId="0" xfId="0" applyAlignment="1" applyBorder="1" applyFont="1">
      <alignment readingOrder="0" shrinkToFit="0" vertical="center" wrapText="1"/>
    </xf>
    <xf borderId="6" fillId="0" fontId="2" numFmtId="0" xfId="0" applyBorder="1" applyFont="1"/>
    <xf borderId="7" fillId="0" fontId="1" numFmtId="0" xfId="0" applyAlignment="1" applyBorder="1" applyFont="1">
      <alignment horizontal="center" readingOrder="0" vertical="center"/>
    </xf>
    <xf borderId="8" fillId="0" fontId="2" numFmtId="0" xfId="0" applyBorder="1" applyFont="1"/>
    <xf borderId="9" fillId="0" fontId="2" numFmtId="0" xfId="0" applyBorder="1" applyFont="1"/>
    <xf borderId="10" fillId="0" fontId="2" numFmtId="0" xfId="0" applyBorder="1" applyFont="1"/>
    <xf borderId="0" fillId="0" fontId="1" numFmtId="0" xfId="0" applyAlignment="1" applyFont="1">
      <alignment readingOrder="0"/>
    </xf>
    <xf borderId="1" fillId="0" fontId="1" numFmtId="0" xfId="0" applyAlignment="1" applyBorder="1" applyFont="1">
      <alignment horizontal="center" readingOrder="0"/>
    </xf>
    <xf borderId="4" fillId="0" fontId="3" numFmtId="0" xfId="0" applyAlignment="1" applyBorder="1" applyFont="1">
      <alignment readingOrder="0"/>
    </xf>
    <xf borderId="4" fillId="0" fontId="1" numFmtId="0" xfId="0" applyAlignment="1" applyBorder="1" applyFont="1">
      <alignment readingOrder="0"/>
    </xf>
    <xf borderId="4" fillId="0" fontId="1" numFmtId="0" xfId="0" applyBorder="1" applyFont="1"/>
    <xf borderId="4" fillId="0" fontId="1" numFmtId="164" xfId="0" applyBorder="1" applyFont="1" applyNumberFormat="1"/>
    <xf borderId="1" fillId="0" fontId="1" numFmtId="164" xfId="0" applyBorder="1" applyFont="1" applyNumberFormat="1"/>
    <xf borderId="4" fillId="0" fontId="1" numFmtId="0" xfId="0" applyAlignment="1" applyBorder="1" applyFont="1">
      <alignment horizontal="left" readingOrder="0" shrinkToFit="0" wrapText="1"/>
    </xf>
    <xf borderId="4" fillId="0" fontId="1" numFmtId="164" xfId="0" applyAlignment="1" applyBorder="1" applyFont="1" applyNumberFormat="1">
      <alignment readingOrder="0"/>
    </xf>
    <xf borderId="1" fillId="0" fontId="3" numFmtId="164" xfId="0" applyAlignment="1" applyBorder="1" applyFont="1" applyNumberFormat="1">
      <alignment readingOrder="0"/>
    </xf>
    <xf borderId="1" fillId="0" fontId="3" numFmtId="164" xfId="0" applyBorder="1" applyFont="1" applyNumberFormat="1"/>
    <xf borderId="0" fillId="0" fontId="4" numFmtId="0" xfId="0" applyAlignment="1" applyFont="1">
      <alignment readingOrder="0"/>
    </xf>
    <xf borderId="5" fillId="0" fontId="1" numFmtId="0" xfId="0" applyBorder="1" applyFont="1"/>
    <xf borderId="11" fillId="0" fontId="2" numFmtId="0" xfId="0" applyBorder="1" applyFont="1"/>
    <xf borderId="12" fillId="0" fontId="2" numFmtId="0" xfId="0" applyBorder="1" applyFont="1"/>
    <xf borderId="13" fillId="0" fontId="2" numFmtId="0" xfId="0" applyBorder="1" applyFont="1"/>
    <xf borderId="14" fillId="0" fontId="2" numFmtId="0" xfId="0" applyBorder="1" applyFont="1"/>
    <xf borderId="1" fillId="0" fontId="1" numFmtId="4" xfId="0" applyAlignment="1" applyBorder="1" applyFont="1" applyNumberFormat="1">
      <alignment readingOrder="0"/>
    </xf>
    <xf borderId="1" fillId="0" fontId="1" numFmtId="4" xfId="0" applyBorder="1" applyFont="1" applyNumberFormat="1"/>
    <xf borderId="1" fillId="0" fontId="3" numFmtId="0" xfId="0" applyAlignment="1" applyBorder="1" applyFont="1">
      <alignment horizontal="center" readingOrder="0"/>
    </xf>
    <xf borderId="4" fillId="0" fontId="1" numFmtId="10" xfId="0" applyBorder="1" applyFont="1" applyNumberFormat="1"/>
    <xf borderId="4" fillId="0" fontId="1" numFmtId="10" xfId="0" applyAlignment="1" applyBorder="1" applyFont="1" applyNumberFormat="1">
      <alignment readingOrder="0"/>
    </xf>
    <xf borderId="4" fillId="2" fontId="5" numFmtId="0" xfId="0" applyAlignment="1" applyBorder="1" applyFill="1" applyFont="1">
      <alignment horizontal="center" readingOrder="0"/>
    </xf>
    <xf borderId="4" fillId="2" fontId="5" numFmtId="0" xfId="0" applyAlignment="1" applyBorder="1" applyFont="1">
      <alignment horizontal="center" shrinkToFit="0" wrapText="0"/>
    </xf>
    <xf borderId="0" fillId="0" fontId="5" numFmtId="0" xfId="0" applyAlignment="1" applyFont="1">
      <alignment horizontal="center" shrinkToFit="0" wrapText="0"/>
    </xf>
    <xf borderId="0" fillId="0" fontId="1" numFmtId="0" xfId="0" applyFont="1"/>
    <xf borderId="1" fillId="0" fontId="5" numFmtId="0" xfId="0" applyAlignment="1" applyBorder="1" applyFont="1">
      <alignment horizontal="center"/>
    </xf>
    <xf borderId="0" fillId="0" fontId="6" numFmtId="0" xfId="0" applyAlignment="1" applyFont="1">
      <alignment shrinkToFit="0" wrapText="0"/>
    </xf>
    <xf borderId="4" fillId="0" fontId="6" numFmtId="0" xfId="0" applyAlignment="1" applyBorder="1" applyFont="1">
      <alignment readingOrder="0"/>
    </xf>
    <xf borderId="4" fillId="0" fontId="6" numFmtId="0" xfId="0" applyAlignment="1" applyBorder="1" applyFont="1">
      <alignment readingOrder="0" shrinkToFit="0" wrapText="0"/>
    </xf>
    <xf borderId="4" fillId="0" fontId="6" numFmtId="164" xfId="0" applyAlignment="1" applyBorder="1" applyFont="1" applyNumberFormat="1">
      <alignment horizontal="right" readingOrder="0" shrinkToFit="0" wrapText="0"/>
    </xf>
    <xf borderId="4" fillId="0" fontId="6" numFmtId="0" xfId="0" applyBorder="1" applyFont="1"/>
    <xf borderId="4" fillId="0" fontId="6" numFmtId="164" xfId="0" applyAlignment="1" applyBorder="1" applyFont="1" applyNumberFormat="1">
      <alignment horizontal="right" shrinkToFit="0" wrapText="0"/>
    </xf>
    <xf borderId="4" fillId="0" fontId="1" numFmtId="165" xfId="0" applyBorder="1" applyFont="1" applyNumberFormat="1"/>
    <xf borderId="4" fillId="0" fontId="1" numFmtId="165" xfId="0" applyAlignment="1" applyBorder="1" applyFont="1" applyNumberFormat="1">
      <alignment readingOrder="0"/>
    </xf>
    <xf borderId="4" fillId="0" fontId="1" numFmtId="9" xfId="0" applyAlignment="1" applyBorder="1" applyFont="1" applyNumberFormat="1">
      <alignment readingOrder="0"/>
    </xf>
    <xf borderId="0" fillId="0" fontId="1" numFmtId="0" xfId="0" applyAlignment="1" applyFont="1">
      <alignment horizontal="center" readingOrder="0"/>
    </xf>
    <xf borderId="4" fillId="3" fontId="1" numFmtId="164" xfId="0" applyBorder="1" applyFill="1" applyFont="1" applyNumberFormat="1"/>
    <xf borderId="1" fillId="2" fontId="3" numFmtId="0" xfId="0" applyAlignment="1" applyBorder="1" applyFont="1">
      <alignment horizontal="center" readingOrder="0"/>
    </xf>
    <xf borderId="4" fillId="0" fontId="6" numFmtId="0" xfId="0" applyAlignment="1" applyBorder="1" applyFont="1">
      <alignment shrinkToFit="0" wrapText="0"/>
    </xf>
    <xf borderId="4" fillId="0" fontId="6" numFmtId="0" xfId="0" applyAlignment="1" applyBorder="1" applyFont="1">
      <alignment horizontal="center" readingOrder="0" shrinkToFit="0" wrapText="0"/>
    </xf>
    <xf borderId="1" fillId="0" fontId="5" numFmtId="0" xfId="0" applyAlignment="1" applyBorder="1" applyFont="1">
      <alignment horizontal="center" readingOrder="0"/>
    </xf>
    <xf borderId="4" fillId="0" fontId="5" numFmtId="0" xfId="0" applyAlignment="1" applyBorder="1" applyFont="1">
      <alignment readingOrder="0"/>
    </xf>
    <xf borderId="4" fillId="0" fontId="6" numFmtId="164" xfId="0" applyAlignment="1" applyBorder="1" applyFont="1" applyNumberFormat="1">
      <alignment shrinkToFit="0" wrapText="0"/>
    </xf>
    <xf borderId="4" fillId="3" fontId="6" numFmtId="164" xfId="0" applyAlignment="1" applyBorder="1" applyFont="1" applyNumberFormat="1">
      <alignment horizontal="right" shrinkToFit="0" wrapText="0"/>
    </xf>
    <xf borderId="1" fillId="4" fontId="5" numFmtId="0" xfId="0" applyAlignment="1" applyBorder="1" applyFill="1" applyFont="1">
      <alignment horizontal="center" readingOrder="0" shrinkToFit="0" wrapText="0"/>
    </xf>
    <xf borderId="3" fillId="0" fontId="6" numFmtId="9" xfId="0" applyAlignment="1" applyBorder="1" applyFont="1" applyNumberFormat="1">
      <alignment horizontal="right" readingOrder="0" shrinkToFit="0" wrapText="0"/>
    </xf>
    <xf borderId="10" fillId="0" fontId="6" numFmtId="0" xfId="0" applyAlignment="1" applyBorder="1" applyFont="1">
      <alignment readingOrder="0" shrinkToFit="0" wrapText="0"/>
    </xf>
    <xf borderId="9" fillId="0" fontId="6" numFmtId="164" xfId="0" applyAlignment="1" applyBorder="1" applyFont="1" applyNumberFormat="1">
      <alignment horizontal="right" shrinkToFit="0" wrapText="0"/>
    </xf>
    <xf borderId="10" fillId="3" fontId="6" numFmtId="0" xfId="0" applyAlignment="1" applyBorder="1" applyFont="1">
      <alignment readingOrder="0" shrinkToFit="0" wrapText="0"/>
    </xf>
    <xf borderId="9" fillId="3" fontId="6" numFmtId="164" xfId="0" applyAlignment="1" applyBorder="1" applyFont="1" applyNumberFormat="1">
      <alignment horizontal="right" shrinkToFit="0" wrapText="0"/>
    </xf>
    <xf borderId="0" fillId="0" fontId="6" numFmtId="0" xfId="0" applyFont="1"/>
    <xf borderId="1" fillId="0" fontId="6" numFmtId="0" xfId="0" applyAlignment="1" applyBorder="1" applyFont="1">
      <alignment horizontal="center" readingOrder="0" vertical="bottom"/>
    </xf>
    <xf borderId="8" fillId="0" fontId="5" numFmtId="0" xfId="0" applyAlignment="1" applyBorder="1" applyFont="1">
      <alignment horizontal="center" vertical="bottom"/>
    </xf>
    <xf borderId="10" fillId="0" fontId="5" numFmtId="0" xfId="0" applyAlignment="1" applyBorder="1" applyFont="1">
      <alignment vertical="bottom"/>
    </xf>
    <xf borderId="9" fillId="0" fontId="5" numFmtId="0" xfId="0" applyAlignment="1" applyBorder="1" applyFont="1">
      <alignment vertical="bottom"/>
    </xf>
    <xf borderId="9" fillId="0" fontId="6" numFmtId="0" xfId="0" applyAlignment="1" applyBorder="1" applyFont="1">
      <alignment readingOrder="0" vertical="bottom"/>
    </xf>
    <xf borderId="9" fillId="0" fontId="6" numFmtId="165" xfId="0" applyAlignment="1" applyBorder="1" applyFont="1" applyNumberFormat="1">
      <alignment vertical="bottom"/>
    </xf>
    <xf borderId="4" fillId="0" fontId="6" numFmtId="0" xfId="0" applyAlignment="1" applyBorder="1" applyFont="1">
      <alignment readingOrder="0" vertical="bottom"/>
    </xf>
    <xf borderId="4" fillId="0" fontId="7" numFmtId="164" xfId="0" applyAlignment="1" applyBorder="1" applyFont="1" applyNumberFormat="1">
      <alignment readingOrder="0"/>
    </xf>
    <xf borderId="1" fillId="5" fontId="5" numFmtId="0" xfId="0" applyAlignment="1" applyBorder="1" applyFill="1" applyFont="1">
      <alignment horizontal="center"/>
    </xf>
    <xf borderId="4" fillId="0" fontId="6" numFmtId="165" xfId="0" applyAlignment="1" applyBorder="1" applyFont="1" applyNumberFormat="1">
      <alignment readingOrder="0" shrinkToFit="0" wrapText="0"/>
    </xf>
    <xf borderId="4" fillId="0" fontId="6" numFmtId="165" xfId="0" applyAlignment="1" applyBorder="1" applyFont="1" applyNumberFormat="1">
      <alignment horizontal="right" readingOrder="0" shrinkToFit="0" wrapText="0"/>
    </xf>
    <xf borderId="2" fillId="0" fontId="5" numFmtId="0" xfId="0" applyAlignment="1" applyBorder="1" applyFont="1">
      <alignment horizontal="center" readingOrder="0"/>
    </xf>
    <xf borderId="4" fillId="0" fontId="6" numFmtId="165" xfId="0" applyAlignment="1" applyBorder="1" applyFont="1" applyNumberFormat="1">
      <alignment horizontal="right" shrinkToFit="0" wrapText="0"/>
    </xf>
    <xf borderId="4" fillId="0" fontId="6" numFmtId="165" xfId="0" applyAlignment="1" applyBorder="1" applyFont="1" applyNumberFormat="1">
      <alignment shrinkToFit="0" wrapText="0"/>
    </xf>
    <xf borderId="10" fillId="3" fontId="6" numFmtId="0" xfId="0" applyAlignment="1" applyBorder="1" applyFont="1">
      <alignment shrinkToFit="0" wrapText="0"/>
    </xf>
    <xf borderId="9" fillId="3" fontId="6" numFmtId="9" xfId="0" applyAlignment="1" applyBorder="1" applyFont="1" applyNumberFormat="1">
      <alignment horizontal="right" shrinkToFit="0" wrapText="0"/>
    </xf>
    <xf borderId="4" fillId="3" fontId="5" numFmtId="0" xfId="0" applyAlignment="1" applyBorder="1" applyFont="1">
      <alignment readingOrder="0"/>
    </xf>
    <xf borderId="4" fillId="3" fontId="6" numFmtId="0" xfId="0" applyAlignment="1" applyBorder="1" applyFont="1">
      <alignment horizontal="right" readingOrder="0" shrinkToFit="0" wrapText="0"/>
    </xf>
    <xf borderId="4" fillId="0" fontId="1" numFmtId="9" xfId="0" applyBorder="1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4" Type="http://schemas.openxmlformats.org/officeDocument/2006/relationships/worksheet" Target="worksheets/sheet1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Valor presente acumulado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Evaluacion!$C$24:$L$24</c:f>
              <c:numCache/>
            </c:numRef>
          </c:val>
          <c:smooth val="0"/>
        </c:ser>
        <c:axId val="2142566528"/>
        <c:axId val="1927201758"/>
      </c:lineChart>
      <c:catAx>
        <c:axId val="2142566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27201758"/>
      </c:catAx>
      <c:valAx>
        <c:axId val="192720175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Valor presente acumulado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4256652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.png"/><Relationship Id="rId3" Type="http://schemas.openxmlformats.org/officeDocument/2006/relationships/image" Target="../media/image1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895350</xdr:colOff>
      <xdr:row>4</xdr:row>
      <xdr:rowOff>95250</xdr:rowOff>
    </xdr:from>
    <xdr:ext cx="2457450" cy="2390775"/>
    <xdr:pic>
      <xdr:nvPicPr>
        <xdr:cNvPr id="0" name="image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295275</xdr:colOff>
      <xdr:row>4</xdr:row>
      <xdr:rowOff>38100</xdr:rowOff>
    </xdr:from>
    <xdr:ext cx="2733675" cy="2390775"/>
    <xdr:pic>
      <xdr:nvPicPr>
        <xdr:cNvPr id="0" name="image3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85725</xdr:colOff>
      <xdr:row>4</xdr:row>
      <xdr:rowOff>123825</xdr:rowOff>
    </xdr:from>
    <xdr:ext cx="2676525" cy="2333625"/>
    <xdr:pic>
      <xdr:nvPicPr>
        <xdr:cNvPr id="0" name="image1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95250</xdr:colOff>
      <xdr:row>33</xdr:row>
      <xdr:rowOff>133350</xdr:rowOff>
    </xdr:from>
    <xdr:ext cx="5715000" cy="3533775"/>
    <xdr:graphicFrame>
      <xdr:nvGraphicFramePr>
        <xdr:cNvPr id="1" name="Chart 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hyperlink" Target="https://www.homecenter.com.co/homecenter-co/product/395624/piso-pared-ceramico-avellano-beige-30x60cm-caja-162-m2/395624/?kid=goosho_1246419&amp;shop=googleShopping&amp;gad_source=1&amp;gclid=CjwKCAjwz42xBhB9EiwA48pT7zUZUM5bbt577Q1XyNc6PeTEHuW5_orI4zHAUkWnBT5m6q9_t3lo5BoCgkIQAvD_BwE" TargetMode="External"/><Relationship Id="rId2" Type="http://schemas.openxmlformats.org/officeDocument/2006/relationships/hyperlink" Target="https://www.decorceramica.com/atelier-b-30-60-marengo-kc03me182/p" TargetMode="External"/><Relationship Id="rId3" Type="http://schemas.openxmlformats.org/officeDocument/2006/relationships/hyperlink" Target="https://corona.co/productos/revestimientos/paredes/pared-santa-maria/p/451419791" TargetMode="External"/><Relationship Id="rId4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8.25"/>
  </cols>
  <sheetData>
    <row r="2">
      <c r="E2" s="1"/>
      <c r="F2" s="1"/>
    </row>
    <row r="3">
      <c r="B3" s="2" t="s">
        <v>0</v>
      </c>
      <c r="C3" s="3"/>
      <c r="D3" s="4"/>
      <c r="E3" s="1"/>
      <c r="F3" s="1"/>
    </row>
    <row r="4">
      <c r="B4" s="5" t="s">
        <v>1</v>
      </c>
      <c r="C4" s="4"/>
      <c r="D4" s="6" t="s">
        <v>2</v>
      </c>
    </row>
    <row r="5">
      <c r="B5" s="5" t="s">
        <v>3</v>
      </c>
      <c r="C5" s="4"/>
      <c r="D5" s="6" t="s">
        <v>4</v>
      </c>
    </row>
    <row r="6">
      <c r="B6" s="5" t="s">
        <v>5</v>
      </c>
      <c r="C6" s="4"/>
      <c r="D6" s="6" t="s">
        <v>6</v>
      </c>
    </row>
    <row r="7">
      <c r="B7" s="5" t="s">
        <v>7</v>
      </c>
      <c r="C7" s="4"/>
      <c r="D7" s="6" t="s">
        <v>8</v>
      </c>
    </row>
    <row r="8">
      <c r="B8" s="5" t="s">
        <v>9</v>
      </c>
      <c r="C8" s="4"/>
      <c r="D8" s="6" t="s">
        <v>10</v>
      </c>
    </row>
    <row r="9">
      <c r="B9" s="5" t="s">
        <v>11</v>
      </c>
      <c r="C9" s="4"/>
      <c r="D9" s="6" t="s">
        <v>12</v>
      </c>
    </row>
    <row r="10">
      <c r="B10" s="5" t="s">
        <v>13</v>
      </c>
      <c r="C10" s="4"/>
      <c r="D10" s="6" t="s">
        <v>14</v>
      </c>
    </row>
    <row r="11">
      <c r="B11" s="5" t="s">
        <v>15</v>
      </c>
      <c r="C11" s="4"/>
      <c r="D11" s="6" t="s">
        <v>16</v>
      </c>
    </row>
    <row r="12">
      <c r="B12" s="7" t="s">
        <v>17</v>
      </c>
      <c r="C12" s="8"/>
      <c r="D12" s="9" t="s">
        <v>18</v>
      </c>
    </row>
    <row r="13">
      <c r="B13" s="10"/>
      <c r="C13" s="11"/>
      <c r="D13" s="12"/>
    </row>
    <row r="14">
      <c r="B14" s="5" t="s">
        <v>19</v>
      </c>
      <c r="C14" s="4"/>
      <c r="D14" s="6" t="s">
        <v>20</v>
      </c>
    </row>
  </sheetData>
  <mergeCells count="12">
    <mergeCell ref="B10:C10"/>
    <mergeCell ref="B8:C8"/>
    <mergeCell ref="B9:C9"/>
    <mergeCell ref="B5:C5"/>
    <mergeCell ref="B6:C6"/>
    <mergeCell ref="B11:C11"/>
    <mergeCell ref="B12:C13"/>
    <mergeCell ref="D12:D13"/>
    <mergeCell ref="B14:C14"/>
    <mergeCell ref="B3:D3"/>
    <mergeCell ref="B4:C4"/>
    <mergeCell ref="B7:C7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cols>
    <col customWidth="1" min="2" max="2" width="23.75"/>
  </cols>
  <sheetData>
    <row r="1">
      <c r="A1" s="13" t="s">
        <v>21</v>
      </c>
    </row>
    <row r="2">
      <c r="B2" s="14" t="s">
        <v>22</v>
      </c>
      <c r="C2" s="3"/>
      <c r="D2" s="3"/>
      <c r="E2" s="4"/>
    </row>
    <row r="3">
      <c r="B3" s="15" t="s">
        <v>23</v>
      </c>
      <c r="C3" s="15" t="s">
        <v>24</v>
      </c>
      <c r="D3" s="15" t="s">
        <v>25</v>
      </c>
      <c r="E3" s="15" t="s">
        <v>25</v>
      </c>
    </row>
    <row r="4">
      <c r="B4" s="16" t="s">
        <v>26</v>
      </c>
      <c r="C4" s="17"/>
      <c r="D4" s="17"/>
      <c r="E4" s="18"/>
    </row>
    <row r="5">
      <c r="B5" s="16" t="s">
        <v>27</v>
      </c>
      <c r="C5" s="17"/>
      <c r="D5" s="17"/>
      <c r="E5" s="18"/>
    </row>
    <row r="6">
      <c r="B6" s="16" t="s">
        <v>28</v>
      </c>
      <c r="C6" s="17"/>
      <c r="D6" s="17"/>
      <c r="E6" s="18"/>
    </row>
    <row r="7">
      <c r="B7" s="16" t="s">
        <v>29</v>
      </c>
      <c r="C7" s="17"/>
      <c r="D7" s="17"/>
      <c r="E7" s="18"/>
    </row>
    <row r="8">
      <c r="B8" s="16" t="s">
        <v>30</v>
      </c>
      <c r="C8" s="17"/>
      <c r="D8" s="17"/>
      <c r="E8" s="18"/>
    </row>
    <row r="9">
      <c r="B9" s="16" t="s">
        <v>31</v>
      </c>
      <c r="C9" s="17"/>
      <c r="D9" s="17"/>
      <c r="E9" s="18"/>
    </row>
    <row r="10">
      <c r="B10" s="16" t="s">
        <v>32</v>
      </c>
      <c r="C10" s="17"/>
      <c r="D10" s="17"/>
      <c r="E10" s="18"/>
    </row>
    <row r="11">
      <c r="B11" s="16" t="s">
        <v>33</v>
      </c>
      <c r="C11" s="17"/>
      <c r="D11" s="17"/>
      <c r="E11" s="18"/>
    </row>
    <row r="12">
      <c r="B12" s="16" t="s">
        <v>34</v>
      </c>
      <c r="C12" s="17"/>
      <c r="D12" s="17"/>
      <c r="E12" s="18"/>
    </row>
    <row r="13">
      <c r="B13" s="15" t="s">
        <v>35</v>
      </c>
      <c r="C13" s="19"/>
      <c r="D13" s="3"/>
      <c r="E13" s="4"/>
    </row>
    <row r="15">
      <c r="B15" s="14" t="s">
        <v>36</v>
      </c>
      <c r="C15" s="3"/>
      <c r="D15" s="3"/>
      <c r="E15" s="4"/>
    </row>
    <row r="16">
      <c r="B16" s="15" t="s">
        <v>23</v>
      </c>
      <c r="C16" s="15" t="s">
        <v>24</v>
      </c>
      <c r="D16" s="15" t="s">
        <v>25</v>
      </c>
      <c r="E16" s="15" t="s">
        <v>25</v>
      </c>
    </row>
    <row r="17">
      <c r="B17" s="20" t="s">
        <v>37</v>
      </c>
      <c r="C17" s="17"/>
      <c r="D17" s="17"/>
      <c r="E17" s="18"/>
    </row>
    <row r="18">
      <c r="B18" s="16" t="s">
        <v>38</v>
      </c>
      <c r="C18" s="17"/>
      <c r="D18" s="17"/>
      <c r="E18" s="18"/>
    </row>
    <row r="19">
      <c r="B19" s="16" t="s">
        <v>39</v>
      </c>
      <c r="C19" s="17"/>
      <c r="D19" s="17"/>
      <c r="E19" s="18"/>
    </row>
    <row r="20">
      <c r="B20" s="16" t="s">
        <v>40</v>
      </c>
      <c r="C20" s="17"/>
      <c r="D20" s="17"/>
      <c r="E20" s="21">
        <v>2.0E9</v>
      </c>
    </row>
    <row r="21">
      <c r="B21" s="15" t="s">
        <v>35</v>
      </c>
      <c r="C21" s="19">
        <f>SUM(E17:E20)</f>
        <v>2000000000</v>
      </c>
      <c r="D21" s="3"/>
      <c r="E21" s="4"/>
    </row>
    <row r="23">
      <c r="B23" s="15" t="s">
        <v>41</v>
      </c>
      <c r="C23" s="22">
        <f>C21+C13</f>
        <v>2000000000</v>
      </c>
      <c r="D23" s="3"/>
      <c r="E23" s="4"/>
    </row>
    <row r="25">
      <c r="B25" s="14" t="s">
        <v>42</v>
      </c>
      <c r="C25" s="3"/>
      <c r="D25" s="3"/>
      <c r="E25" s="4"/>
    </row>
    <row r="26">
      <c r="B26" s="15" t="s">
        <v>23</v>
      </c>
      <c r="C26" s="15" t="s">
        <v>24</v>
      </c>
      <c r="D26" s="15" t="s">
        <v>25</v>
      </c>
      <c r="E26" s="15" t="s">
        <v>25</v>
      </c>
    </row>
    <row r="27">
      <c r="B27" s="20" t="s">
        <v>43</v>
      </c>
      <c r="C27" s="17"/>
      <c r="D27" s="17"/>
      <c r="E27" s="18"/>
    </row>
    <row r="28">
      <c r="B28" s="16" t="s">
        <v>44</v>
      </c>
      <c r="C28" s="17"/>
      <c r="D28" s="17"/>
      <c r="E28" s="18"/>
    </row>
    <row r="29">
      <c r="B29" s="16" t="s">
        <v>40</v>
      </c>
      <c r="C29" s="17"/>
      <c r="D29" s="17"/>
      <c r="E29" s="18"/>
    </row>
    <row r="30">
      <c r="B30" s="16" t="s">
        <v>45</v>
      </c>
      <c r="C30" s="17"/>
      <c r="D30" s="17"/>
      <c r="E30" s="18"/>
    </row>
    <row r="31">
      <c r="B31" s="16" t="s">
        <v>46</v>
      </c>
      <c r="C31" s="17"/>
      <c r="D31" s="17"/>
      <c r="E31" s="18"/>
    </row>
    <row r="32">
      <c r="B32" s="16" t="s">
        <v>47</v>
      </c>
      <c r="C32" s="17"/>
      <c r="D32" s="17"/>
      <c r="E32" s="21">
        <v>1.5E7</v>
      </c>
    </row>
    <row r="33">
      <c r="B33" s="15" t="s">
        <v>35</v>
      </c>
      <c r="C33" s="23">
        <f>E32</f>
        <v>15000000</v>
      </c>
      <c r="D33" s="3"/>
      <c r="E33" s="4"/>
    </row>
  </sheetData>
  <mergeCells count="7">
    <mergeCell ref="B2:E2"/>
    <mergeCell ref="C13:E13"/>
    <mergeCell ref="B15:E15"/>
    <mergeCell ref="C21:E21"/>
    <mergeCell ref="C23:E23"/>
    <mergeCell ref="B25:E25"/>
    <mergeCell ref="C33:E33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cols>
    <col customWidth="1" min="2" max="2" width="25.5"/>
  </cols>
  <sheetData>
    <row r="2">
      <c r="B2" s="14" t="s">
        <v>22</v>
      </c>
      <c r="C2" s="3"/>
      <c r="D2" s="3"/>
      <c r="E2" s="4"/>
    </row>
    <row r="3">
      <c r="B3" s="15" t="s">
        <v>23</v>
      </c>
      <c r="C3" s="15" t="s">
        <v>24</v>
      </c>
      <c r="D3" s="15" t="s">
        <v>25</v>
      </c>
      <c r="E3" s="15" t="s">
        <v>25</v>
      </c>
    </row>
    <row r="4">
      <c r="B4" s="16" t="s">
        <v>48</v>
      </c>
      <c r="C4" s="17"/>
      <c r="D4" s="17"/>
      <c r="E4" s="18"/>
    </row>
    <row r="5">
      <c r="B5" s="16" t="s">
        <v>49</v>
      </c>
      <c r="C5" s="17"/>
      <c r="D5" s="17"/>
      <c r="E5" s="18"/>
    </row>
    <row r="6">
      <c r="B6" s="16" t="s">
        <v>50</v>
      </c>
      <c r="C6" s="17"/>
      <c r="D6" s="17"/>
      <c r="E6" s="18"/>
    </row>
    <row r="7">
      <c r="B7" s="16" t="s">
        <v>51</v>
      </c>
      <c r="C7" s="17"/>
      <c r="D7" s="17"/>
      <c r="E7" s="18"/>
    </row>
    <row r="8">
      <c r="B8" s="16" t="s">
        <v>52</v>
      </c>
      <c r="C8" s="17"/>
      <c r="D8" s="17"/>
      <c r="E8" s="18"/>
    </row>
    <row r="9">
      <c r="B9" s="16" t="s">
        <v>53</v>
      </c>
      <c r="C9" s="17"/>
      <c r="D9" s="17"/>
      <c r="E9" s="18"/>
    </row>
    <row r="10">
      <c r="B10" s="16" t="s">
        <v>54</v>
      </c>
      <c r="C10" s="17"/>
      <c r="D10" s="17"/>
      <c r="E10" s="18"/>
    </row>
    <row r="11">
      <c r="B11" s="16" t="s">
        <v>55</v>
      </c>
      <c r="C11" s="17"/>
      <c r="D11" s="17"/>
      <c r="E11" s="18"/>
    </row>
    <row r="12">
      <c r="B12" s="15" t="s">
        <v>35</v>
      </c>
      <c r="C12" s="19">
        <f>SUM(E4:E11)</f>
        <v>0</v>
      </c>
      <c r="D12" s="3"/>
      <c r="E12" s="4"/>
    </row>
    <row r="14">
      <c r="B14" s="14" t="s">
        <v>36</v>
      </c>
      <c r="C14" s="3"/>
      <c r="D14" s="3"/>
      <c r="E14" s="4"/>
    </row>
    <row r="15">
      <c r="B15" s="15" t="s">
        <v>23</v>
      </c>
      <c r="C15" s="15" t="s">
        <v>24</v>
      </c>
      <c r="D15" s="15" t="s">
        <v>25</v>
      </c>
      <c r="E15" s="15" t="s">
        <v>25</v>
      </c>
    </row>
    <row r="16">
      <c r="B16" s="20" t="s">
        <v>37</v>
      </c>
      <c r="C16" s="17"/>
      <c r="D16" s="17"/>
      <c r="E16" s="18"/>
    </row>
    <row r="17">
      <c r="B17" s="16" t="s">
        <v>38</v>
      </c>
      <c r="C17" s="17"/>
      <c r="D17" s="17"/>
      <c r="E17" s="18"/>
    </row>
    <row r="18">
      <c r="B18" s="16" t="s">
        <v>40</v>
      </c>
      <c r="C18" s="17"/>
      <c r="D18" s="17"/>
      <c r="E18" s="21">
        <v>1.0E9</v>
      </c>
    </row>
    <row r="19">
      <c r="B19" s="15" t="s">
        <v>35</v>
      </c>
      <c r="C19" s="19">
        <f>SUM(E16:E18)</f>
        <v>1000000000</v>
      </c>
      <c r="D19" s="3"/>
      <c r="E19" s="4"/>
    </row>
    <row r="21">
      <c r="B21" s="15" t="s">
        <v>41</v>
      </c>
      <c r="C21" s="22">
        <f>C19+C12</f>
        <v>1000000000</v>
      </c>
      <c r="D21" s="3"/>
      <c r="E21" s="4"/>
    </row>
    <row r="23">
      <c r="B23" s="14" t="s">
        <v>42</v>
      </c>
      <c r="C23" s="3"/>
      <c r="D23" s="3"/>
      <c r="E23" s="4"/>
    </row>
    <row r="24">
      <c r="B24" s="15" t="s">
        <v>23</v>
      </c>
      <c r="C24" s="15" t="s">
        <v>24</v>
      </c>
      <c r="D24" s="15" t="s">
        <v>25</v>
      </c>
      <c r="E24" s="15" t="s">
        <v>25</v>
      </c>
    </row>
    <row r="25">
      <c r="B25" s="20" t="s">
        <v>43</v>
      </c>
      <c r="C25" s="17"/>
      <c r="D25" s="17"/>
      <c r="E25" s="18"/>
    </row>
    <row r="26">
      <c r="B26" s="16" t="s">
        <v>44</v>
      </c>
      <c r="C26" s="17"/>
      <c r="D26" s="17"/>
      <c r="E26" s="18"/>
    </row>
    <row r="27">
      <c r="B27" s="16" t="s">
        <v>40</v>
      </c>
      <c r="C27" s="17"/>
      <c r="D27" s="17"/>
      <c r="E27" s="18"/>
    </row>
    <row r="28">
      <c r="B28" s="16" t="s">
        <v>45</v>
      </c>
      <c r="C28" s="17"/>
      <c r="D28" s="17"/>
      <c r="E28" s="18"/>
    </row>
    <row r="29">
      <c r="B29" s="16" t="s">
        <v>46</v>
      </c>
      <c r="C29" s="17"/>
      <c r="D29" s="17"/>
      <c r="E29" s="18"/>
    </row>
    <row r="30">
      <c r="B30" s="16" t="s">
        <v>47</v>
      </c>
      <c r="C30" s="17"/>
      <c r="D30" s="17"/>
      <c r="E30" s="21">
        <v>1.5E7</v>
      </c>
    </row>
    <row r="31">
      <c r="B31" s="15" t="s">
        <v>35</v>
      </c>
      <c r="C31" s="23">
        <f>E30</f>
        <v>15000000</v>
      </c>
      <c r="D31" s="3"/>
      <c r="E31" s="4"/>
    </row>
  </sheetData>
  <mergeCells count="7">
    <mergeCell ref="B2:E2"/>
    <mergeCell ref="C12:E12"/>
    <mergeCell ref="B14:E14"/>
    <mergeCell ref="C19:E19"/>
    <mergeCell ref="C21:E21"/>
    <mergeCell ref="B23:E23"/>
    <mergeCell ref="C31:E31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cols>
    <col customWidth="1" min="2" max="2" width="25.5"/>
  </cols>
  <sheetData>
    <row r="2">
      <c r="B2" s="14" t="s">
        <v>22</v>
      </c>
      <c r="C2" s="3"/>
      <c r="D2" s="3"/>
      <c r="E2" s="4"/>
    </row>
    <row r="3">
      <c r="B3" s="15" t="s">
        <v>23</v>
      </c>
      <c r="C3" s="15" t="s">
        <v>24</v>
      </c>
      <c r="D3" s="15" t="s">
        <v>25</v>
      </c>
      <c r="E3" s="15" t="s">
        <v>25</v>
      </c>
    </row>
    <row r="4">
      <c r="B4" s="16" t="s">
        <v>56</v>
      </c>
      <c r="C4" s="17"/>
      <c r="D4" s="17"/>
      <c r="E4" s="18"/>
    </row>
    <row r="5">
      <c r="B5" s="16" t="s">
        <v>57</v>
      </c>
      <c r="C5" s="17"/>
      <c r="D5" s="17"/>
      <c r="E5" s="18"/>
    </row>
    <row r="6">
      <c r="B6" s="16" t="s">
        <v>58</v>
      </c>
      <c r="C6" s="17"/>
      <c r="D6" s="17"/>
      <c r="E6" s="18"/>
    </row>
    <row r="7">
      <c r="B7" s="16" t="s">
        <v>51</v>
      </c>
      <c r="C7" s="17"/>
      <c r="D7" s="17"/>
      <c r="E7" s="18"/>
    </row>
    <row r="8">
      <c r="B8" s="16" t="s">
        <v>59</v>
      </c>
      <c r="C8" s="17"/>
      <c r="D8" s="17"/>
      <c r="E8" s="18"/>
    </row>
    <row r="9">
      <c r="B9" s="16" t="s">
        <v>60</v>
      </c>
      <c r="C9" s="17"/>
      <c r="D9" s="17"/>
      <c r="E9" s="18"/>
    </row>
    <row r="10">
      <c r="B10" s="16" t="s">
        <v>61</v>
      </c>
      <c r="C10" s="17"/>
      <c r="D10" s="17"/>
      <c r="E10" s="18"/>
    </row>
    <row r="11">
      <c r="B11" s="16" t="s">
        <v>62</v>
      </c>
      <c r="C11" s="17"/>
      <c r="D11" s="17"/>
      <c r="E11" s="18"/>
    </row>
    <row r="12">
      <c r="B12" s="16" t="s">
        <v>55</v>
      </c>
      <c r="C12" s="17"/>
      <c r="D12" s="17"/>
      <c r="E12" s="18"/>
    </row>
    <row r="13">
      <c r="B13" s="16" t="s">
        <v>63</v>
      </c>
      <c r="C13" s="17"/>
      <c r="D13" s="17"/>
      <c r="E13" s="18"/>
    </row>
    <row r="14">
      <c r="B14" s="15" t="s">
        <v>35</v>
      </c>
      <c r="C14" s="19">
        <f>SUM(E4:E13)</f>
        <v>0</v>
      </c>
      <c r="D14" s="3"/>
      <c r="E14" s="4"/>
    </row>
    <row r="16">
      <c r="B16" s="14" t="s">
        <v>36</v>
      </c>
      <c r="C16" s="3"/>
      <c r="D16" s="3"/>
      <c r="E16" s="4"/>
    </row>
    <row r="17">
      <c r="B17" s="15" t="s">
        <v>23</v>
      </c>
      <c r="C17" s="15" t="s">
        <v>24</v>
      </c>
      <c r="D17" s="15" t="s">
        <v>25</v>
      </c>
      <c r="E17" s="15" t="s">
        <v>25</v>
      </c>
    </row>
    <row r="18">
      <c r="B18" s="20" t="s">
        <v>37</v>
      </c>
      <c r="C18" s="17"/>
      <c r="D18" s="17"/>
      <c r="E18" s="18"/>
    </row>
    <row r="19">
      <c r="B19" s="16" t="s">
        <v>38</v>
      </c>
      <c r="C19" s="17"/>
      <c r="D19" s="17"/>
      <c r="E19" s="18"/>
    </row>
    <row r="20">
      <c r="B20" s="16" t="s">
        <v>40</v>
      </c>
      <c r="C20" s="17"/>
      <c r="D20" s="17"/>
      <c r="E20" s="21">
        <v>1.0E9</v>
      </c>
    </row>
    <row r="21">
      <c r="B21" s="15" t="s">
        <v>35</v>
      </c>
      <c r="C21" s="19">
        <f>SUM(E18:E20)</f>
        <v>1000000000</v>
      </c>
      <c r="D21" s="3"/>
      <c r="E21" s="4"/>
    </row>
    <row r="23">
      <c r="B23" s="15" t="s">
        <v>41</v>
      </c>
      <c r="C23" s="22">
        <f>C21+C14</f>
        <v>1000000000</v>
      </c>
      <c r="D23" s="3"/>
      <c r="E23" s="4"/>
    </row>
    <row r="25">
      <c r="B25" s="14" t="s">
        <v>42</v>
      </c>
      <c r="C25" s="3"/>
      <c r="D25" s="3"/>
      <c r="E25" s="4"/>
    </row>
    <row r="26">
      <c r="B26" s="15" t="s">
        <v>23</v>
      </c>
      <c r="C26" s="15" t="s">
        <v>24</v>
      </c>
      <c r="D26" s="15" t="s">
        <v>25</v>
      </c>
      <c r="E26" s="15" t="s">
        <v>25</v>
      </c>
    </row>
    <row r="27">
      <c r="B27" s="20" t="s">
        <v>43</v>
      </c>
      <c r="C27" s="17"/>
      <c r="D27" s="17"/>
      <c r="E27" s="18"/>
    </row>
    <row r="28">
      <c r="B28" s="16" t="s">
        <v>44</v>
      </c>
      <c r="C28" s="17"/>
      <c r="D28" s="17"/>
      <c r="E28" s="18"/>
    </row>
    <row r="29">
      <c r="B29" s="16" t="s">
        <v>40</v>
      </c>
      <c r="C29" s="17"/>
      <c r="D29" s="17"/>
      <c r="E29" s="18"/>
    </row>
    <row r="30">
      <c r="B30" s="16" t="s">
        <v>45</v>
      </c>
      <c r="C30" s="17"/>
      <c r="D30" s="17"/>
      <c r="E30" s="18"/>
    </row>
    <row r="31">
      <c r="B31" s="16" t="s">
        <v>46</v>
      </c>
      <c r="C31" s="17"/>
      <c r="D31" s="17"/>
      <c r="E31" s="18"/>
    </row>
    <row r="32">
      <c r="B32" s="16" t="s">
        <v>47</v>
      </c>
      <c r="C32" s="17"/>
      <c r="D32" s="17"/>
      <c r="E32" s="21">
        <v>1.5E7</v>
      </c>
    </row>
    <row r="33">
      <c r="B33" s="15" t="s">
        <v>35</v>
      </c>
      <c r="C33" s="23">
        <f>E32</f>
        <v>15000000</v>
      </c>
      <c r="D33" s="3"/>
      <c r="E33" s="4"/>
    </row>
  </sheetData>
  <mergeCells count="7">
    <mergeCell ref="B2:E2"/>
    <mergeCell ref="C14:E14"/>
    <mergeCell ref="B16:E16"/>
    <mergeCell ref="C21:E21"/>
    <mergeCell ref="C23:E23"/>
    <mergeCell ref="B25:E25"/>
    <mergeCell ref="C33:E33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2.63" defaultRowHeight="15.75"/>
  <cols>
    <col customWidth="1" min="2" max="2" width="18.5"/>
    <col customWidth="1" min="3" max="3" width="15.63"/>
    <col customWidth="1" min="4" max="4" width="14.38"/>
    <col customWidth="1" min="5" max="5" width="14.88"/>
    <col customWidth="1" min="6" max="6" width="20.63"/>
    <col customWidth="1" min="7" max="7" width="15.38"/>
    <col customWidth="1" min="8" max="8" width="5.88"/>
    <col customWidth="1" min="10" max="10" width="19.88"/>
    <col customWidth="1" min="12" max="12" width="6.5"/>
  </cols>
  <sheetData>
    <row r="2">
      <c r="B2" s="16" t="s">
        <v>64</v>
      </c>
      <c r="C2" s="21">
        <v>41300.0</v>
      </c>
      <c r="F2" s="16" t="s">
        <v>64</v>
      </c>
      <c r="G2" s="21">
        <v>79519.0</v>
      </c>
      <c r="J2" s="16" t="s">
        <v>64</v>
      </c>
      <c r="K2" s="21">
        <v>38300.0</v>
      </c>
    </row>
    <row r="3">
      <c r="B3" s="24" t="s">
        <v>65</v>
      </c>
      <c r="F3" s="24" t="s">
        <v>66</v>
      </c>
      <c r="J3" s="24" t="s">
        <v>67</v>
      </c>
    </row>
    <row r="4">
      <c r="B4" s="14" t="s">
        <v>68</v>
      </c>
      <c r="C4" s="3"/>
      <c r="D4" s="4"/>
      <c r="F4" s="14" t="s">
        <v>69</v>
      </c>
      <c r="G4" s="3"/>
      <c r="H4" s="4"/>
      <c r="J4" s="14" t="s">
        <v>70</v>
      </c>
      <c r="K4" s="3"/>
      <c r="L4" s="4"/>
    </row>
    <row r="5">
      <c r="B5" s="25"/>
      <c r="C5" s="26"/>
      <c r="D5" s="8"/>
      <c r="F5" s="25"/>
      <c r="G5" s="26"/>
      <c r="H5" s="8"/>
      <c r="J5" s="25"/>
      <c r="K5" s="26"/>
      <c r="L5" s="8"/>
    </row>
    <row r="6">
      <c r="B6" s="27"/>
      <c r="D6" s="28"/>
      <c r="F6" s="27"/>
      <c r="H6" s="28"/>
      <c r="J6" s="27"/>
      <c r="L6" s="28"/>
    </row>
    <row r="7">
      <c r="B7" s="27"/>
      <c r="D7" s="28"/>
      <c r="F7" s="27"/>
      <c r="H7" s="28"/>
      <c r="J7" s="27"/>
      <c r="L7" s="28"/>
    </row>
    <row r="8">
      <c r="B8" s="27"/>
      <c r="D8" s="28"/>
      <c r="F8" s="27"/>
      <c r="H8" s="28"/>
      <c r="J8" s="27"/>
      <c r="L8" s="28"/>
    </row>
    <row r="9">
      <c r="B9" s="27"/>
      <c r="D9" s="28"/>
      <c r="F9" s="27"/>
      <c r="H9" s="28"/>
      <c r="J9" s="27"/>
      <c r="L9" s="28"/>
    </row>
    <row r="10">
      <c r="B10" s="27"/>
      <c r="D10" s="28"/>
      <c r="F10" s="27"/>
      <c r="H10" s="28"/>
      <c r="J10" s="27"/>
      <c r="L10" s="28"/>
    </row>
    <row r="11">
      <c r="B11" s="27"/>
      <c r="D11" s="28"/>
      <c r="F11" s="27"/>
      <c r="H11" s="28"/>
      <c r="J11" s="27"/>
      <c r="L11" s="28"/>
    </row>
    <row r="12">
      <c r="B12" s="27"/>
      <c r="D12" s="28"/>
      <c r="F12" s="27"/>
      <c r="H12" s="28"/>
      <c r="J12" s="27"/>
      <c r="L12" s="28"/>
    </row>
    <row r="13">
      <c r="B13" s="27"/>
      <c r="D13" s="28"/>
      <c r="F13" s="27"/>
      <c r="H13" s="28"/>
      <c r="J13" s="27"/>
      <c r="L13" s="28"/>
    </row>
    <row r="14">
      <c r="B14" s="27"/>
      <c r="D14" s="28"/>
      <c r="F14" s="27"/>
      <c r="H14" s="28"/>
      <c r="J14" s="27"/>
      <c r="L14" s="28"/>
    </row>
    <row r="15">
      <c r="B15" s="27"/>
      <c r="D15" s="28"/>
      <c r="F15" s="27"/>
      <c r="H15" s="28"/>
      <c r="J15" s="27"/>
      <c r="L15" s="28"/>
    </row>
    <row r="16">
      <c r="B16" s="27"/>
      <c r="D16" s="28"/>
      <c r="F16" s="27"/>
      <c r="H16" s="28"/>
      <c r="J16" s="27"/>
      <c r="L16" s="28"/>
    </row>
    <row r="17">
      <c r="B17" s="10"/>
      <c r="C17" s="29"/>
      <c r="D17" s="11"/>
      <c r="F17" s="10"/>
      <c r="G17" s="29"/>
      <c r="H17" s="11"/>
      <c r="J17" s="10"/>
      <c r="K17" s="29"/>
      <c r="L17" s="11"/>
    </row>
    <row r="18">
      <c r="B18" s="16" t="s">
        <v>71</v>
      </c>
      <c r="C18" s="30">
        <v>1.62</v>
      </c>
      <c r="D18" s="4"/>
      <c r="F18" s="16" t="s">
        <v>71</v>
      </c>
      <c r="G18" s="30">
        <v>1.44</v>
      </c>
      <c r="H18" s="4"/>
      <c r="J18" s="16" t="s">
        <v>71</v>
      </c>
      <c r="K18" s="30">
        <v>1.89</v>
      </c>
      <c r="L18" s="4"/>
    </row>
    <row r="19">
      <c r="B19" s="16" t="s">
        <v>72</v>
      </c>
      <c r="C19" s="30">
        <v>30000.0</v>
      </c>
      <c r="D19" s="4"/>
      <c r="F19" s="16" t="s">
        <v>72</v>
      </c>
      <c r="G19" s="30">
        <v>30000.0</v>
      </c>
      <c r="H19" s="4"/>
      <c r="J19" s="16" t="s">
        <v>72</v>
      </c>
      <c r="K19" s="30">
        <v>15000.0</v>
      </c>
      <c r="L19" s="4"/>
    </row>
    <row r="20">
      <c r="B20" s="16" t="s">
        <v>73</v>
      </c>
      <c r="C20" s="31">
        <f>C19/C18</f>
        <v>18518.51852</v>
      </c>
      <c r="D20" s="4"/>
      <c r="F20" s="16" t="s">
        <v>73</v>
      </c>
      <c r="G20" s="31">
        <f>G19/G18</f>
        <v>20833.33333</v>
      </c>
      <c r="H20" s="4"/>
      <c r="J20" s="16" t="s">
        <v>73</v>
      </c>
      <c r="K20" s="31">
        <f>K19/K18</f>
        <v>7936.507937</v>
      </c>
      <c r="L20" s="4"/>
    </row>
    <row r="21">
      <c r="B21" s="16" t="s">
        <v>74</v>
      </c>
      <c r="C21" s="19">
        <f>C18*C2</f>
        <v>66906</v>
      </c>
      <c r="D21" s="4"/>
      <c r="F21" s="16" t="s">
        <v>74</v>
      </c>
      <c r="G21" s="19">
        <f>G18*G2</f>
        <v>114507.36</v>
      </c>
      <c r="H21" s="4"/>
      <c r="J21" s="16" t="s">
        <v>74</v>
      </c>
      <c r="K21" s="19">
        <f>K18*K2</f>
        <v>72387</v>
      </c>
      <c r="L21" s="4"/>
    </row>
    <row r="22">
      <c r="B22" s="16" t="s">
        <v>75</v>
      </c>
      <c r="C22" s="5">
        <f>C20*0.8</f>
        <v>14814.81481</v>
      </c>
      <c r="D22" s="4"/>
      <c r="F22" s="16" t="s">
        <v>75</v>
      </c>
      <c r="G22" s="5">
        <f>G20*0.8</f>
        <v>16666.66667</v>
      </c>
      <c r="H22" s="4"/>
      <c r="J22" s="16" t="s">
        <v>75</v>
      </c>
      <c r="K22" s="5">
        <f>K20*0.8</f>
        <v>6349.206349</v>
      </c>
      <c r="L22" s="4"/>
    </row>
    <row r="23">
      <c r="B23" s="16" t="s">
        <v>76</v>
      </c>
      <c r="C23" s="19">
        <f>C22*C21</f>
        <v>991200000</v>
      </c>
      <c r="D23" s="4"/>
      <c r="F23" s="16" t="s">
        <v>76</v>
      </c>
      <c r="G23" s="19">
        <f>G22*G21</f>
        <v>1908456000</v>
      </c>
      <c r="H23" s="4"/>
      <c r="J23" s="16" t="s">
        <v>76</v>
      </c>
      <c r="K23" s="19">
        <f>K22*K21</f>
        <v>459600000</v>
      </c>
      <c r="L23" s="4"/>
    </row>
    <row r="26">
      <c r="B26" s="5" t="s">
        <v>77</v>
      </c>
      <c r="C26" s="4"/>
      <c r="D26" s="18">
        <f>AVERAGE(C2,G2,K2)</f>
        <v>53039.66667</v>
      </c>
      <c r="F26" s="32" t="s">
        <v>78</v>
      </c>
      <c r="G26" s="3"/>
      <c r="H26" s="3"/>
      <c r="I26" s="3"/>
      <c r="J26" s="4"/>
    </row>
    <row r="27">
      <c r="B27" s="5" t="s">
        <v>79</v>
      </c>
      <c r="C27" s="4"/>
      <c r="D27" s="16">
        <v>374803.2</v>
      </c>
      <c r="F27" s="16" t="s">
        <v>80</v>
      </c>
      <c r="G27" s="16" t="s">
        <v>81</v>
      </c>
      <c r="H27" s="5" t="s">
        <v>82</v>
      </c>
      <c r="I27" s="4"/>
      <c r="J27" s="16" t="s">
        <v>83</v>
      </c>
    </row>
    <row r="28">
      <c r="B28" s="5" t="s">
        <v>84</v>
      </c>
      <c r="C28" s="4"/>
      <c r="D28" s="16">
        <v>442065.6</v>
      </c>
      <c r="F28" s="16">
        <v>1.0</v>
      </c>
      <c r="G28" s="18">
        <f>C23</f>
        <v>991200000</v>
      </c>
      <c r="H28" s="19">
        <f t="shared" ref="H28:H30" si="1">G28*12</f>
        <v>11894400000</v>
      </c>
      <c r="I28" s="4"/>
      <c r="J28" s="33">
        <f t="shared" ref="J28:J31" si="2">H28/$H$31</f>
        <v>0.2950653359</v>
      </c>
    </row>
    <row r="29">
      <c r="B29" s="5" t="s">
        <v>85</v>
      </c>
      <c r="C29" s="4"/>
      <c r="D29" s="17">
        <f>D28-D27</f>
        <v>67262.4</v>
      </c>
      <c r="F29" s="16">
        <v>2.0</v>
      </c>
      <c r="G29" s="18">
        <f>G23</f>
        <v>1908456000</v>
      </c>
      <c r="H29" s="19">
        <f t="shared" si="1"/>
        <v>22901472000</v>
      </c>
      <c r="I29" s="4"/>
      <c r="J29" s="33">
        <f t="shared" si="2"/>
        <v>0.5681186548</v>
      </c>
    </row>
    <row r="30">
      <c r="B30" s="5" t="s">
        <v>86</v>
      </c>
      <c r="C30" s="4"/>
      <c r="D30" s="18">
        <f>D29*D26</f>
        <v>3567575275</v>
      </c>
      <c r="F30" s="16">
        <v>3.0</v>
      </c>
      <c r="G30" s="18">
        <f>K23</f>
        <v>459600000</v>
      </c>
      <c r="H30" s="19">
        <f t="shared" si="1"/>
        <v>5515200000</v>
      </c>
      <c r="I30" s="4"/>
      <c r="J30" s="33">
        <f t="shared" si="2"/>
        <v>0.1368160093</v>
      </c>
    </row>
    <row r="31">
      <c r="B31" s="5" t="s">
        <v>87</v>
      </c>
      <c r="C31" s="4"/>
      <c r="D31" s="18">
        <f>SUM(C23+G23+K23)</f>
        <v>3359256000</v>
      </c>
      <c r="F31" s="16" t="s">
        <v>35</v>
      </c>
      <c r="G31" s="18">
        <f t="shared" ref="G31:H31" si="3">SUM(G28:G30)</f>
        <v>3359256000</v>
      </c>
      <c r="H31" s="19">
        <f t="shared" si="3"/>
        <v>40311072000</v>
      </c>
      <c r="I31" s="4"/>
      <c r="J31" s="33">
        <f t="shared" si="2"/>
        <v>1</v>
      </c>
    </row>
    <row r="32">
      <c r="B32" s="5" t="s">
        <v>88</v>
      </c>
      <c r="C32" s="4"/>
      <c r="D32" s="18">
        <f>D31*12</f>
        <v>40311072000</v>
      </c>
    </row>
    <row r="33">
      <c r="B33" s="5" t="s">
        <v>89</v>
      </c>
      <c r="C33" s="4"/>
      <c r="D33" s="34">
        <v>0.1</v>
      </c>
    </row>
    <row r="35">
      <c r="A35" s="35" t="s">
        <v>90</v>
      </c>
      <c r="B35" s="36">
        <v>0.0</v>
      </c>
      <c r="C35" s="36">
        <v>1.0</v>
      </c>
      <c r="D35" s="36">
        <v>2.0</v>
      </c>
      <c r="E35" s="36">
        <v>3.0</v>
      </c>
      <c r="F35" s="36">
        <v>4.0</v>
      </c>
      <c r="G35" s="36">
        <v>5.0</v>
      </c>
      <c r="H35" s="37"/>
      <c r="I35" s="37"/>
      <c r="J35" s="38">
        <f>K22+G22+C22</f>
        <v>37830.68783</v>
      </c>
      <c r="K35" s="37"/>
      <c r="L35" s="37"/>
      <c r="M35" s="37"/>
      <c r="N35" s="37"/>
      <c r="O35" s="37"/>
      <c r="P35" s="37"/>
      <c r="Q35" s="37"/>
      <c r="R35" s="37"/>
      <c r="S35" s="37"/>
    </row>
    <row r="36">
      <c r="A36" s="39" t="s">
        <v>91</v>
      </c>
      <c r="B36" s="3"/>
      <c r="C36" s="3"/>
      <c r="D36" s="3"/>
      <c r="E36" s="3"/>
      <c r="F36" s="3"/>
      <c r="G36" s="4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</row>
    <row r="37">
      <c r="A37" s="41" t="s">
        <v>92</v>
      </c>
      <c r="B37" s="42">
        <v>0.0</v>
      </c>
      <c r="C37" s="43">
        <f>D32</f>
        <v>40311072000</v>
      </c>
      <c r="D37" s="43">
        <f t="shared" ref="D37:G37" si="4">C37*D33+C37</f>
        <v>44342179200</v>
      </c>
      <c r="E37" s="43">
        <f t="shared" si="4"/>
        <v>44342179200</v>
      </c>
      <c r="F37" s="43">
        <f t="shared" si="4"/>
        <v>44342179200</v>
      </c>
      <c r="G37" s="43">
        <f t="shared" si="4"/>
        <v>44342179200</v>
      </c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</row>
    <row r="38">
      <c r="A38" s="44" t="s">
        <v>93</v>
      </c>
      <c r="B38" s="42">
        <v>0.0</v>
      </c>
      <c r="C38" s="45">
        <f t="shared" ref="C38:G38" si="5">C37</f>
        <v>40311072000</v>
      </c>
      <c r="D38" s="45">
        <f t="shared" si="5"/>
        <v>44342179200</v>
      </c>
      <c r="E38" s="45">
        <f t="shared" si="5"/>
        <v>44342179200</v>
      </c>
      <c r="F38" s="45">
        <f t="shared" si="5"/>
        <v>44342179200</v>
      </c>
      <c r="G38" s="45">
        <f t="shared" si="5"/>
        <v>44342179200</v>
      </c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</row>
  </sheetData>
  <mergeCells count="39">
    <mergeCell ref="J5:L17"/>
    <mergeCell ref="K18:L18"/>
    <mergeCell ref="K20:L20"/>
    <mergeCell ref="K21:L21"/>
    <mergeCell ref="K22:L22"/>
    <mergeCell ref="K23:L23"/>
    <mergeCell ref="B4:D4"/>
    <mergeCell ref="F4:H4"/>
    <mergeCell ref="J4:L4"/>
    <mergeCell ref="B5:D17"/>
    <mergeCell ref="F5:H17"/>
    <mergeCell ref="C18:D18"/>
    <mergeCell ref="K19:L19"/>
    <mergeCell ref="H27:I27"/>
    <mergeCell ref="H28:I28"/>
    <mergeCell ref="H29:I29"/>
    <mergeCell ref="H30:I30"/>
    <mergeCell ref="H31:I31"/>
    <mergeCell ref="G18:H18"/>
    <mergeCell ref="G19:H19"/>
    <mergeCell ref="G20:H20"/>
    <mergeCell ref="G21:H21"/>
    <mergeCell ref="G22:H22"/>
    <mergeCell ref="G23:H23"/>
    <mergeCell ref="F26:J26"/>
    <mergeCell ref="B28:C28"/>
    <mergeCell ref="B29:C29"/>
    <mergeCell ref="B30:C30"/>
    <mergeCell ref="B31:C31"/>
    <mergeCell ref="B32:C32"/>
    <mergeCell ref="B33:C33"/>
    <mergeCell ref="A36:G36"/>
    <mergeCell ref="C19:D19"/>
    <mergeCell ref="C20:D20"/>
    <mergeCell ref="C21:D21"/>
    <mergeCell ref="C22:D22"/>
    <mergeCell ref="C23:D23"/>
    <mergeCell ref="B26:C26"/>
    <mergeCell ref="B27:C27"/>
  </mergeCells>
  <hyperlinks>
    <hyperlink r:id="rId1" ref="B3"/>
    <hyperlink r:id="rId2" ref="F3"/>
    <hyperlink r:id="rId3" ref="J3"/>
  </hyperlinks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2.63" defaultRowHeight="15.75"/>
  <cols>
    <col customWidth="1" min="4" max="4" width="15.38"/>
    <col customWidth="1" min="5" max="5" width="17.13"/>
  </cols>
  <sheetData>
    <row r="2">
      <c r="B2" s="5" t="s">
        <v>94</v>
      </c>
      <c r="C2" s="3"/>
      <c r="D2" s="3"/>
      <c r="E2" s="4"/>
    </row>
    <row r="3">
      <c r="B3" s="16" t="s">
        <v>95</v>
      </c>
      <c r="C3" s="16" t="s">
        <v>96</v>
      </c>
      <c r="D3" s="16" t="s">
        <v>97</v>
      </c>
      <c r="E3" s="16" t="s">
        <v>98</v>
      </c>
    </row>
    <row r="4">
      <c r="B4" s="17"/>
      <c r="C4" s="17"/>
      <c r="D4" s="17"/>
      <c r="E4" s="46"/>
    </row>
    <row r="5">
      <c r="B5" s="17"/>
      <c r="C5" s="17"/>
      <c r="D5" s="17"/>
      <c r="E5" s="46"/>
    </row>
    <row r="6">
      <c r="B6" s="17"/>
      <c r="C6" s="17"/>
      <c r="D6" s="17"/>
      <c r="E6" s="46"/>
    </row>
    <row r="7">
      <c r="B7" s="17"/>
      <c r="C7" s="17"/>
      <c r="D7" s="17"/>
      <c r="E7" s="47">
        <v>14500.0</v>
      </c>
    </row>
    <row r="8">
      <c r="B8" s="17"/>
      <c r="C8" s="17"/>
      <c r="D8" s="17"/>
      <c r="E8" s="46"/>
    </row>
    <row r="9">
      <c r="B9" s="16" t="s">
        <v>99</v>
      </c>
      <c r="C9" s="17"/>
      <c r="D9" s="17"/>
      <c r="E9" s="46">
        <f>SUM(E4:E8)</f>
        <v>14500</v>
      </c>
    </row>
    <row r="10">
      <c r="B10" s="5" t="s">
        <v>100</v>
      </c>
      <c r="C10" s="3"/>
      <c r="D10" s="4"/>
      <c r="E10" s="46">
        <f>E9*'Ingresos - Ventas de los produc'!D29</f>
        <v>975304800</v>
      </c>
    </row>
    <row r="11">
      <c r="B11" s="5" t="s">
        <v>101</v>
      </c>
      <c r="C11" s="3"/>
      <c r="D11" s="4"/>
      <c r="E11" s="46">
        <f>E10*12</f>
        <v>11703657600</v>
      </c>
    </row>
    <row r="12">
      <c r="B12" s="5" t="s">
        <v>102</v>
      </c>
      <c r="C12" s="3"/>
      <c r="D12" s="4"/>
      <c r="E12" s="48">
        <v>0.1</v>
      </c>
    </row>
  </sheetData>
  <mergeCells count="4">
    <mergeCell ref="B2:E2"/>
    <mergeCell ref="B10:D10"/>
    <mergeCell ref="B11:D11"/>
    <mergeCell ref="B12:D12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660000"/>
    <outlinePr summaryBelow="0" summaryRight="0"/>
  </sheetPr>
  <sheetViews>
    <sheetView workbookViewId="0"/>
  </sheetViews>
  <sheetFormatPr customHeight="1" defaultColWidth="12.63" defaultRowHeight="15.75"/>
  <cols>
    <col customWidth="1" min="5" max="5" width="11.13"/>
    <col customWidth="1" min="6" max="6" width="19.0"/>
    <col customWidth="1" min="7" max="7" width="14.0"/>
    <col customWidth="1" min="9" max="9" width="16.25"/>
  </cols>
  <sheetData>
    <row r="2">
      <c r="D2" s="49"/>
      <c r="E2" s="17"/>
      <c r="F2" s="16" t="s">
        <v>103</v>
      </c>
    </row>
    <row r="3">
      <c r="E3" s="16" t="s">
        <v>104</v>
      </c>
      <c r="F3" s="47">
        <v>300.0</v>
      </c>
    </row>
    <row r="4">
      <c r="E4" s="16" t="s">
        <v>81</v>
      </c>
      <c r="F4" s="46">
        <f>F3*30</f>
        <v>9000</v>
      </c>
    </row>
    <row r="5">
      <c r="E5" s="16" t="s">
        <v>105</v>
      </c>
      <c r="F5" s="46">
        <f>F4*228.28</f>
        <v>2054520</v>
      </c>
    </row>
    <row r="7">
      <c r="B7" s="5" t="s">
        <v>106</v>
      </c>
      <c r="C7" s="4"/>
      <c r="E7" s="14" t="s">
        <v>107</v>
      </c>
      <c r="F7" s="3"/>
      <c r="G7" s="4"/>
    </row>
    <row r="8">
      <c r="B8" s="32" t="s">
        <v>108</v>
      </c>
      <c r="C8" s="4"/>
      <c r="E8" s="32" t="s">
        <v>109</v>
      </c>
      <c r="F8" s="3"/>
      <c r="G8" s="4"/>
    </row>
    <row r="9">
      <c r="B9" s="15" t="s">
        <v>110</v>
      </c>
      <c r="C9" s="15" t="s">
        <v>111</v>
      </c>
      <c r="E9" s="15" t="s">
        <v>112</v>
      </c>
      <c r="F9" s="15" t="s">
        <v>113</v>
      </c>
      <c r="G9" s="15" t="s">
        <v>111</v>
      </c>
    </row>
    <row r="10">
      <c r="B10" s="16" t="s">
        <v>114</v>
      </c>
      <c r="C10" s="21">
        <v>8000000.0</v>
      </c>
      <c r="E10" s="16" t="s">
        <v>115</v>
      </c>
      <c r="F10" s="16">
        <v>6.0</v>
      </c>
      <c r="G10" s="46">
        <f t="shared" ref="G10:G16" si="1">F10*$F$5</f>
        <v>12327120</v>
      </c>
    </row>
    <row r="11">
      <c r="B11" s="16" t="s">
        <v>116</v>
      </c>
      <c r="C11" s="21">
        <v>8000000.0</v>
      </c>
      <c r="E11" s="16" t="s">
        <v>38</v>
      </c>
      <c r="F11" s="16">
        <v>3.0</v>
      </c>
      <c r="G11" s="46">
        <f t="shared" si="1"/>
        <v>6163560</v>
      </c>
    </row>
    <row r="12">
      <c r="B12" s="16" t="s">
        <v>117</v>
      </c>
      <c r="C12" s="21">
        <v>8000000.0</v>
      </c>
      <c r="E12" s="16" t="s">
        <v>118</v>
      </c>
      <c r="F12" s="16">
        <v>3.0</v>
      </c>
      <c r="G12" s="46">
        <f t="shared" si="1"/>
        <v>6163560</v>
      </c>
    </row>
    <row r="13">
      <c r="B13" s="16" t="s">
        <v>119</v>
      </c>
      <c r="C13" s="21">
        <v>8000000.0</v>
      </c>
      <c r="E13" s="16" t="s">
        <v>118</v>
      </c>
      <c r="F13" s="16">
        <v>3.0</v>
      </c>
      <c r="G13" s="46">
        <f t="shared" si="1"/>
        <v>6163560</v>
      </c>
      <c r="I13" s="16" t="s">
        <v>35</v>
      </c>
      <c r="J13" s="50">
        <f>C17+G17</f>
        <v>158726000</v>
      </c>
    </row>
    <row r="14">
      <c r="B14" s="16" t="s">
        <v>120</v>
      </c>
      <c r="C14" s="21">
        <v>8000000.0</v>
      </c>
      <c r="E14" s="16" t="s">
        <v>118</v>
      </c>
      <c r="F14" s="16">
        <v>5.0</v>
      </c>
      <c r="G14" s="46">
        <f t="shared" si="1"/>
        <v>10272600</v>
      </c>
    </row>
    <row r="15">
      <c r="B15" s="16" t="s">
        <v>121</v>
      </c>
      <c r="C15" s="21">
        <v>8000000.0</v>
      </c>
      <c r="E15" s="16" t="s">
        <v>118</v>
      </c>
      <c r="F15" s="16">
        <v>20.0</v>
      </c>
      <c r="G15" s="46">
        <f t="shared" si="1"/>
        <v>41090400</v>
      </c>
    </row>
    <row r="16">
      <c r="B16" s="16" t="s">
        <v>122</v>
      </c>
      <c r="C16" s="21">
        <v>8000000.0</v>
      </c>
      <c r="E16" s="16" t="s">
        <v>118</v>
      </c>
      <c r="F16" s="16">
        <v>10.0</v>
      </c>
      <c r="G16" s="46">
        <f t="shared" si="1"/>
        <v>20545200</v>
      </c>
    </row>
    <row r="17">
      <c r="B17" s="16" t="s">
        <v>87</v>
      </c>
      <c r="C17" s="18">
        <f>SUM(C10:C16)</f>
        <v>56000000</v>
      </c>
      <c r="E17" s="5" t="s">
        <v>35</v>
      </c>
      <c r="F17" s="17">
        <f t="shared" ref="F17:G17" si="2">SUM(F10:F16)</f>
        <v>50</v>
      </c>
      <c r="G17" s="46">
        <f t="shared" si="2"/>
        <v>102726000</v>
      </c>
    </row>
  </sheetData>
  <mergeCells count="4">
    <mergeCell ref="B7:C7"/>
    <mergeCell ref="E7:G7"/>
    <mergeCell ref="B8:C8"/>
    <mergeCell ref="E8:G8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83F04"/>
    <outlinePr summaryBelow="0" summaryRight="0"/>
  </sheetPr>
  <sheetViews>
    <sheetView workbookViewId="0"/>
  </sheetViews>
  <sheetFormatPr customHeight="1" defaultColWidth="12.63" defaultRowHeight="15.75"/>
  <cols>
    <col customWidth="1" min="1" max="1" width="39.63"/>
    <col customWidth="1" min="2" max="2" width="15.5"/>
    <col customWidth="1" min="3" max="3" width="14.88"/>
    <col customWidth="1" min="4" max="6" width="14.13"/>
    <col customWidth="1" min="7" max="9" width="14.88"/>
    <col customWidth="1" min="10" max="13" width="14.13"/>
    <col customWidth="1" min="14" max="14" width="14.88"/>
  </cols>
  <sheetData>
    <row r="3">
      <c r="B3" s="51" t="s">
        <v>123</v>
      </c>
      <c r="C3" s="4"/>
      <c r="E3" s="51" t="s">
        <v>124</v>
      </c>
      <c r="F3" s="4"/>
      <c r="H3" s="51" t="s">
        <v>125</v>
      </c>
      <c r="I3" s="4"/>
      <c r="K3" s="51" t="s">
        <v>92</v>
      </c>
      <c r="L3" s="4"/>
    </row>
    <row r="4">
      <c r="B4" s="15" t="s">
        <v>126</v>
      </c>
      <c r="C4" s="15" t="s">
        <v>25</v>
      </c>
      <c r="E4" s="15" t="s">
        <v>126</v>
      </c>
      <c r="F4" s="15" t="s">
        <v>25</v>
      </c>
      <c r="H4" s="15" t="s">
        <v>126</v>
      </c>
      <c r="I4" s="15" t="s">
        <v>25</v>
      </c>
      <c r="K4" s="15" t="s">
        <v>126</v>
      </c>
      <c r="L4" s="15" t="s">
        <v>25</v>
      </c>
    </row>
    <row r="5">
      <c r="B5" s="16" t="s">
        <v>127</v>
      </c>
      <c r="C5" s="21">
        <f>CeldaRobotizada!C23</f>
        <v>2000000000</v>
      </c>
      <c r="E5" s="16" t="s">
        <v>108</v>
      </c>
      <c r="F5" s="21">
        <f>'Nómina - Año 0'!C17</f>
        <v>56000000</v>
      </c>
      <c r="H5" s="16" t="s">
        <v>127</v>
      </c>
      <c r="I5" s="21">
        <f>CeldaRobotizada!C33</f>
        <v>15000000</v>
      </c>
      <c r="K5" s="16" t="s">
        <v>128</v>
      </c>
      <c r="L5" s="21">
        <v>0.0</v>
      </c>
    </row>
    <row r="6">
      <c r="B6" s="16" t="s">
        <v>129</v>
      </c>
      <c r="C6" s="21">
        <f>Comunicaciones!C21</f>
        <v>1000000000</v>
      </c>
      <c r="E6" s="16" t="s">
        <v>109</v>
      </c>
      <c r="F6" s="21">
        <f>'Nómina - Año 0'!G17</f>
        <v>102726000</v>
      </c>
      <c r="H6" s="16" t="s">
        <v>129</v>
      </c>
      <c r="I6" s="21">
        <f>Comunicaciones!C31</f>
        <v>15000000</v>
      </c>
      <c r="K6" s="16" t="s">
        <v>130</v>
      </c>
      <c r="L6" s="21">
        <v>0.0</v>
      </c>
    </row>
    <row r="7">
      <c r="B7" s="16" t="s">
        <v>131</v>
      </c>
      <c r="C7" s="21">
        <f>SCADA!C23</f>
        <v>1000000000</v>
      </c>
      <c r="E7" s="15" t="s">
        <v>35</v>
      </c>
      <c r="F7" s="21">
        <f>SUM(F5:F6)</f>
        <v>158726000</v>
      </c>
      <c r="H7" s="16" t="s">
        <v>131</v>
      </c>
      <c r="I7" s="21">
        <f>SCADA!C33</f>
        <v>15000000</v>
      </c>
      <c r="K7" s="16" t="s">
        <v>132</v>
      </c>
      <c r="L7" s="21">
        <v>0.0</v>
      </c>
    </row>
    <row r="8">
      <c r="B8" s="15" t="s">
        <v>35</v>
      </c>
      <c r="C8" s="21">
        <f>SUM(C5:C7)</f>
        <v>4000000000</v>
      </c>
      <c r="H8" s="15" t="s">
        <v>35</v>
      </c>
      <c r="I8" s="21">
        <f>SUM(I5:I7)</f>
        <v>45000000</v>
      </c>
      <c r="K8" s="15" t="s">
        <v>35</v>
      </c>
      <c r="L8" s="21">
        <f>SUM(L5:L7)</f>
        <v>0</v>
      </c>
    </row>
    <row r="11">
      <c r="A11" s="35" t="s">
        <v>133</v>
      </c>
      <c r="B11" s="36">
        <v>0.0</v>
      </c>
      <c r="C11" s="36">
        <v>1.0</v>
      </c>
      <c r="D11" s="36">
        <v>2.0</v>
      </c>
      <c r="E11" s="36">
        <v>3.0</v>
      </c>
      <c r="F11" s="36">
        <v>4.0</v>
      </c>
      <c r="G11" s="36">
        <v>5.0</v>
      </c>
      <c r="H11" s="36">
        <v>6.0</v>
      </c>
      <c r="I11" s="36">
        <v>7.0</v>
      </c>
      <c r="J11" s="36">
        <v>8.0</v>
      </c>
      <c r="K11" s="36">
        <v>9.0</v>
      </c>
      <c r="L11" s="36">
        <v>10.0</v>
      </c>
      <c r="M11" s="36">
        <v>11.0</v>
      </c>
      <c r="N11" s="36">
        <v>12.0</v>
      </c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>
      <c r="A12" s="39" t="s">
        <v>91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4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</row>
    <row r="13">
      <c r="A13" s="41" t="s">
        <v>92</v>
      </c>
      <c r="B13" s="52"/>
      <c r="C13" s="43">
        <f t="shared" ref="C13:N13" si="1">$L$8</f>
        <v>0</v>
      </c>
      <c r="D13" s="43">
        <f t="shared" si="1"/>
        <v>0</v>
      </c>
      <c r="E13" s="43">
        <f t="shared" si="1"/>
        <v>0</v>
      </c>
      <c r="F13" s="43">
        <f t="shared" si="1"/>
        <v>0</v>
      </c>
      <c r="G13" s="43">
        <f t="shared" si="1"/>
        <v>0</v>
      </c>
      <c r="H13" s="43">
        <f t="shared" si="1"/>
        <v>0</v>
      </c>
      <c r="I13" s="43">
        <f t="shared" si="1"/>
        <v>0</v>
      </c>
      <c r="J13" s="43">
        <f t="shared" si="1"/>
        <v>0</v>
      </c>
      <c r="K13" s="43">
        <f t="shared" si="1"/>
        <v>0</v>
      </c>
      <c r="L13" s="43">
        <f t="shared" si="1"/>
        <v>0</v>
      </c>
      <c r="M13" s="43">
        <f t="shared" si="1"/>
        <v>0</v>
      </c>
      <c r="N13" s="43">
        <f t="shared" si="1"/>
        <v>0</v>
      </c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</row>
    <row r="14">
      <c r="A14" s="44" t="s">
        <v>93</v>
      </c>
      <c r="B14" s="52"/>
      <c r="C14" s="45">
        <f t="shared" ref="C14:N14" si="2">C13</f>
        <v>0</v>
      </c>
      <c r="D14" s="45">
        <f t="shared" si="2"/>
        <v>0</v>
      </c>
      <c r="E14" s="45">
        <f t="shared" si="2"/>
        <v>0</v>
      </c>
      <c r="F14" s="45">
        <f t="shared" si="2"/>
        <v>0</v>
      </c>
      <c r="G14" s="45">
        <f t="shared" si="2"/>
        <v>0</v>
      </c>
      <c r="H14" s="45">
        <f t="shared" si="2"/>
        <v>0</v>
      </c>
      <c r="I14" s="45">
        <f t="shared" si="2"/>
        <v>0</v>
      </c>
      <c r="J14" s="45">
        <f t="shared" si="2"/>
        <v>0</v>
      </c>
      <c r="K14" s="45">
        <f t="shared" si="2"/>
        <v>0</v>
      </c>
      <c r="L14" s="45">
        <f t="shared" si="2"/>
        <v>0</v>
      </c>
      <c r="M14" s="45">
        <f t="shared" si="2"/>
        <v>0</v>
      </c>
      <c r="N14" s="45">
        <f t="shared" si="2"/>
        <v>0</v>
      </c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</row>
    <row r="15">
      <c r="A15" s="39" t="s">
        <v>134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4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</row>
    <row r="16">
      <c r="A16" s="41" t="s">
        <v>135</v>
      </c>
      <c r="B16" s="45">
        <f>C8</f>
        <v>4000000000</v>
      </c>
      <c r="C16" s="53" t="s">
        <v>136</v>
      </c>
      <c r="D16" s="53" t="s">
        <v>136</v>
      </c>
      <c r="E16" s="53" t="s">
        <v>136</v>
      </c>
      <c r="F16" s="53" t="s">
        <v>136</v>
      </c>
      <c r="G16" s="53" t="s">
        <v>136</v>
      </c>
      <c r="H16" s="53" t="s">
        <v>136</v>
      </c>
      <c r="I16" s="53" t="s">
        <v>136</v>
      </c>
      <c r="J16" s="53" t="s">
        <v>136</v>
      </c>
      <c r="K16" s="53" t="s">
        <v>136</v>
      </c>
      <c r="L16" s="53" t="s">
        <v>136</v>
      </c>
      <c r="M16" s="53" t="s">
        <v>136</v>
      </c>
      <c r="N16" s="53" t="s">
        <v>136</v>
      </c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</row>
    <row r="17">
      <c r="A17" s="41" t="s">
        <v>137</v>
      </c>
      <c r="B17" s="53" t="s">
        <v>136</v>
      </c>
      <c r="C17" s="43">
        <f t="shared" ref="C17:N17" si="3">$I$8</f>
        <v>45000000</v>
      </c>
      <c r="D17" s="43">
        <f t="shared" si="3"/>
        <v>45000000</v>
      </c>
      <c r="E17" s="43">
        <f t="shared" si="3"/>
        <v>45000000</v>
      </c>
      <c r="F17" s="43">
        <f t="shared" si="3"/>
        <v>45000000</v>
      </c>
      <c r="G17" s="43">
        <f t="shared" si="3"/>
        <v>45000000</v>
      </c>
      <c r="H17" s="43">
        <f t="shared" si="3"/>
        <v>45000000</v>
      </c>
      <c r="I17" s="43">
        <f t="shared" si="3"/>
        <v>45000000</v>
      </c>
      <c r="J17" s="43">
        <f t="shared" si="3"/>
        <v>45000000</v>
      </c>
      <c r="K17" s="43">
        <f t="shared" si="3"/>
        <v>45000000</v>
      </c>
      <c r="L17" s="43">
        <f t="shared" si="3"/>
        <v>45000000</v>
      </c>
      <c r="M17" s="43">
        <f t="shared" si="3"/>
        <v>45000000</v>
      </c>
      <c r="N17" s="43">
        <f t="shared" si="3"/>
        <v>45000000</v>
      </c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</row>
    <row r="18">
      <c r="A18" s="41" t="s">
        <v>124</v>
      </c>
      <c r="B18" s="53" t="s">
        <v>136</v>
      </c>
      <c r="C18" s="43">
        <f t="shared" ref="C18:N18" si="4">$F$7</f>
        <v>158726000</v>
      </c>
      <c r="D18" s="43">
        <f t="shared" si="4"/>
        <v>158726000</v>
      </c>
      <c r="E18" s="43">
        <f t="shared" si="4"/>
        <v>158726000</v>
      </c>
      <c r="F18" s="43">
        <f t="shared" si="4"/>
        <v>158726000</v>
      </c>
      <c r="G18" s="43">
        <f t="shared" si="4"/>
        <v>158726000</v>
      </c>
      <c r="H18" s="43">
        <f t="shared" si="4"/>
        <v>158726000</v>
      </c>
      <c r="I18" s="43">
        <f t="shared" si="4"/>
        <v>158726000</v>
      </c>
      <c r="J18" s="43">
        <f t="shared" si="4"/>
        <v>158726000</v>
      </c>
      <c r="K18" s="43">
        <f t="shared" si="4"/>
        <v>158726000</v>
      </c>
      <c r="L18" s="43">
        <f t="shared" si="4"/>
        <v>158726000</v>
      </c>
      <c r="M18" s="43">
        <f t="shared" si="4"/>
        <v>158726000</v>
      </c>
      <c r="N18" s="43">
        <f t="shared" si="4"/>
        <v>158726000</v>
      </c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</row>
    <row r="19">
      <c r="A19" s="44" t="s">
        <v>138</v>
      </c>
      <c r="B19" s="45">
        <f t="shared" ref="B19:N19" si="5">SUM(B16:B18)</f>
        <v>4000000000</v>
      </c>
      <c r="C19" s="43">
        <f t="shared" si="5"/>
        <v>203726000</v>
      </c>
      <c r="D19" s="43">
        <f t="shared" si="5"/>
        <v>203726000</v>
      </c>
      <c r="E19" s="43">
        <f t="shared" si="5"/>
        <v>203726000</v>
      </c>
      <c r="F19" s="43">
        <f t="shared" si="5"/>
        <v>203726000</v>
      </c>
      <c r="G19" s="43">
        <f t="shared" si="5"/>
        <v>203726000</v>
      </c>
      <c r="H19" s="43">
        <f t="shared" si="5"/>
        <v>203726000</v>
      </c>
      <c r="I19" s="43">
        <f t="shared" si="5"/>
        <v>203726000</v>
      </c>
      <c r="J19" s="43">
        <f t="shared" si="5"/>
        <v>203726000</v>
      </c>
      <c r="K19" s="43">
        <f t="shared" si="5"/>
        <v>203726000</v>
      </c>
      <c r="L19" s="43">
        <f t="shared" si="5"/>
        <v>203726000</v>
      </c>
      <c r="M19" s="43">
        <f t="shared" si="5"/>
        <v>203726000</v>
      </c>
      <c r="N19" s="43">
        <f t="shared" si="5"/>
        <v>203726000</v>
      </c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</row>
    <row r="20">
      <c r="A20" s="54" t="s">
        <v>139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4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</row>
    <row r="21">
      <c r="A21" s="41" t="s">
        <v>140</v>
      </c>
      <c r="B21" s="45">
        <f t="shared" ref="B21:N21" si="6">B14-B19</f>
        <v>-4000000000</v>
      </c>
      <c r="C21" s="45">
        <f t="shared" si="6"/>
        <v>-203726000</v>
      </c>
      <c r="D21" s="45">
        <f t="shared" si="6"/>
        <v>-203726000</v>
      </c>
      <c r="E21" s="45">
        <f t="shared" si="6"/>
        <v>-203726000</v>
      </c>
      <c r="F21" s="45">
        <f t="shared" si="6"/>
        <v>-203726000</v>
      </c>
      <c r="G21" s="45">
        <f t="shared" si="6"/>
        <v>-203726000</v>
      </c>
      <c r="H21" s="45">
        <f t="shared" si="6"/>
        <v>-203726000</v>
      </c>
      <c r="I21" s="45">
        <f t="shared" si="6"/>
        <v>-203726000</v>
      </c>
      <c r="J21" s="45">
        <f t="shared" si="6"/>
        <v>-203726000</v>
      </c>
      <c r="K21" s="45">
        <f t="shared" si="6"/>
        <v>-203726000</v>
      </c>
      <c r="L21" s="45">
        <f t="shared" si="6"/>
        <v>-203726000</v>
      </c>
      <c r="M21" s="45">
        <f t="shared" si="6"/>
        <v>-203726000</v>
      </c>
      <c r="N21" s="45">
        <f t="shared" si="6"/>
        <v>-203726000</v>
      </c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</row>
    <row r="22">
      <c r="A22" s="55" t="s">
        <v>141</v>
      </c>
      <c r="B22" s="45">
        <f t="shared" ref="B22:N22" si="7">(B21/(1+$B$27)^B11)</f>
        <v>-4000000000</v>
      </c>
      <c r="C22" s="45">
        <f t="shared" si="7"/>
        <v>-194024761.9</v>
      </c>
      <c r="D22" s="45">
        <f t="shared" si="7"/>
        <v>-184785487.5</v>
      </c>
      <c r="E22" s="45">
        <f t="shared" si="7"/>
        <v>-175986178.6</v>
      </c>
      <c r="F22" s="45">
        <f t="shared" si="7"/>
        <v>-167605884.4</v>
      </c>
      <c r="G22" s="45">
        <f t="shared" si="7"/>
        <v>-159624651.8</v>
      </c>
      <c r="H22" s="45">
        <f t="shared" si="7"/>
        <v>-152023477.9</v>
      </c>
      <c r="I22" s="45">
        <f t="shared" si="7"/>
        <v>-144784264.7</v>
      </c>
      <c r="J22" s="45">
        <f t="shared" si="7"/>
        <v>-137889775.9</v>
      </c>
      <c r="K22" s="45">
        <f t="shared" si="7"/>
        <v>-131323596.1</v>
      </c>
      <c r="L22" s="45">
        <f t="shared" si="7"/>
        <v>-125070091.5</v>
      </c>
      <c r="M22" s="45">
        <f t="shared" si="7"/>
        <v>-119114372.8</v>
      </c>
      <c r="N22" s="45">
        <f t="shared" si="7"/>
        <v>-113442259.9</v>
      </c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</row>
    <row r="23">
      <c r="A23" s="55" t="s">
        <v>142</v>
      </c>
      <c r="B23" s="56">
        <f>B22</f>
        <v>-4000000000</v>
      </c>
      <c r="C23" s="57">
        <f t="shared" ref="C23:N23" si="8">C22+B23</f>
        <v>-4194024762</v>
      </c>
      <c r="D23" s="57">
        <f t="shared" si="8"/>
        <v>-4378810249</v>
      </c>
      <c r="E23" s="57">
        <f t="shared" si="8"/>
        <v>-4554796428</v>
      </c>
      <c r="F23" s="57">
        <f t="shared" si="8"/>
        <v>-4722402312</v>
      </c>
      <c r="G23" s="57">
        <f t="shared" si="8"/>
        <v>-4882026964</v>
      </c>
      <c r="H23" s="57">
        <f t="shared" si="8"/>
        <v>-5034050442</v>
      </c>
      <c r="I23" s="57">
        <f t="shared" si="8"/>
        <v>-5178834707</v>
      </c>
      <c r="J23" s="57">
        <f t="shared" si="8"/>
        <v>-5316724483</v>
      </c>
      <c r="K23" s="57">
        <f t="shared" si="8"/>
        <v>-5448048079</v>
      </c>
      <c r="L23" s="57">
        <f t="shared" si="8"/>
        <v>-5573118170</v>
      </c>
      <c r="M23" s="57">
        <f t="shared" si="8"/>
        <v>-5692232543</v>
      </c>
      <c r="N23" s="57">
        <f t="shared" si="8"/>
        <v>-5805674803</v>
      </c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</row>
    <row r="24"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</row>
    <row r="25">
      <c r="C25" s="40"/>
      <c r="D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</row>
    <row r="26">
      <c r="A26" s="58" t="s">
        <v>35</v>
      </c>
      <c r="B26" s="4"/>
      <c r="C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</row>
    <row r="27">
      <c r="A27" s="55" t="s">
        <v>143</v>
      </c>
      <c r="B27" s="59">
        <v>0.05</v>
      </c>
      <c r="C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</row>
    <row r="28">
      <c r="A28" s="60" t="s">
        <v>144</v>
      </c>
      <c r="B28" s="61">
        <f t="array" ref="B28">NPV(B27,C21:N21)</f>
        <v>-1805674803</v>
      </c>
      <c r="C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</row>
    <row r="29">
      <c r="A29" s="60" t="s">
        <v>145</v>
      </c>
      <c r="B29" s="61">
        <f>C8</f>
        <v>4000000000</v>
      </c>
      <c r="C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</row>
    <row r="30">
      <c r="A30" s="62" t="s">
        <v>146</v>
      </c>
      <c r="B30" s="63">
        <f>B28-B29</f>
        <v>-5805674803</v>
      </c>
      <c r="C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</row>
    <row r="31">
      <c r="A31" s="40"/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</row>
    <row r="32"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</row>
    <row r="33"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</row>
    <row r="34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</row>
    <row r="35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</row>
    <row r="36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</row>
    <row r="37"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</row>
    <row r="38"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</row>
    <row r="39"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</row>
    <row r="40"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</row>
    <row r="41">
      <c r="C41" s="40"/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</row>
    <row r="42">
      <c r="C42" s="40"/>
      <c r="D42" s="40"/>
      <c r="E42" s="40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</row>
    <row r="43">
      <c r="A43" s="40"/>
      <c r="B43" s="40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</row>
    <row r="44"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</row>
    <row r="45"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</row>
    <row r="46">
      <c r="A46" s="64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</row>
    <row r="47">
      <c r="A47" s="64"/>
      <c r="B47" s="40"/>
      <c r="C47" s="40"/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</row>
    <row r="48">
      <c r="A48" s="64"/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</row>
  </sheetData>
  <mergeCells count="8">
    <mergeCell ref="B3:C3"/>
    <mergeCell ref="E3:F3"/>
    <mergeCell ref="H3:I3"/>
    <mergeCell ref="K3:L3"/>
    <mergeCell ref="A12:N12"/>
    <mergeCell ref="A15:N15"/>
    <mergeCell ref="A20:N20"/>
    <mergeCell ref="A26:B26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/>
  </sheetViews>
  <sheetFormatPr customHeight="1" defaultColWidth="12.63" defaultRowHeight="15.75"/>
  <cols>
    <col customWidth="1" min="2" max="3" width="19.0"/>
    <col customWidth="1" min="4" max="4" width="14.0"/>
    <col customWidth="1" min="6" max="6" width="16.25"/>
  </cols>
  <sheetData>
    <row r="2">
      <c r="A2" s="49"/>
      <c r="B2" s="17"/>
      <c r="C2" s="16" t="s">
        <v>103</v>
      </c>
    </row>
    <row r="3">
      <c r="B3" s="16" t="s">
        <v>104</v>
      </c>
      <c r="C3" s="47">
        <v>300.0</v>
      </c>
    </row>
    <row r="4">
      <c r="B4" s="16" t="s">
        <v>81</v>
      </c>
      <c r="C4" s="46">
        <f>C3*30</f>
        <v>9000</v>
      </c>
    </row>
    <row r="5">
      <c r="B5" s="16" t="s">
        <v>105</v>
      </c>
      <c r="C5" s="46">
        <f>C4*228.28</f>
        <v>2054520</v>
      </c>
    </row>
    <row r="7">
      <c r="B7" s="14" t="s">
        <v>147</v>
      </c>
      <c r="C7" s="3"/>
      <c r="D7" s="4"/>
      <c r="F7" s="65" t="s">
        <v>148</v>
      </c>
      <c r="G7" s="3"/>
      <c r="H7" s="4"/>
    </row>
    <row r="8">
      <c r="B8" s="32" t="s">
        <v>149</v>
      </c>
      <c r="C8" s="3"/>
      <c r="D8" s="4"/>
      <c r="F8" s="66" t="s">
        <v>149</v>
      </c>
      <c r="G8" s="29"/>
      <c r="H8" s="11"/>
    </row>
    <row r="9">
      <c r="B9" s="15" t="s">
        <v>112</v>
      </c>
      <c r="C9" s="15" t="s">
        <v>113</v>
      </c>
      <c r="D9" s="15" t="s">
        <v>111</v>
      </c>
      <c r="F9" s="67" t="s">
        <v>112</v>
      </c>
      <c r="G9" s="68" t="s">
        <v>113</v>
      </c>
      <c r="H9" s="68" t="s">
        <v>111</v>
      </c>
    </row>
    <row r="10">
      <c r="B10" s="16" t="s">
        <v>150</v>
      </c>
      <c r="C10" s="16">
        <v>9.0</v>
      </c>
      <c r="D10" s="46">
        <f t="shared" ref="D10:D16" si="1">C10*$C$5</f>
        <v>18490680</v>
      </c>
      <c r="F10" s="16" t="s">
        <v>150</v>
      </c>
      <c r="G10" s="69">
        <v>9.0</v>
      </c>
      <c r="H10" s="70">
        <f t="shared" ref="H10:H16" si="2">G10*$C$5</f>
        <v>18490680</v>
      </c>
    </row>
    <row r="11">
      <c r="B11" s="16" t="s">
        <v>151</v>
      </c>
      <c r="C11" s="16">
        <v>3.0</v>
      </c>
      <c r="D11" s="46">
        <f t="shared" si="1"/>
        <v>6163560</v>
      </c>
      <c r="F11" s="16" t="s">
        <v>152</v>
      </c>
      <c r="G11" s="69">
        <v>6.0</v>
      </c>
      <c r="H11" s="70">
        <f t="shared" si="2"/>
        <v>12327120</v>
      </c>
    </row>
    <row r="12">
      <c r="B12" s="16" t="s">
        <v>153</v>
      </c>
      <c r="C12" s="16">
        <v>3.0</v>
      </c>
      <c r="D12" s="46">
        <f t="shared" si="1"/>
        <v>6163560</v>
      </c>
      <c r="F12" s="16" t="s">
        <v>153</v>
      </c>
      <c r="G12" s="69">
        <v>3.0</v>
      </c>
      <c r="H12" s="70">
        <f t="shared" si="2"/>
        <v>6163560</v>
      </c>
    </row>
    <row r="13">
      <c r="B13" s="16" t="s">
        <v>154</v>
      </c>
      <c r="C13" s="16">
        <v>3.0</v>
      </c>
      <c r="D13" s="46">
        <f t="shared" si="1"/>
        <v>6163560</v>
      </c>
      <c r="F13" s="16" t="s">
        <v>154</v>
      </c>
      <c r="G13" s="69">
        <v>3.0</v>
      </c>
      <c r="H13" s="70">
        <f t="shared" si="2"/>
        <v>6163560</v>
      </c>
    </row>
    <row r="14">
      <c r="B14" s="16" t="s">
        <v>155</v>
      </c>
      <c r="C14" s="16">
        <v>9.0</v>
      </c>
      <c r="D14" s="46">
        <f t="shared" si="1"/>
        <v>18490680</v>
      </c>
      <c r="F14" s="16" t="s">
        <v>155</v>
      </c>
      <c r="G14" s="69">
        <v>3.0</v>
      </c>
      <c r="H14" s="70">
        <f t="shared" si="2"/>
        <v>6163560</v>
      </c>
    </row>
    <row r="15">
      <c r="B15" s="16" t="s">
        <v>156</v>
      </c>
      <c r="C15" s="16">
        <v>27.0</v>
      </c>
      <c r="D15" s="46">
        <f t="shared" si="1"/>
        <v>55472040</v>
      </c>
      <c r="F15" s="16" t="s">
        <v>156</v>
      </c>
      <c r="G15" s="69">
        <v>3.0</v>
      </c>
      <c r="H15" s="70">
        <f t="shared" si="2"/>
        <v>6163560</v>
      </c>
    </row>
    <row r="16">
      <c r="B16" s="16" t="s">
        <v>157</v>
      </c>
      <c r="C16" s="16">
        <v>27.0</v>
      </c>
      <c r="D16" s="46">
        <f t="shared" si="1"/>
        <v>55472040</v>
      </c>
      <c r="F16" s="16" t="s">
        <v>157</v>
      </c>
      <c r="G16" s="71">
        <v>3.0</v>
      </c>
      <c r="H16" s="70">
        <f t="shared" si="2"/>
        <v>6163560</v>
      </c>
    </row>
    <row r="17">
      <c r="B17" s="5" t="s">
        <v>35</v>
      </c>
      <c r="C17" s="4"/>
      <c r="D17" s="46">
        <f>SUM(D10:D16)</f>
        <v>166416120</v>
      </c>
      <c r="F17" s="5" t="s">
        <v>35</v>
      </c>
      <c r="G17" s="4"/>
      <c r="H17" s="46">
        <f>SUM(H10:H16)</f>
        <v>61635600</v>
      </c>
    </row>
    <row r="19">
      <c r="B19" s="16" t="s">
        <v>158</v>
      </c>
      <c r="C19" s="46">
        <f>-D17+H17</f>
        <v>-104780520</v>
      </c>
    </row>
    <row r="21">
      <c r="B21" s="16" t="s">
        <v>159</v>
      </c>
      <c r="C21" s="16">
        <v>1.1</v>
      </c>
    </row>
  </sheetData>
  <mergeCells count="6">
    <mergeCell ref="B7:D7"/>
    <mergeCell ref="F7:H7"/>
    <mergeCell ref="B8:D8"/>
    <mergeCell ref="F8:H8"/>
    <mergeCell ref="B17:C17"/>
    <mergeCell ref="F17:G17"/>
  </mergeCell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/>
  </sheetViews>
  <sheetFormatPr customHeight="1" defaultColWidth="12.63" defaultRowHeight="15.75"/>
  <cols>
    <col customWidth="1" min="1" max="1" width="39.63"/>
    <col customWidth="1" min="2" max="2" width="16.5"/>
    <col customWidth="1" min="3" max="3" width="14.88"/>
    <col customWidth="1" min="4" max="4" width="17.88"/>
    <col customWidth="1" min="5" max="5" width="18.5"/>
    <col customWidth="1" min="6" max="6" width="14.13"/>
    <col customWidth="1" min="7" max="9" width="14.88"/>
    <col customWidth="1" min="10" max="12" width="14.13"/>
  </cols>
  <sheetData>
    <row r="3">
      <c r="B3" s="51" t="s">
        <v>160</v>
      </c>
      <c r="C3" s="4"/>
      <c r="E3" s="51" t="s">
        <v>124</v>
      </c>
      <c r="F3" s="4"/>
      <c r="H3" s="51" t="s">
        <v>161</v>
      </c>
      <c r="I3" s="4"/>
      <c r="K3" s="51" t="s">
        <v>92</v>
      </c>
      <c r="L3" s="4"/>
    </row>
    <row r="4">
      <c r="B4" s="15" t="s">
        <v>126</v>
      </c>
      <c r="C4" s="15" t="s">
        <v>25</v>
      </c>
      <c r="E4" s="15" t="s">
        <v>126</v>
      </c>
      <c r="F4" s="15" t="s">
        <v>25</v>
      </c>
      <c r="H4" s="15" t="s">
        <v>126</v>
      </c>
      <c r="I4" s="15" t="s">
        <v>25</v>
      </c>
      <c r="K4" s="15" t="s">
        <v>126</v>
      </c>
      <c r="L4" s="15" t="s">
        <v>25</v>
      </c>
    </row>
    <row r="5">
      <c r="B5" s="16" t="s">
        <v>145</v>
      </c>
      <c r="C5" s="21">
        <f>'Año 0 - Proyecto'!B29</f>
        <v>4000000000</v>
      </c>
      <c r="E5" s="16" t="s">
        <v>162</v>
      </c>
      <c r="F5" s="21">
        <f>'Nómina - Puesta en marcha'!C19*12</f>
        <v>-1257366240</v>
      </c>
      <c r="H5" s="16" t="s">
        <v>127</v>
      </c>
      <c r="I5" s="72">
        <f>CeldaRobotizada!C33*12</f>
        <v>180000000</v>
      </c>
      <c r="K5" s="16" t="s">
        <v>128</v>
      </c>
      <c r="L5" s="21">
        <f>'Ingresos - Ventas de los produc'!C23*12</f>
        <v>11894400000</v>
      </c>
    </row>
    <row r="6">
      <c r="B6" s="16" t="s">
        <v>163</v>
      </c>
      <c r="C6" s="21">
        <f>-'Año 0 - Proyecto'!B28</f>
        <v>1805674803</v>
      </c>
      <c r="E6" s="15" t="s">
        <v>35</v>
      </c>
      <c r="F6" s="21">
        <f>F5</f>
        <v>-1257366240</v>
      </c>
      <c r="H6" s="16" t="s">
        <v>129</v>
      </c>
      <c r="I6" s="72">
        <f>Comunicaciones!C31*12</f>
        <v>180000000</v>
      </c>
      <c r="K6" s="16" t="s">
        <v>130</v>
      </c>
      <c r="L6" s="21">
        <f>'Ingresos - Ventas de los produc'!G23*12</f>
        <v>22901472000</v>
      </c>
    </row>
    <row r="7">
      <c r="B7" s="15" t="s">
        <v>35</v>
      </c>
      <c r="C7" s="21">
        <f>SUM(C5:C6)</f>
        <v>5805674803</v>
      </c>
      <c r="H7" s="16" t="s">
        <v>131</v>
      </c>
      <c r="I7" s="72">
        <f>SCADA!C33*12</f>
        <v>180000000</v>
      </c>
      <c r="K7" s="16" t="s">
        <v>132</v>
      </c>
      <c r="L7" s="21">
        <f>'Ingresos - Ventas de los produc'!K23*12</f>
        <v>5515200000</v>
      </c>
    </row>
    <row r="8">
      <c r="H8" s="15" t="s">
        <v>35</v>
      </c>
      <c r="I8" s="21">
        <f>L8*0.66</f>
        <v>26605307520</v>
      </c>
      <c r="K8" s="15" t="s">
        <v>35</v>
      </c>
      <c r="L8" s="21">
        <f>SUM(L5:L7)</f>
        <v>40311072000</v>
      </c>
    </row>
    <row r="11">
      <c r="A11" s="35" t="s">
        <v>164</v>
      </c>
      <c r="B11" s="36">
        <v>0.0</v>
      </c>
      <c r="C11" s="36">
        <v>1.0</v>
      </c>
      <c r="D11" s="36">
        <v>2.0</v>
      </c>
      <c r="E11" s="36">
        <v>3.0</v>
      </c>
      <c r="F11" s="36">
        <v>4.0</v>
      </c>
      <c r="G11" s="36">
        <v>5.0</v>
      </c>
      <c r="H11" s="36">
        <v>6.0</v>
      </c>
      <c r="I11" s="36">
        <v>7.0</v>
      </c>
      <c r="J11" s="36">
        <v>8.0</v>
      </c>
      <c r="K11" s="36">
        <v>9.0</v>
      </c>
      <c r="L11" s="36">
        <v>10.0</v>
      </c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</row>
    <row r="12">
      <c r="A12" s="73" t="s">
        <v>91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4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</row>
    <row r="13">
      <c r="A13" s="41" t="s">
        <v>92</v>
      </c>
      <c r="B13" s="74">
        <v>0.0</v>
      </c>
      <c r="C13" s="43">
        <f>$L$8</f>
        <v>40311072000</v>
      </c>
      <c r="D13" s="43">
        <f>C13+C13*'Ingresos - Ventas de los produc'!$D$33</f>
        <v>44342179200</v>
      </c>
      <c r="E13" s="43">
        <f>D13+D13*'Ingresos - Ventas de los produc'!$D$33</f>
        <v>48776397120</v>
      </c>
      <c r="F13" s="43">
        <f>E13+E13*'Ingresos - Ventas de los produc'!$D$33</f>
        <v>53654036832</v>
      </c>
      <c r="G13" s="43">
        <f>F13+F13*'Ingresos - Ventas de los produc'!$D$33</f>
        <v>59019440515</v>
      </c>
      <c r="H13" s="43">
        <f>G13+G13*'Ingresos - Ventas de los produc'!$D$33</f>
        <v>64921384567</v>
      </c>
      <c r="I13" s="43">
        <f>H13+H13*'Ingresos - Ventas de los produc'!$D$33</f>
        <v>71413523023</v>
      </c>
      <c r="J13" s="43">
        <f>I13+I13*'Ingresos - Ventas de los produc'!$D$33</f>
        <v>78554875326</v>
      </c>
      <c r="K13" s="43">
        <f>J13+J13*'Ingresos - Ventas de los produc'!$D$33</f>
        <v>86410362858</v>
      </c>
      <c r="L13" s="43">
        <f>K13+K13*'Ingresos - Ventas de los produc'!$D$33</f>
        <v>95051399144</v>
      </c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</row>
    <row r="14">
      <c r="A14" s="44" t="s">
        <v>93</v>
      </c>
      <c r="B14" s="74">
        <v>0.0</v>
      </c>
      <c r="C14" s="45">
        <f t="shared" ref="C14:L14" si="1">C13</f>
        <v>40311072000</v>
      </c>
      <c r="D14" s="45">
        <f t="shared" si="1"/>
        <v>44342179200</v>
      </c>
      <c r="E14" s="45">
        <f t="shared" si="1"/>
        <v>48776397120</v>
      </c>
      <c r="F14" s="45">
        <f t="shared" si="1"/>
        <v>53654036832</v>
      </c>
      <c r="G14" s="45">
        <f t="shared" si="1"/>
        <v>59019440515</v>
      </c>
      <c r="H14" s="45">
        <f t="shared" si="1"/>
        <v>64921384567</v>
      </c>
      <c r="I14" s="45">
        <f t="shared" si="1"/>
        <v>71413523023</v>
      </c>
      <c r="J14" s="45">
        <f t="shared" si="1"/>
        <v>78554875326</v>
      </c>
      <c r="K14" s="45">
        <f t="shared" si="1"/>
        <v>86410362858</v>
      </c>
      <c r="L14" s="45">
        <f t="shared" si="1"/>
        <v>95051399144</v>
      </c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</row>
    <row r="15">
      <c r="A15" s="73" t="s">
        <v>134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4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</row>
    <row r="16">
      <c r="A16" s="41" t="s">
        <v>135</v>
      </c>
      <c r="B16" s="45">
        <f>C5</f>
        <v>4000000000</v>
      </c>
      <c r="C16" s="53" t="s">
        <v>136</v>
      </c>
      <c r="D16" s="53" t="s">
        <v>136</v>
      </c>
      <c r="E16" s="53" t="s">
        <v>136</v>
      </c>
      <c r="F16" s="53" t="s">
        <v>136</v>
      </c>
      <c r="G16" s="53" t="s">
        <v>136</v>
      </c>
      <c r="H16" s="53" t="s">
        <v>136</v>
      </c>
      <c r="I16" s="53" t="s">
        <v>136</v>
      </c>
      <c r="J16" s="53" t="s">
        <v>136</v>
      </c>
      <c r="K16" s="53" t="s">
        <v>136</v>
      </c>
      <c r="L16" s="53" t="s">
        <v>136</v>
      </c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</row>
    <row r="17">
      <c r="A17" s="41" t="s">
        <v>165</v>
      </c>
      <c r="B17" s="53"/>
      <c r="C17" s="75">
        <f>'Materia Prima'!E11</f>
        <v>11703657600</v>
      </c>
      <c r="D17" s="75">
        <f>C17+C17*'Materia Prima'!$E$12</f>
        <v>12874023360</v>
      </c>
      <c r="E17" s="75">
        <f>D17+D17*'Materia Prima'!$E$12</f>
        <v>14161425696</v>
      </c>
      <c r="F17" s="75">
        <f>E17+E17*'Materia Prima'!$E$12</f>
        <v>15577568266</v>
      </c>
      <c r="G17" s="75">
        <f>F17+F17*'Materia Prima'!$E$12</f>
        <v>17135325092</v>
      </c>
      <c r="H17" s="75">
        <f>G17+G17*'Materia Prima'!$E$12</f>
        <v>18848857601</v>
      </c>
      <c r="I17" s="75">
        <f>H17+H17*'Materia Prima'!$E$12</f>
        <v>20733743362</v>
      </c>
      <c r="J17" s="75">
        <f>I17+I17*'Materia Prima'!$E$12</f>
        <v>22807117698</v>
      </c>
      <c r="K17" s="75">
        <f>J17+J17*'Materia Prima'!$E$12</f>
        <v>25087829467</v>
      </c>
      <c r="L17" s="75">
        <f>K17+K17*'Materia Prima'!$E$12</f>
        <v>27596612414</v>
      </c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</row>
    <row r="18">
      <c r="A18" s="41" t="s">
        <v>161</v>
      </c>
      <c r="B18" s="53" t="s">
        <v>136</v>
      </c>
      <c r="C18" s="43">
        <f>$I$8</f>
        <v>26605307520</v>
      </c>
      <c r="D18" s="43">
        <f>C18+C18*'Ingresos - Ventas de los produc'!$D$33</f>
        <v>29265838272</v>
      </c>
      <c r="E18" s="43">
        <f>D18+D18*'Ingresos - Ventas de los produc'!$D$33</f>
        <v>32192422099</v>
      </c>
      <c r="F18" s="43">
        <f>E18+E18*'Ingresos - Ventas de los produc'!$D$33</f>
        <v>35411664309</v>
      </c>
      <c r="G18" s="43">
        <f>F18+F18*'Ingresos - Ventas de los produc'!$D$33</f>
        <v>38952830740</v>
      </c>
      <c r="H18" s="43">
        <f>G18+G18*'Ingresos - Ventas de los produc'!$D$33</f>
        <v>42848113814</v>
      </c>
      <c r="I18" s="43">
        <f>H18+H18*'Ingresos - Ventas de los produc'!$D$33</f>
        <v>47132925195</v>
      </c>
      <c r="J18" s="43">
        <f>I18+I18*'Ingresos - Ventas de los produc'!$D$33</f>
        <v>51846217715</v>
      </c>
      <c r="K18" s="43">
        <f>J18+J18*'Ingresos - Ventas de los produc'!$D$33</f>
        <v>57030839486</v>
      </c>
      <c r="L18" s="43">
        <f>K18+K18*'Ingresos - Ventas de los produc'!$D$33</f>
        <v>62733923435</v>
      </c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</row>
    <row r="19">
      <c r="A19" s="41" t="s">
        <v>124</v>
      </c>
      <c r="B19" s="43">
        <f>C6</f>
        <v>1805674803</v>
      </c>
      <c r="C19" s="43">
        <f>$F$6</f>
        <v>-1257366240</v>
      </c>
      <c r="D19" s="43">
        <f>C19*(1/'Nómina - Puesta en marcha'!C21)</f>
        <v>-1143060218</v>
      </c>
      <c r="E19" s="43">
        <f t="shared" ref="E19:L19" si="2">D19*0.91</f>
        <v>-1040184799</v>
      </c>
      <c r="F19" s="43">
        <f t="shared" si="2"/>
        <v>-946568166.7</v>
      </c>
      <c r="G19" s="43">
        <f t="shared" si="2"/>
        <v>-861377031.7</v>
      </c>
      <c r="H19" s="43">
        <f t="shared" si="2"/>
        <v>-783853098.8</v>
      </c>
      <c r="I19" s="43">
        <f t="shared" si="2"/>
        <v>-713306319.9</v>
      </c>
      <c r="J19" s="43">
        <f t="shared" si="2"/>
        <v>-649108751.1</v>
      </c>
      <c r="K19" s="43">
        <f t="shared" si="2"/>
        <v>-590688963.5</v>
      </c>
      <c r="L19" s="43">
        <f t="shared" si="2"/>
        <v>-537526956.8</v>
      </c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</row>
    <row r="20">
      <c r="A20" s="44" t="s">
        <v>138</v>
      </c>
      <c r="B20" s="45">
        <f t="shared" ref="B20:L20" si="3">SUM(B16:B19)</f>
        <v>5805674803</v>
      </c>
      <c r="C20" s="43">
        <f t="shared" si="3"/>
        <v>37051598880</v>
      </c>
      <c r="D20" s="43">
        <f t="shared" si="3"/>
        <v>40996801414</v>
      </c>
      <c r="E20" s="43">
        <f t="shared" si="3"/>
        <v>45313662997</v>
      </c>
      <c r="F20" s="43">
        <f t="shared" si="3"/>
        <v>50042664408</v>
      </c>
      <c r="G20" s="43">
        <f t="shared" si="3"/>
        <v>55226778801</v>
      </c>
      <c r="H20" s="43">
        <f t="shared" si="3"/>
        <v>60913118317</v>
      </c>
      <c r="I20" s="43">
        <f t="shared" si="3"/>
        <v>67153362237</v>
      </c>
      <c r="J20" s="43">
        <f t="shared" si="3"/>
        <v>74004226662</v>
      </c>
      <c r="K20" s="43">
        <f t="shared" si="3"/>
        <v>81527979990</v>
      </c>
      <c r="L20" s="43">
        <f t="shared" si="3"/>
        <v>89793008892</v>
      </c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</row>
    <row r="21">
      <c r="A21" s="54" t="s">
        <v>139</v>
      </c>
      <c r="B21" s="76"/>
      <c r="C21" s="76"/>
      <c r="D21" s="76"/>
      <c r="E21" s="76"/>
      <c r="F21" s="76"/>
      <c r="G21" s="76"/>
      <c r="H21" s="76"/>
      <c r="I21" s="76"/>
      <c r="J21" s="76"/>
      <c r="K21" s="76"/>
      <c r="L21" s="76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</row>
    <row r="22">
      <c r="A22" s="41" t="s">
        <v>140</v>
      </c>
      <c r="B22" s="77">
        <f t="shared" ref="B22:L22" si="4">B14-B20</f>
        <v>-5805674803</v>
      </c>
      <c r="C22" s="45">
        <f t="shared" si="4"/>
        <v>3259473120</v>
      </c>
      <c r="D22" s="45">
        <f t="shared" si="4"/>
        <v>3345377786</v>
      </c>
      <c r="E22" s="45">
        <f t="shared" si="4"/>
        <v>3462734123</v>
      </c>
      <c r="F22" s="45">
        <f t="shared" si="4"/>
        <v>3611372424</v>
      </c>
      <c r="G22" s="45">
        <f t="shared" si="4"/>
        <v>3792661715</v>
      </c>
      <c r="H22" s="45">
        <f t="shared" si="4"/>
        <v>4008266250</v>
      </c>
      <c r="I22" s="45">
        <f t="shared" si="4"/>
        <v>4260160786</v>
      </c>
      <c r="J22" s="45">
        <f t="shared" si="4"/>
        <v>4550648664</v>
      </c>
      <c r="K22" s="45">
        <f t="shared" si="4"/>
        <v>4882382868</v>
      </c>
      <c r="L22" s="45">
        <f t="shared" si="4"/>
        <v>5258390252</v>
      </c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</row>
    <row r="23">
      <c r="A23" s="55" t="s">
        <v>141</v>
      </c>
      <c r="B23" s="77">
        <f t="shared" ref="B23:L23" si="5">(B22/(1+$B$36)^B11)</f>
        <v>-5805674803</v>
      </c>
      <c r="C23" s="45">
        <f t="shared" si="5"/>
        <v>3104260114</v>
      </c>
      <c r="D23" s="45">
        <f t="shared" si="5"/>
        <v>3034356269</v>
      </c>
      <c r="E23" s="45">
        <f t="shared" si="5"/>
        <v>2991239929</v>
      </c>
      <c r="F23" s="45">
        <f t="shared" si="5"/>
        <v>2971085031</v>
      </c>
      <c r="G23" s="45">
        <f t="shared" si="5"/>
        <v>2971649694</v>
      </c>
      <c r="H23" s="45">
        <f t="shared" si="5"/>
        <v>2991029990</v>
      </c>
      <c r="I23" s="45">
        <f t="shared" si="5"/>
        <v>3027616734</v>
      </c>
      <c r="J23" s="45">
        <f t="shared" si="5"/>
        <v>3080058139</v>
      </c>
      <c r="K23" s="45">
        <f t="shared" si="5"/>
        <v>3147227529</v>
      </c>
      <c r="L23" s="45">
        <f t="shared" si="5"/>
        <v>3228195468</v>
      </c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</row>
    <row r="24">
      <c r="A24" s="55" t="s">
        <v>142</v>
      </c>
      <c r="B24" s="78">
        <f>B23</f>
        <v>-5805674803</v>
      </c>
      <c r="C24" s="57">
        <f t="shared" ref="C24:L24" si="6">C23+B24</f>
        <v>-2701414689</v>
      </c>
      <c r="D24" s="57">
        <f t="shared" si="6"/>
        <v>332941580</v>
      </c>
      <c r="E24" s="57">
        <f t="shared" si="6"/>
        <v>3324181510</v>
      </c>
      <c r="F24" s="57">
        <f t="shared" si="6"/>
        <v>6295266540</v>
      </c>
      <c r="G24" s="57">
        <f t="shared" si="6"/>
        <v>9266916234</v>
      </c>
      <c r="H24" s="57">
        <f t="shared" si="6"/>
        <v>12257946224</v>
      </c>
      <c r="I24" s="57">
        <f t="shared" si="6"/>
        <v>15285562958</v>
      </c>
      <c r="J24" s="57">
        <f t="shared" si="6"/>
        <v>18365621097</v>
      </c>
      <c r="K24" s="57">
        <f t="shared" si="6"/>
        <v>21512848626</v>
      </c>
      <c r="L24" s="57">
        <f t="shared" si="6"/>
        <v>24741044094</v>
      </c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</row>
    <row r="25"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</row>
    <row r="26">
      <c r="A26" s="41" t="s">
        <v>92</v>
      </c>
      <c r="B26" s="47">
        <v>0.0</v>
      </c>
      <c r="C26" s="78">
        <f t="shared" ref="C26:L26" si="7">C13</f>
        <v>40311072000</v>
      </c>
      <c r="D26" s="78">
        <f t="shared" si="7"/>
        <v>44342179200</v>
      </c>
      <c r="E26" s="78">
        <f t="shared" si="7"/>
        <v>48776397120</v>
      </c>
      <c r="F26" s="78">
        <f t="shared" si="7"/>
        <v>53654036832</v>
      </c>
      <c r="G26" s="78">
        <f t="shared" si="7"/>
        <v>59019440515</v>
      </c>
      <c r="H26" s="78">
        <f t="shared" si="7"/>
        <v>64921384567</v>
      </c>
      <c r="I26" s="78">
        <f t="shared" si="7"/>
        <v>71413523023</v>
      </c>
      <c r="J26" s="78">
        <f t="shared" si="7"/>
        <v>78554875326</v>
      </c>
      <c r="K26" s="78">
        <f t="shared" si="7"/>
        <v>86410362858</v>
      </c>
      <c r="L26" s="78">
        <f t="shared" si="7"/>
        <v>95051399144</v>
      </c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</row>
    <row r="27">
      <c r="A27" s="41" t="s">
        <v>166</v>
      </c>
      <c r="B27" s="47">
        <v>0.0</v>
      </c>
      <c r="C27" s="78">
        <f t="shared" ref="C27:L27" si="8">C20</f>
        <v>37051598880</v>
      </c>
      <c r="D27" s="78">
        <f t="shared" si="8"/>
        <v>40996801414</v>
      </c>
      <c r="E27" s="78">
        <f t="shared" si="8"/>
        <v>45313662997</v>
      </c>
      <c r="F27" s="78">
        <f t="shared" si="8"/>
        <v>50042664408</v>
      </c>
      <c r="G27" s="78">
        <f t="shared" si="8"/>
        <v>55226778801</v>
      </c>
      <c r="H27" s="78">
        <f t="shared" si="8"/>
        <v>60913118317</v>
      </c>
      <c r="I27" s="78">
        <f t="shared" si="8"/>
        <v>67153362237</v>
      </c>
      <c r="J27" s="78">
        <f t="shared" si="8"/>
        <v>74004226662</v>
      </c>
      <c r="K27" s="78">
        <f t="shared" si="8"/>
        <v>81527979990</v>
      </c>
      <c r="L27" s="78">
        <f t="shared" si="8"/>
        <v>89793008892</v>
      </c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</row>
    <row r="28">
      <c r="A28" s="41" t="s">
        <v>167</v>
      </c>
      <c r="B28" s="47">
        <v>0.0</v>
      </c>
      <c r="C28" s="78">
        <f t="shared" ref="C28:L28" si="9">C26-C27</f>
        <v>3259473120</v>
      </c>
      <c r="D28" s="78">
        <f t="shared" si="9"/>
        <v>3345377786</v>
      </c>
      <c r="E28" s="78">
        <f t="shared" si="9"/>
        <v>3462734123</v>
      </c>
      <c r="F28" s="78">
        <f t="shared" si="9"/>
        <v>3611372424</v>
      </c>
      <c r="G28" s="78">
        <f t="shared" si="9"/>
        <v>3792661715</v>
      </c>
      <c r="H28" s="78">
        <f t="shared" si="9"/>
        <v>4008266250</v>
      </c>
      <c r="I28" s="78">
        <f t="shared" si="9"/>
        <v>4260160786</v>
      </c>
      <c r="J28" s="78">
        <f t="shared" si="9"/>
        <v>4550648664</v>
      </c>
      <c r="K28" s="78">
        <f t="shared" si="9"/>
        <v>4882382868</v>
      </c>
      <c r="L28" s="78">
        <f t="shared" si="9"/>
        <v>5258390252</v>
      </c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</row>
    <row r="29">
      <c r="A29" s="41" t="s">
        <v>168</v>
      </c>
      <c r="B29" s="47">
        <v>0.0</v>
      </c>
      <c r="C29" s="74">
        <v>0.0</v>
      </c>
      <c r="D29" s="74">
        <v>0.0</v>
      </c>
      <c r="E29" s="74">
        <v>0.0</v>
      </c>
      <c r="F29" s="74">
        <v>0.0</v>
      </c>
      <c r="G29" s="74">
        <v>0.0</v>
      </c>
      <c r="H29" s="74">
        <v>0.0</v>
      </c>
      <c r="I29" s="74">
        <v>0.0</v>
      </c>
      <c r="J29" s="74">
        <v>0.0</v>
      </c>
      <c r="K29" s="74">
        <v>0.0</v>
      </c>
      <c r="L29" s="74">
        <v>0.0</v>
      </c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</row>
    <row r="30">
      <c r="A30" s="41" t="s">
        <v>169</v>
      </c>
      <c r="B30" s="47">
        <v>0.0</v>
      </c>
      <c r="C30" s="78">
        <f t="shared" ref="C30:L30" si="10">C28-C29</f>
        <v>3259473120</v>
      </c>
      <c r="D30" s="78">
        <f t="shared" si="10"/>
        <v>3345377786</v>
      </c>
      <c r="E30" s="78">
        <f t="shared" si="10"/>
        <v>3462734123</v>
      </c>
      <c r="F30" s="78">
        <f t="shared" si="10"/>
        <v>3611372424</v>
      </c>
      <c r="G30" s="78">
        <f t="shared" si="10"/>
        <v>3792661715</v>
      </c>
      <c r="H30" s="78">
        <f t="shared" si="10"/>
        <v>4008266250</v>
      </c>
      <c r="I30" s="78">
        <f t="shared" si="10"/>
        <v>4260160786</v>
      </c>
      <c r="J30" s="78">
        <f t="shared" si="10"/>
        <v>4550648664</v>
      </c>
      <c r="K30" s="78">
        <f t="shared" si="10"/>
        <v>4882382868</v>
      </c>
      <c r="L30" s="78">
        <f t="shared" si="10"/>
        <v>5258390252</v>
      </c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</row>
    <row r="31">
      <c r="A31" s="41" t="s">
        <v>170</v>
      </c>
      <c r="B31" s="47">
        <v>0.0</v>
      </c>
      <c r="C31" s="78">
        <f t="shared" ref="C31:L31" si="11">C30*0.2</f>
        <v>651894624</v>
      </c>
      <c r="D31" s="78">
        <f t="shared" si="11"/>
        <v>669075557.2</v>
      </c>
      <c r="E31" s="78">
        <f t="shared" si="11"/>
        <v>692546824.7</v>
      </c>
      <c r="F31" s="78">
        <f t="shared" si="11"/>
        <v>722274484.8</v>
      </c>
      <c r="G31" s="78">
        <f t="shared" si="11"/>
        <v>758532342.9</v>
      </c>
      <c r="H31" s="78">
        <f t="shared" si="11"/>
        <v>801653250</v>
      </c>
      <c r="I31" s="78">
        <f t="shared" si="11"/>
        <v>852032157.3</v>
      </c>
      <c r="J31" s="78">
        <f t="shared" si="11"/>
        <v>910129732.8</v>
      </c>
      <c r="K31" s="78">
        <f t="shared" si="11"/>
        <v>976476573.6</v>
      </c>
      <c r="L31" s="78">
        <f t="shared" si="11"/>
        <v>1051678050</v>
      </c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</row>
    <row r="32">
      <c r="A32" s="16" t="s">
        <v>171</v>
      </c>
      <c r="B32" s="47">
        <v>0.0</v>
      </c>
      <c r="C32" s="78">
        <f t="shared" ref="C32:L32" si="12">$E$39</f>
        <v>340000000</v>
      </c>
      <c r="D32" s="78">
        <f t="shared" si="12"/>
        <v>340000000</v>
      </c>
      <c r="E32" s="78">
        <f t="shared" si="12"/>
        <v>340000000</v>
      </c>
      <c r="F32" s="78">
        <f t="shared" si="12"/>
        <v>340000000</v>
      </c>
      <c r="G32" s="78">
        <f t="shared" si="12"/>
        <v>340000000</v>
      </c>
      <c r="H32" s="78">
        <f t="shared" si="12"/>
        <v>340000000</v>
      </c>
      <c r="I32" s="78">
        <f t="shared" si="12"/>
        <v>340000000</v>
      </c>
      <c r="J32" s="78">
        <f t="shared" si="12"/>
        <v>340000000</v>
      </c>
      <c r="K32" s="78">
        <f t="shared" si="12"/>
        <v>340000000</v>
      </c>
      <c r="L32" s="78">
        <f t="shared" si="12"/>
        <v>340000000</v>
      </c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</row>
    <row r="33">
      <c r="A33" s="41" t="s">
        <v>172</v>
      </c>
      <c r="B33" s="46">
        <f>B24</f>
        <v>-5805674803</v>
      </c>
      <c r="C33" s="78">
        <f t="shared" ref="C33:L33" si="13">C30-C31-C32</f>
        <v>2267578496</v>
      </c>
      <c r="D33" s="78">
        <f t="shared" si="13"/>
        <v>2336302229</v>
      </c>
      <c r="E33" s="78">
        <f t="shared" si="13"/>
        <v>2430187299</v>
      </c>
      <c r="F33" s="78">
        <f t="shared" si="13"/>
        <v>2549097939</v>
      </c>
      <c r="G33" s="78">
        <f t="shared" si="13"/>
        <v>2694129372</v>
      </c>
      <c r="H33" s="78">
        <f t="shared" si="13"/>
        <v>2866613000</v>
      </c>
      <c r="I33" s="78">
        <f t="shared" si="13"/>
        <v>3068128629</v>
      </c>
      <c r="J33" s="78">
        <f t="shared" si="13"/>
        <v>3300518931</v>
      </c>
      <c r="K33" s="78">
        <f t="shared" si="13"/>
        <v>3565906294</v>
      </c>
      <c r="L33" s="78">
        <f t="shared" si="13"/>
        <v>3866712201</v>
      </c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</row>
    <row r="34">
      <c r="C34" s="40"/>
      <c r="D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</row>
    <row r="35">
      <c r="A35" s="58" t="s">
        <v>173</v>
      </c>
      <c r="B35" s="4"/>
      <c r="C35" s="40"/>
      <c r="D35" s="58" t="s">
        <v>47</v>
      </c>
      <c r="E35" s="4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</row>
    <row r="36">
      <c r="A36" s="55" t="s">
        <v>143</v>
      </c>
      <c r="B36" s="59">
        <v>0.05</v>
      </c>
      <c r="C36" s="40"/>
      <c r="D36" s="16" t="s">
        <v>174</v>
      </c>
      <c r="E36" s="21">
        <f>C5</f>
        <v>4000000000</v>
      </c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</row>
    <row r="37">
      <c r="A37" s="60" t="s">
        <v>144</v>
      </c>
      <c r="B37" s="61">
        <f t="array" ref="B37">NPV(B36,C22:L22)</f>
        <v>30546718896</v>
      </c>
      <c r="C37" s="40"/>
      <c r="D37" s="16" t="s">
        <v>175</v>
      </c>
      <c r="E37" s="18">
        <f>E36*15%</f>
        <v>600000000</v>
      </c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</row>
    <row r="38">
      <c r="A38" s="60" t="s">
        <v>145</v>
      </c>
      <c r="B38" s="61">
        <f>C7</f>
        <v>5805674803</v>
      </c>
      <c r="C38" s="40"/>
      <c r="D38" s="16" t="s">
        <v>176</v>
      </c>
      <c r="E38" s="16">
        <v>10.0</v>
      </c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</row>
    <row r="39">
      <c r="A39" s="62" t="s">
        <v>177</v>
      </c>
      <c r="B39" s="63">
        <f>B37-B38</f>
        <v>24741044094</v>
      </c>
      <c r="C39" s="40"/>
      <c r="D39" s="16" t="s">
        <v>178</v>
      </c>
      <c r="E39" s="18">
        <f>(E36-E37)/E38</f>
        <v>340000000</v>
      </c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</row>
    <row r="40">
      <c r="A40" s="79" t="s">
        <v>179</v>
      </c>
      <c r="B40" s="80">
        <f>IRR(B22:L22)</f>
        <v>0.5918465468</v>
      </c>
      <c r="C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</row>
    <row r="41">
      <c r="A41" s="81" t="s">
        <v>180</v>
      </c>
      <c r="B41" s="82">
        <v>2.0</v>
      </c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</row>
    <row r="42">
      <c r="A42" s="16" t="s">
        <v>181</v>
      </c>
      <c r="B42" s="33">
        <f>(SUM(C33:L33)-C7)/C7</f>
        <v>3.985669259</v>
      </c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</row>
    <row r="43">
      <c r="A43" s="16" t="s">
        <v>182</v>
      </c>
      <c r="B43" s="83">
        <f>IRR(B33:L33)</f>
        <v>0.4180248017</v>
      </c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</row>
    <row r="44"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</row>
    <row r="45"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</row>
    <row r="46">
      <c r="A46" s="64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</row>
    <row r="47">
      <c r="A47" s="64"/>
      <c r="B47" s="40"/>
      <c r="C47" s="40"/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</row>
    <row r="48">
      <c r="A48" s="64"/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</row>
  </sheetData>
  <mergeCells count="8">
    <mergeCell ref="B3:C3"/>
    <mergeCell ref="E3:F3"/>
    <mergeCell ref="H3:I3"/>
    <mergeCell ref="K3:L3"/>
    <mergeCell ref="A12:L12"/>
    <mergeCell ref="A15:L15"/>
    <mergeCell ref="A35:B35"/>
    <mergeCell ref="D35:E35"/>
  </mergeCells>
  <drawing r:id="rId1"/>
</worksheet>
</file>