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Índice" sheetId="1" r:id="rId4"/>
    <sheet state="visible" name="CANVAS" sheetId="2" r:id="rId5"/>
    <sheet state="visible" name="CeldaRobotizada" sheetId="3" r:id="rId6"/>
    <sheet state="visible" name="Comunicaciones" sheetId="4" r:id="rId7"/>
    <sheet state="visible" name="SCADA" sheetId="5" r:id="rId8"/>
    <sheet state="visible" name="Ingresos - Ventas de los produc" sheetId="6" r:id="rId9"/>
    <sheet state="visible" name="Materia Prima" sheetId="7" r:id="rId10"/>
    <sheet state="visible" name="Nómina - Año 0" sheetId="8" r:id="rId11"/>
    <sheet state="visible" name="Año 0 - Proyecto" sheetId="9" r:id="rId12"/>
    <sheet state="visible" name="Nómina - Puesta en marcha" sheetId="10" r:id="rId13"/>
    <sheet state="visible" name="Evaluacion" sheetId="11" r:id="rId14"/>
  </sheets>
  <definedNames/>
  <calcPr/>
</workbook>
</file>

<file path=xl/sharedStrings.xml><?xml version="1.0" encoding="utf-8"?>
<sst xmlns="http://schemas.openxmlformats.org/spreadsheetml/2006/main" count="415" uniqueCount="206">
  <si>
    <t>TecnomecatroniX - Evaluación económica</t>
  </si>
  <si>
    <t xml:space="preserve">Índice </t>
  </si>
  <si>
    <t>Hoja #0</t>
  </si>
  <si>
    <t>Modelo de negocio (CANVAS)</t>
  </si>
  <si>
    <t>Hoja #1</t>
  </si>
  <si>
    <t>Costos de la celda robotizada</t>
  </si>
  <si>
    <t>Hoja #2</t>
  </si>
  <si>
    <t>Costos de las comunicaciones</t>
  </si>
  <si>
    <t>Hoja #3</t>
  </si>
  <si>
    <t>Costos del SCADA</t>
  </si>
  <si>
    <t>Hoja #4</t>
  </si>
  <si>
    <t>Cálculo de ingresos por ventas</t>
  </si>
  <si>
    <t>Hoja #5</t>
  </si>
  <si>
    <t>Cálculo de costos de materia prima</t>
  </si>
  <si>
    <t>Hoja #6</t>
  </si>
  <si>
    <t>Nómina contratada para el proyecto</t>
  </si>
  <si>
    <t>Hoja #7</t>
  </si>
  <si>
    <t>Flujo de caja del año del proyecto</t>
  </si>
  <si>
    <t>Hoja #8</t>
  </si>
  <si>
    <t>Nómina cuando el proyecto esté puesto en marcha</t>
  </si>
  <si>
    <t>Hoja #9</t>
  </si>
  <si>
    <t>Evaluación económica final</t>
  </si>
  <si>
    <t>Hoja #10</t>
  </si>
  <si>
    <t>MODELO DE NEGOCIO DE TECNOMECATRONIX</t>
  </si>
  <si>
    <t>SOCIOS CLAVES</t>
  </si>
  <si>
    <t>ACTIVIDADES CLAVES</t>
  </si>
  <si>
    <t>PROPUESTA DE VALOR</t>
  </si>
  <si>
    <t>RELACION CON EL CLIENTE</t>
  </si>
  <si>
    <t>CLIENTES</t>
  </si>
  <si>
    <t>-Proveedores de materias primas
-Distribuidores mayoristas
-Tiendas minoristas de materiales de construcción
-Diseñadores de interiores y arquitectos
-Empresas de logística                                                                                                                                                             -Inversionistas</t>
  </si>
  <si>
    <t xml:space="preserve">-Mejora y rediseño de la línea de producción -Fabricación de baldosas cerámicas de alta calidad
-Desarrollo de nuevos productos y diseños
-Implementación de tecnologías de industria 4,0
-Atención al cliente                                                            -Marketing digital         </t>
  </si>
  <si>
    <t>Ofrecemos baldosas cerámicas de alta calidad con 3 texturas diferentes y estilos (pintura) personalizados, integrando tecnología de vanguardia en cada etapa de producción.
A través de la automatización, el análisis de datos y la conectividad, garantizamos la eficiencia, la precisión y la trazabilidad de nuestros procesos, asegurando la entrega de productos impecables en tiempo y forma. Además, brindamos una experiencia de compra personalizada y fluida a través de nuestra plataforma digital, donde podrá configurar y visualizar su proyecto en tiempo real, acceder a información detallada de nuestros productos y realizar pedidos de manera sencilla.</t>
  </si>
  <si>
    <t xml:space="preserve">-Incentivos por fidelidad: Establecer iniciativas que premien a los clientes leales con beneficios especiales, tales como descuentos exclusivos, acceso a eventos exclusivos o productos exclusivos.
-Comunicación constante: Mantener una comunicación activa con los clientes durante todo el proceso, desde la primera consulta hasta el seguimiento posterior a la compra, garantizando su satisfacción y abordando cualquier preocupación de manera rápida.
-Servicio de atención al cliente multicanal: Ofrecer soporte a través de diversos canales, como teléfono, correo electrónico, chat en línea y redes sociales, para proporcionar opciones de contacto cómodas y accesibles.
-Eventos, talleres y ferias: Organizar actividades como sesiones de diseño, demostraciones de productos y charlas educativas sobre tendencias y técnicas de diseño para interactuar directamente con los clientes y fortalecer la relación con ellos.
-Personalización y contacto constante: Continuar adaptando la experiencia del cliente incluso después de la compra, proporcionando recomendaciones adicionales de diseño, actualizaciones sobre nuevas colecciones y tecnologías, y contenido relevante para mantener su interés.
-Retroalimentaciones: Implementar sistemas para recabar opiniones de los clientes sobre sus experiencias con los productos y servicios, utilizando esta retroalimentación para mejorar constantemente la calidad y la oferta de la empresa.
</t>
  </si>
  <si>
    <t xml:space="preserve">-Constructores y contratistas
-Tiendas de materiales de construcción
-Diseñadores de interiores y arquitectos
-Propietarios de viviendas
-Empresas de remodelación
</t>
  </si>
  <si>
    <t>RECURSOS CLAVES</t>
  </si>
  <si>
    <t xml:space="preserve">CANALES </t>
  </si>
  <si>
    <t xml:space="preserve">    - Materias primas para los nuevos productos
    - Operadores experimentados y calificados
    - Bodegas y sitios de almacenamiento
    - Medios de transporte de las mercancías           -Tecnologías de la industria 4,0 (robots, servidores SCADA, etc)</t>
  </si>
  <si>
    <t>-Ventas directas en puntos físicos: La planta de fabricación será un punto de venta donde los clientes podrán visitar, ver muestras y discutir sus necesidades con el equipo de ventas. Se establecerá un showroom para ofrecer una experiencia inmersiva y visualizar las baldosas en proyectos.
-Distribuidores y mayoristas: Se establecerán colaboraciones con distribuidores locales y regionales para ampliar la disponibilidad de las baldosas personalizadas. Se capacitará a los distribuidores para comprender y recomendar los productos con precisión.
-Plataformas virtuales de ventas: Se desarrollará una plataforma de comercio electrónico para que los clientes puedan comprar baldosas desde sus hogares u oficinas. Incluirá una interfaz de diseño para crear combinaciones personalizadas.
-Ferias comerciales: Participaremos en ferias locales e internacionales para mostrar las innovaciones en baldosas personalizadas. Se organizarán demostraciones en vivo para resaltar las capacidades de personalización.
-Alianzas estratégicas: Colaboraremos con empresas afines para ofrecer soluciones integradas a los clientes. Se establecerán programas de referidos para aprovechar las redes de socios y generar leads.</t>
  </si>
  <si>
    <t>ESTRUCTURA DE COSTOS</t>
  </si>
  <si>
    <t>FUENTES DE INGRESO</t>
  </si>
  <si>
    <t>- Costos de materiales y materias primas
- Costos de nómina
- Costos de operación 
- Gastos de marketing y publicidad
- Costos de mantenimientos, seguros y alquileres
- Impuestos</t>
  </si>
  <si>
    <t>-Venta de baldosas cerámicas a distribuidores mayoristas
-Venta de baldosas cerámicas a tiendas minoristas de materiales de construcción
-Venta de baldosas cerámicas a clientes en línea
-Venta de baldosas cerámicas a constructores y contratistas                                                                                                                                                            -Ingresos por servicios de instalación y mantenimiento.</t>
  </si>
  <si>
    <t>v</t>
  </si>
  <si>
    <t>Costos maquinas</t>
  </si>
  <si>
    <t>Equipos</t>
  </si>
  <si>
    <t>Referencia</t>
  </si>
  <si>
    <t>Costo</t>
  </si>
  <si>
    <t>Robots</t>
  </si>
  <si>
    <t>Manejo de material</t>
  </si>
  <si>
    <t>Sensores</t>
  </si>
  <si>
    <t>Controladores</t>
  </si>
  <si>
    <t>Control de la celda</t>
  </si>
  <si>
    <t>Software (RobotStudio)</t>
  </si>
  <si>
    <t>Software de inspección</t>
  </si>
  <si>
    <t>Modificación de otros sistemas</t>
  </si>
  <si>
    <t>Transporte e instalación</t>
  </si>
  <si>
    <t>Total</t>
  </si>
  <si>
    <t>Costos de mano de obra de instalación</t>
  </si>
  <si>
    <t>Equipos de movimiento/manipulación</t>
  </si>
  <si>
    <t>Instalación</t>
  </si>
  <si>
    <t>Entrenamientos</t>
  </si>
  <si>
    <t>Programación</t>
  </si>
  <si>
    <t>Total inversión inicial</t>
  </si>
  <si>
    <t>Costos operativos (Cuando esté puesto en marcha)</t>
  </si>
  <si>
    <t>Consumo energético</t>
  </si>
  <si>
    <t>Mantenimiento</t>
  </si>
  <si>
    <t>Seguro</t>
  </si>
  <si>
    <t>Software (Licencias)</t>
  </si>
  <si>
    <t>Depreciación</t>
  </si>
  <si>
    <t>Routers</t>
  </si>
  <si>
    <t>Switches</t>
  </si>
  <si>
    <t>Módems</t>
  </si>
  <si>
    <t>Cableado</t>
  </si>
  <si>
    <t>Conversores de protocolo</t>
  </si>
  <si>
    <t>Repetidores</t>
  </si>
  <si>
    <t>Software de configuración</t>
  </si>
  <si>
    <t>Elementos de soporte</t>
  </si>
  <si>
    <t>PLC</t>
  </si>
  <si>
    <t>HMI</t>
  </si>
  <si>
    <t>Módulos PLC</t>
  </si>
  <si>
    <t>Cableados de red</t>
  </si>
  <si>
    <t>Servidor SCADA</t>
  </si>
  <si>
    <t>Software SCADA</t>
  </si>
  <si>
    <t>Seguridad eléctrica</t>
  </si>
  <si>
    <t>Elementos mecánicos del tablero</t>
  </si>
  <si>
    <t>Precio m^2</t>
  </si>
  <si>
    <t xml:space="preserve">Piso Pared Cerámico Avellano Beige 30x60cm </t>
  </si>
  <si>
    <t xml:space="preserve">Cerámica Para Pared Estilo Decorativo Atelier-B 30x60 </t>
  </si>
  <si>
    <t xml:space="preserve">Pared Santa Maria Brillante Multicolor 30x45 </t>
  </si>
  <si>
    <t>Producto 1 - Baldosa mate 30x60</t>
  </si>
  <si>
    <t>Producto 2 - Baldosa esmaltada decorada 30x60</t>
  </si>
  <si>
    <t>Producto 3 - Baldosa texturizada 30x60</t>
  </si>
  <si>
    <t>Tamaño lote (m^2)</t>
  </si>
  <si>
    <t>m^2 producidos</t>
  </si>
  <si>
    <t>Lotes producidos</t>
  </si>
  <si>
    <t xml:space="preserve">Precio de un lote </t>
  </si>
  <si>
    <t>Lotes vendidos al mes</t>
  </si>
  <si>
    <t>Total ganancia mensual</t>
  </si>
  <si>
    <t>Precio m^2 promedio</t>
  </si>
  <si>
    <t>Ganancias x producto</t>
  </si>
  <si>
    <t>Producción m^2 (planta actual)</t>
  </si>
  <si>
    <t>Producto</t>
  </si>
  <si>
    <t>Mensual</t>
  </si>
  <si>
    <t>Anual</t>
  </si>
  <si>
    <t>% participación</t>
  </si>
  <si>
    <t>Producción m^2 (planta automatizada)</t>
  </si>
  <si>
    <t>Aumento de la producción en m^2</t>
  </si>
  <si>
    <t>Total ganancia mensual promedio</t>
  </si>
  <si>
    <t>Total (Mensual)</t>
  </si>
  <si>
    <t>Total (anual)</t>
  </si>
  <si>
    <t>Tasa de crecimiento de ventas (anual)</t>
  </si>
  <si>
    <t>Año</t>
  </si>
  <si>
    <t>INGRESOS</t>
  </si>
  <si>
    <t>Ventas</t>
  </si>
  <si>
    <t>TOTAL INGRESOS</t>
  </si>
  <si>
    <t>Materias primas para fabricar baldosa</t>
  </si>
  <si>
    <t>Materia</t>
  </si>
  <si>
    <t>Precio por kg</t>
  </si>
  <si>
    <t>Cantidad necesaria</t>
  </si>
  <si>
    <t>Precio</t>
  </si>
  <si>
    <t>Total por m^2</t>
  </si>
  <si>
    <t xml:space="preserve">Total costo mensual </t>
  </si>
  <si>
    <t>Total costo anual</t>
  </si>
  <si>
    <t xml:space="preserve">Aumento de precio </t>
  </si>
  <si>
    <t>Salario (MXN)</t>
  </si>
  <si>
    <t>Diario</t>
  </si>
  <si>
    <t>En COP</t>
  </si>
  <si>
    <t>Gestión y ejecución del proyecto</t>
  </si>
  <si>
    <t>Personal para instalación, movimiento de cargas, etc</t>
  </si>
  <si>
    <t>Ingenieros</t>
  </si>
  <si>
    <t>Mano de obra</t>
  </si>
  <si>
    <t>Personal</t>
  </si>
  <si>
    <t>Salario</t>
  </si>
  <si>
    <t>Proceso</t>
  </si>
  <si>
    <t>Cantidad de personal</t>
  </si>
  <si>
    <t>Daniel</t>
  </si>
  <si>
    <t>Transportes</t>
  </si>
  <si>
    <t>Ingeniero 2</t>
  </si>
  <si>
    <t>Ingeniero 3</t>
  </si>
  <si>
    <t>...</t>
  </si>
  <si>
    <t>Ingeniero 4</t>
  </si>
  <si>
    <t>Ingeniero 5</t>
  </si>
  <si>
    <t>Ingeniero 6</t>
  </si>
  <si>
    <t>Ingeniero 7</t>
  </si>
  <si>
    <t>Inversión inicial (Materiales)</t>
  </si>
  <si>
    <t>Costos de nómina</t>
  </si>
  <si>
    <t xml:space="preserve">Costos de instalación </t>
  </si>
  <si>
    <t>Concepto</t>
  </si>
  <si>
    <t>Celda robotizada</t>
  </si>
  <si>
    <t>Producto 1</t>
  </si>
  <si>
    <t>Comunicaciones</t>
  </si>
  <si>
    <t>Producto 2</t>
  </si>
  <si>
    <t>SCADA</t>
  </si>
  <si>
    <t>Producto 3</t>
  </si>
  <si>
    <t>MES</t>
  </si>
  <si>
    <t>EGRESOS</t>
  </si>
  <si>
    <t>Inversión</t>
  </si>
  <si>
    <t>-</t>
  </si>
  <si>
    <t>Costos de instalación</t>
  </si>
  <si>
    <t>TOTAL EGRESOS</t>
  </si>
  <si>
    <t>TOTAL</t>
  </si>
  <si>
    <t>Flujo de caja</t>
  </si>
  <si>
    <t>Valor presente</t>
  </si>
  <si>
    <t>Valor presente acumulado</t>
  </si>
  <si>
    <t>Costo de oportunidad</t>
  </si>
  <si>
    <t xml:space="preserve">VP </t>
  </si>
  <si>
    <t>Inversión inicial</t>
  </si>
  <si>
    <t>VPN (Año 0)</t>
  </si>
  <si>
    <t>Planta actual</t>
  </si>
  <si>
    <t>Planta automatizada</t>
  </si>
  <si>
    <t>Operadores</t>
  </si>
  <si>
    <t>Prensado</t>
  </si>
  <si>
    <t>Esmaltado</t>
  </si>
  <si>
    <t>Esmaltado+Engobe</t>
  </si>
  <si>
    <t>Impresión</t>
  </si>
  <si>
    <t>Horneado</t>
  </si>
  <si>
    <t>QC</t>
  </si>
  <si>
    <t>Empacado</t>
  </si>
  <si>
    <t>Paletizado</t>
  </si>
  <si>
    <t>Delta salarios (Mensual)</t>
  </si>
  <si>
    <t>Aumento anual</t>
  </si>
  <si>
    <t>Año 0 (Proyecto)</t>
  </si>
  <si>
    <t>Costos operativos</t>
  </si>
  <si>
    <t>Delta salarios operarios</t>
  </si>
  <si>
    <t>Nómina + instalación</t>
  </si>
  <si>
    <t>AÑO</t>
  </si>
  <si>
    <t>Materia prima</t>
  </si>
  <si>
    <t>Costos</t>
  </si>
  <si>
    <t>Utilidad bruta</t>
  </si>
  <si>
    <t>Gasto financiero</t>
  </si>
  <si>
    <t>Utilidad antes de impuestos</t>
  </si>
  <si>
    <t>Impuestos</t>
  </si>
  <si>
    <t>Depreciaciones</t>
  </si>
  <si>
    <t>Utilidad neta</t>
  </si>
  <si>
    <t>Evaluación</t>
  </si>
  <si>
    <t>Valor inicial</t>
  </si>
  <si>
    <t>VP (Flujos de caja)</t>
  </si>
  <si>
    <t>Valor de rescate (15%)</t>
  </si>
  <si>
    <t>Vida util (años)</t>
  </si>
  <si>
    <t>VPN</t>
  </si>
  <si>
    <t>Depreciación anual</t>
  </si>
  <si>
    <t>TIR</t>
  </si>
  <si>
    <t>Payback</t>
  </si>
  <si>
    <t>ROI</t>
  </si>
  <si>
    <t>TIR (financiero)</t>
  </si>
  <si>
    <t>Máquinas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</si>
</sst>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 $]#,##0"/>
    <numFmt numFmtId="165" formatCode="[$ $]#,##0.00"/>
  </numFmts>
  <fonts count="30">
    <font>
      <sz val="10.0"/>
      <color rgb="FF000000"/>
      <name val="Arial"/>
      <scheme val="minor"/>
    </font>
    <font>
      <color theme="1"/>
      <name val="Arial"/>
      <scheme val="minor"/>
    </font>
    <font/>
    <font>
      <sz val="12.0"/>
      <color theme="1"/>
      <name val="Quattrocento Sans"/>
    </font>
    <font>
      <sz val="12.0"/>
      <color theme="1"/>
      <name val="Calibri"/>
    </font>
    <font>
      <b/>
      <sz val="12.0"/>
      <color rgb="FF002060"/>
      <name val="Quattrocento Sans"/>
    </font>
    <font>
      <b/>
      <sz val="16.0"/>
      <color rgb="FF000000"/>
      <name val="Quattrocento Sans"/>
    </font>
    <font>
      <sz val="10.0"/>
      <color rgb="FF000000"/>
      <name val="Arial"/>
    </font>
    <font>
      <b/>
      <sz val="16.0"/>
      <color rgb="FF000000"/>
      <name val="Arial"/>
    </font>
    <font>
      <sz val="16.0"/>
      <color theme="1"/>
      <name val="Arial"/>
    </font>
    <font>
      <b/>
      <sz val="12.0"/>
      <color theme="1"/>
      <name val="Quattrocento Sans"/>
    </font>
    <font>
      <sz val="14.0"/>
      <color rgb="FF0070C0"/>
      <name val="Quattrocento Sans"/>
    </font>
    <font>
      <b/>
      <sz val="14.0"/>
      <color rgb="FF000000"/>
      <name val="Quattrocento Sans"/>
    </font>
    <font>
      <sz val="14.0"/>
      <color rgb="FF0070C0"/>
      <name val="Wide latin"/>
    </font>
    <font>
      <b/>
      <sz val="18.0"/>
      <color rgb="FF000000"/>
      <name val="Quattrocento Sans"/>
    </font>
    <font>
      <b/>
      <sz val="14.0"/>
      <color rgb="FF0070C0"/>
      <name val="Quattrocento Sans"/>
    </font>
    <font>
      <b/>
      <sz val="17.0"/>
      <color rgb="FF000000"/>
      <name val="Quattrocento Sans"/>
    </font>
    <font>
      <b/>
      <sz val="21.0"/>
      <color rgb="FF000000"/>
      <name val="Quattrocento Sans"/>
    </font>
    <font>
      <sz val="11.0"/>
      <color theme="1"/>
      <name val="Quattrocento Sans"/>
    </font>
    <font>
      <sz val="13.0"/>
      <color theme="1"/>
      <name val="Times New Roman"/>
    </font>
    <font>
      <sz val="10.0"/>
      <color theme="1"/>
      <name val="Times New Roman"/>
    </font>
    <font>
      <sz val="14.0"/>
      <color theme="1"/>
      <name val="Times New Roman"/>
    </font>
    <font>
      <b/>
      <sz val="11.0"/>
      <color theme="1"/>
      <name val="Quattrocento Sans"/>
    </font>
    <font>
      <sz val="11.0"/>
      <color rgb="FF17365D"/>
      <name val="Noto Sans Symbols"/>
    </font>
    <font>
      <sz val="16.0"/>
      <color theme="1"/>
      <name val="Times New Roman"/>
    </font>
    <font>
      <b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color rgb="FFFFFFFF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40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  <border>
      <left style="thin">
        <color rgb="FF7F7F7F"/>
      </left>
      <right/>
      <top/>
      <bottom/>
    </border>
    <border>
      <bottom style="thin">
        <color rgb="FF000000"/>
      </bottom>
    </border>
    <border>
      <left/>
      <right style="thin">
        <color rgb="FF7F7F7F"/>
      </right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/>
      <right/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/>
      <bottom/>
    </border>
    <border>
      <top/>
      <bottom/>
    </border>
    <border>
      <left/>
      <right style="thin">
        <color rgb="FF000000"/>
      </right>
      <top/>
      <bottom/>
    </border>
    <border>
      <left style="thin">
        <color rgb="FF000000"/>
      </left>
    </border>
    <border>
      <right style="thin">
        <color rgb="FF000000"/>
      </right>
    </border>
    <border>
      <right/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top/>
    </border>
    <border>
      <top/>
    </border>
    <border>
      <right style="thin">
        <color rgb="FF000000"/>
      </right>
      <top/>
    </border>
    <border>
      <left/>
      <right/>
      <bottom/>
    </border>
    <border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7F7F7F"/>
      </left>
      <right/>
      <top/>
      <bottom style="thin">
        <color rgb="FF7F7F7F"/>
      </bottom>
    </border>
    <border>
      <left/>
      <right/>
      <top/>
      <bottom style="thin">
        <color rgb="FF7F7F7F"/>
      </bottom>
    </border>
    <border>
      <left/>
      <right style="thin">
        <color rgb="FF7F7F7F"/>
      </right>
      <top/>
      <bottom style="thin">
        <color rgb="FF7F7F7F"/>
      </bottom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17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0" fillId="0" fontId="1" numFmtId="0" xfId="0" applyAlignment="1" applyFont="1">
      <alignment horizontal="center" readingOrder="0" vertical="center"/>
    </xf>
    <xf borderId="1" fillId="0" fontId="1" numFmtId="0" xfId="0" applyAlignment="1" applyBorder="1" applyFont="1">
      <alignment readingOrder="0"/>
    </xf>
    <xf borderId="4" fillId="0" fontId="1" numFmtId="0" xfId="0" applyAlignment="1" applyBorder="1" applyFont="1">
      <alignment horizontal="center" readingOrder="0" vertical="center"/>
    </xf>
    <xf borderId="5" fillId="0" fontId="1" numFmtId="0" xfId="0" applyAlignment="1" applyBorder="1" applyFont="1">
      <alignment readingOrder="0" shrinkToFit="0" vertical="center" wrapText="1"/>
    </xf>
    <xf borderId="6" fillId="0" fontId="2" numFmtId="0" xfId="0" applyBorder="1" applyFont="1"/>
    <xf borderId="7" fillId="0" fontId="1" numFmtId="0" xfId="0" applyAlignment="1" applyBorder="1" applyFont="1">
      <alignment horizontal="center" readingOrder="0" vertical="center"/>
    </xf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2" fontId="3" numFmtId="0" xfId="0" applyAlignment="1" applyBorder="1" applyFill="1" applyFont="1">
      <alignment shrinkToFit="0" wrapText="0"/>
    </xf>
    <xf borderId="0" fillId="0" fontId="4" numFmtId="0" xfId="0" applyAlignment="1" applyFont="1">
      <alignment shrinkToFit="0" wrapText="0"/>
    </xf>
    <xf borderId="11" fillId="2" fontId="5" numFmtId="0" xfId="0" applyAlignment="1" applyBorder="1" applyFont="1">
      <alignment shrinkToFit="0" vertical="top" wrapText="0"/>
    </xf>
    <xf borderId="12" fillId="2" fontId="3" numFmtId="0" xfId="0" applyAlignment="1" applyBorder="1" applyFont="1">
      <alignment shrinkToFit="0" wrapText="0"/>
    </xf>
    <xf borderId="11" fillId="0" fontId="6" numFmtId="0" xfId="0" applyAlignment="1" applyBorder="1" applyFont="1">
      <alignment readingOrder="0" shrinkToFit="0" vertical="top" wrapText="0"/>
    </xf>
    <xf borderId="0" fillId="0" fontId="7" numFmtId="0" xfId="0" applyAlignment="1" applyFont="1">
      <alignment shrinkToFit="0" wrapText="1"/>
    </xf>
    <xf borderId="13" fillId="0" fontId="8" numFmtId="0" xfId="0" applyAlignment="1" applyBorder="1" applyFont="1">
      <alignment shrinkToFit="0" wrapText="0"/>
    </xf>
    <xf borderId="13" fillId="0" fontId="9" numFmtId="0" xfId="0" applyAlignment="1" applyBorder="1" applyFont="1">
      <alignment shrinkToFit="0" wrapText="1"/>
    </xf>
    <xf borderId="0" fillId="0" fontId="9" numFmtId="0" xfId="0" applyAlignment="1" applyFont="1">
      <alignment shrinkToFit="0" wrapText="1"/>
    </xf>
    <xf borderId="0" fillId="0" fontId="9" numFmtId="0" xfId="0" applyAlignment="1" applyFont="1">
      <alignment shrinkToFit="0" wrapText="0"/>
    </xf>
    <xf borderId="14" fillId="2" fontId="3" numFmtId="0" xfId="0" applyAlignment="1" applyBorder="1" applyFont="1">
      <alignment shrinkToFit="0" wrapText="0"/>
    </xf>
    <xf borderId="11" fillId="2" fontId="10" numFmtId="0" xfId="0" applyAlignment="1" applyBorder="1" applyFont="1">
      <alignment shrinkToFit="0" wrapText="0"/>
    </xf>
    <xf borderId="11" fillId="2" fontId="3" numFmtId="0" xfId="0" applyAlignment="1" applyBorder="1" applyFont="1">
      <alignment horizontal="left" shrinkToFit="0" wrapText="0"/>
    </xf>
    <xf borderId="15" fillId="3" fontId="3" numFmtId="0" xfId="0" applyAlignment="1" applyBorder="1" applyFill="1" applyFont="1">
      <alignment shrinkToFit="0" wrapText="0"/>
    </xf>
    <xf borderId="16" fillId="3" fontId="3" numFmtId="0" xfId="0" applyAlignment="1" applyBorder="1" applyFont="1">
      <alignment shrinkToFit="0" wrapText="0"/>
    </xf>
    <xf borderId="17" fillId="3" fontId="3" numFmtId="0" xfId="0" applyAlignment="1" applyBorder="1" applyFont="1">
      <alignment shrinkToFit="0" wrapText="0"/>
    </xf>
    <xf borderId="0" fillId="0" fontId="3" numFmtId="0" xfId="0" applyAlignment="1" applyFont="1">
      <alignment shrinkToFit="0" wrapText="0"/>
    </xf>
    <xf borderId="18" fillId="3" fontId="3" numFmtId="0" xfId="0" applyAlignment="1" applyBorder="1" applyFont="1">
      <alignment horizontal="left" shrinkToFit="0" wrapText="0"/>
    </xf>
    <xf borderId="19" fillId="3" fontId="3" numFmtId="0" xfId="0" applyAlignment="1" applyBorder="1" applyFont="1">
      <alignment shrinkToFit="0" wrapText="0"/>
    </xf>
    <xf borderId="20" fillId="3" fontId="3" numFmtId="0" xfId="0" applyAlignment="1" applyBorder="1" applyFont="1">
      <alignment shrinkToFit="0" wrapText="0"/>
    </xf>
    <xf borderId="12" fillId="2" fontId="11" numFmtId="0" xfId="0" applyAlignment="1" applyBorder="1" applyFont="1">
      <alignment horizontal="center" shrinkToFit="0" wrapText="0"/>
    </xf>
    <xf borderId="21" fillId="3" fontId="12" numFmtId="0" xfId="0" applyAlignment="1" applyBorder="1" applyFont="1">
      <alignment horizontal="center" shrinkToFit="0" wrapText="0"/>
    </xf>
    <xf borderId="22" fillId="0" fontId="2" numFmtId="0" xfId="0" applyBorder="1" applyFont="1"/>
    <xf borderId="23" fillId="3" fontId="13" numFmtId="0" xfId="0" applyAlignment="1" applyBorder="1" applyFont="1">
      <alignment horizontal="center" shrinkToFit="0" wrapText="0"/>
    </xf>
    <xf borderId="0" fillId="0" fontId="11" numFmtId="0" xfId="0" applyAlignment="1" applyFont="1">
      <alignment horizontal="center" shrinkToFit="0" wrapText="0"/>
    </xf>
    <xf borderId="21" fillId="3" fontId="12" numFmtId="0" xfId="0" applyAlignment="1" applyBorder="1" applyFont="1">
      <alignment horizontal="left" shrinkToFit="0" vertical="center" wrapText="0"/>
    </xf>
    <xf borderId="21" fillId="3" fontId="14" numFmtId="0" xfId="0" applyAlignment="1" applyBorder="1" applyFont="1">
      <alignment horizontal="center" shrinkToFit="0" wrapText="0"/>
    </xf>
    <xf borderId="0" fillId="0" fontId="15" numFmtId="0" xfId="0" applyAlignment="1" applyFont="1">
      <alignment horizontal="center" shrinkToFit="0" wrapText="0"/>
    </xf>
    <xf borderId="24" fillId="3" fontId="16" numFmtId="0" xfId="0" applyAlignment="1" applyBorder="1" applyFont="1">
      <alignment horizontal="left" readingOrder="0" shrinkToFit="0" vertical="center" wrapText="0"/>
    </xf>
    <xf borderId="25" fillId="3" fontId="13" numFmtId="0" xfId="0" applyAlignment="1" applyBorder="1" applyFont="1">
      <alignment horizontal="center" shrinkToFit="0" wrapText="0"/>
    </xf>
    <xf borderId="26" fillId="0" fontId="11" numFmtId="0" xfId="0" applyAlignment="1" applyBorder="1" applyFont="1">
      <alignment horizontal="center" shrinkToFit="0" wrapText="0"/>
    </xf>
    <xf borderId="27" fillId="3" fontId="11" numFmtId="0" xfId="0" applyAlignment="1" applyBorder="1" applyFont="1">
      <alignment horizontal="center" shrinkToFit="0" wrapText="0"/>
    </xf>
    <xf borderId="11" fillId="3" fontId="17" numFmtId="0" xfId="0" applyAlignment="1" applyBorder="1" applyFont="1">
      <alignment horizontal="center" shrinkToFit="0" wrapText="0"/>
    </xf>
    <xf borderId="14" fillId="2" fontId="11" numFmtId="0" xfId="0" applyAlignment="1" applyBorder="1" applyFont="1">
      <alignment horizontal="center" shrinkToFit="0" wrapText="0"/>
    </xf>
    <xf borderId="12" fillId="2" fontId="18" numFmtId="0" xfId="0" applyAlignment="1" applyBorder="1" applyFont="1">
      <alignment shrinkToFit="0" wrapText="0"/>
    </xf>
    <xf borderId="28" fillId="3" fontId="19" numFmtId="0" xfId="0" applyAlignment="1" applyBorder="1" applyFont="1">
      <alignment horizontal="center" readingOrder="0" shrinkToFit="0" vertical="center" wrapText="1"/>
    </xf>
    <xf borderId="29" fillId="0" fontId="2" numFmtId="0" xfId="0" applyBorder="1" applyFont="1"/>
    <xf borderId="30" fillId="0" fontId="2" numFmtId="0" xfId="0" applyBorder="1" applyFont="1"/>
    <xf borderId="0" fillId="0" fontId="18" numFmtId="0" xfId="0" applyAlignment="1" applyFont="1">
      <alignment shrinkToFit="0" wrapText="0"/>
    </xf>
    <xf borderId="24" fillId="3" fontId="20" numFmtId="0" xfId="0" applyAlignment="1" applyBorder="1" applyFont="1">
      <alignment horizontal="center" readingOrder="0" shrinkToFit="0" vertical="top" wrapText="1"/>
    </xf>
    <xf borderId="25" fillId="0" fontId="2" numFmtId="0" xfId="0" applyBorder="1" applyFont="1"/>
    <xf borderId="26" fillId="0" fontId="18" numFmtId="0" xfId="0" applyAlignment="1" applyBorder="1" applyFont="1">
      <alignment horizontal="center" shrinkToFit="0" wrapText="0"/>
    </xf>
    <xf borderId="28" fillId="3" fontId="21" numFmtId="0" xfId="0" applyAlignment="1" applyBorder="1" applyFont="1">
      <alignment horizontal="center" readingOrder="0" shrinkToFit="0" vertical="center" wrapText="1"/>
    </xf>
    <xf borderId="14" fillId="2" fontId="18" numFmtId="0" xfId="0" applyAlignment="1" applyBorder="1" applyFont="1">
      <alignment shrinkToFit="0" wrapText="0"/>
    </xf>
    <xf borderId="24" fillId="0" fontId="2" numFmtId="0" xfId="0" applyBorder="1" applyFont="1"/>
    <xf borderId="0" fillId="0" fontId="22" numFmtId="0" xfId="0" applyAlignment="1" applyFont="1">
      <alignment horizontal="center" shrinkToFit="0" wrapText="0"/>
    </xf>
    <xf borderId="26" fillId="0" fontId="23" numFmtId="0" xfId="0" applyAlignment="1" applyBorder="1" applyFont="1">
      <alignment horizontal="center" shrinkToFit="0" wrapText="1"/>
    </xf>
    <xf borderId="0" fillId="0" fontId="18" numFmtId="0" xfId="0" applyAlignment="1" applyFont="1">
      <alignment horizontal="center" shrinkToFit="0" wrapText="0"/>
    </xf>
    <xf borderId="13" fillId="0" fontId="2" numFmtId="0" xfId="0" applyBorder="1" applyFont="1"/>
    <xf borderId="11" fillId="2" fontId="10" numFmtId="0" xfId="0" applyAlignment="1" applyBorder="1" applyFont="1">
      <alignment horizontal="center" shrinkToFit="0" wrapText="0"/>
    </xf>
    <xf borderId="0" fillId="0" fontId="10" numFmtId="0" xfId="0" applyAlignment="1" applyFont="1">
      <alignment horizontal="center" shrinkToFit="0" wrapText="0"/>
    </xf>
    <xf borderId="31" fillId="2" fontId="3" numFmtId="0" xfId="0" applyAlignment="1" applyBorder="1" applyFont="1">
      <alignment horizontal="center" shrinkToFit="0" wrapText="0"/>
    </xf>
    <xf borderId="31" fillId="2" fontId="10" numFmtId="0" xfId="0" applyAlignment="1" applyBorder="1" applyFont="1">
      <alignment horizontal="center" shrinkToFit="0" wrapText="0"/>
    </xf>
    <xf borderId="0" fillId="0" fontId="3" numFmtId="0" xfId="0" applyAlignment="1" applyFont="1">
      <alignment horizontal="center" shrinkToFit="0" wrapText="0"/>
    </xf>
    <xf borderId="16" fillId="3" fontId="3" numFmtId="0" xfId="0" applyAlignment="1" applyBorder="1" applyFont="1">
      <alignment horizontal="center" shrinkToFit="0" wrapText="0"/>
    </xf>
    <xf borderId="15" fillId="3" fontId="3" numFmtId="0" xfId="0" applyAlignment="1" applyBorder="1" applyFont="1">
      <alignment horizontal="center" shrinkToFit="0" wrapText="0"/>
    </xf>
    <xf borderId="17" fillId="3" fontId="3" numFmtId="0" xfId="0" applyAlignment="1" applyBorder="1" applyFont="1">
      <alignment horizontal="center" shrinkToFit="0" wrapText="0"/>
    </xf>
    <xf borderId="12" fillId="2" fontId="11" numFmtId="0" xfId="0" applyAlignment="1" applyBorder="1" applyFont="1">
      <alignment shrinkToFit="0" wrapText="0"/>
    </xf>
    <xf borderId="0" fillId="0" fontId="11" numFmtId="0" xfId="0" applyAlignment="1" applyFont="1">
      <alignment shrinkToFit="0" wrapText="0"/>
    </xf>
    <xf borderId="21" fillId="3" fontId="12" numFmtId="0" xfId="0" applyAlignment="1" applyBorder="1" applyFont="1">
      <alignment horizontal="center" shrinkToFit="0" vertical="center" wrapText="0"/>
    </xf>
    <xf borderId="23" fillId="3" fontId="13" numFmtId="0" xfId="0" applyAlignment="1" applyBorder="1" applyFont="1">
      <alignment shrinkToFit="0" vertical="center" wrapText="0"/>
    </xf>
    <xf borderId="0" fillId="0" fontId="11" numFmtId="0" xfId="0" applyAlignment="1" applyFont="1">
      <alignment shrinkToFit="0" vertical="center" wrapText="0"/>
    </xf>
    <xf borderId="27" fillId="3" fontId="11" numFmtId="0" xfId="0" applyAlignment="1" applyBorder="1" applyFont="1">
      <alignment horizontal="center" shrinkToFit="0" vertical="center" wrapText="0"/>
    </xf>
    <xf borderId="11" fillId="3" fontId="16" numFmtId="0" xfId="0" applyAlignment="1" applyBorder="1" applyFont="1">
      <alignment horizontal="center" shrinkToFit="0" vertical="center" wrapText="0"/>
    </xf>
    <xf borderId="14" fillId="2" fontId="11" numFmtId="0" xfId="0" applyAlignment="1" applyBorder="1" applyFont="1">
      <alignment shrinkToFit="0" wrapText="0"/>
    </xf>
    <xf borderId="28" fillId="3" fontId="20" numFmtId="0" xfId="0" applyAlignment="1" applyBorder="1" applyFont="1">
      <alignment horizontal="center" readingOrder="0" shrinkToFit="0" vertical="center" wrapText="1"/>
    </xf>
    <xf borderId="21" fillId="3" fontId="18" numFmtId="0" xfId="0" applyAlignment="1" applyBorder="1" applyFont="1">
      <alignment horizontal="left" shrinkToFit="0" wrapText="0"/>
    </xf>
    <xf borderId="32" fillId="0" fontId="2" numFmtId="0" xfId="0" applyBorder="1" applyFont="1"/>
    <xf borderId="21" fillId="3" fontId="18" numFmtId="0" xfId="0" applyAlignment="1" applyBorder="1" applyFont="1">
      <alignment horizontal="left" shrinkToFit="0" vertical="center" wrapText="1"/>
    </xf>
    <xf borderId="33" fillId="3" fontId="18" numFmtId="0" xfId="0" applyAlignment="1" applyBorder="1" applyFont="1">
      <alignment horizontal="left" shrinkToFit="0" wrapText="0"/>
    </xf>
    <xf borderId="34" fillId="3" fontId="18" numFmtId="0" xfId="0" applyAlignment="1" applyBorder="1" applyFont="1">
      <alignment horizontal="left" shrinkToFit="0" wrapText="0"/>
    </xf>
    <xf borderId="35" fillId="3" fontId="18" numFmtId="0" xfId="0" applyAlignment="1" applyBorder="1" applyFont="1">
      <alignment horizontal="left" shrinkToFit="0" wrapText="0"/>
    </xf>
    <xf borderId="33" fillId="3" fontId="18" numFmtId="0" xfId="0" applyAlignment="1" applyBorder="1" applyFont="1">
      <alignment shrinkToFit="0" wrapText="0"/>
    </xf>
    <xf borderId="34" fillId="3" fontId="18" numFmtId="0" xfId="0" applyAlignment="1" applyBorder="1" applyFont="1">
      <alignment shrinkToFit="0" wrapText="0"/>
    </xf>
    <xf borderId="35" fillId="3" fontId="18" numFmtId="0" xfId="0" applyAlignment="1" applyBorder="1" applyFont="1">
      <alignment shrinkToFit="0" wrapText="0"/>
    </xf>
    <xf borderId="0" fillId="0" fontId="3" numFmtId="0" xfId="0" applyAlignment="1" applyFont="1">
      <alignment horizontal="left" shrinkToFit="0" wrapText="0"/>
    </xf>
    <xf borderId="16" fillId="3" fontId="3" numFmtId="0" xfId="0" applyAlignment="1" applyBorder="1" applyFont="1">
      <alignment horizontal="left" shrinkToFit="0" wrapText="0"/>
    </xf>
    <xf borderId="27" fillId="3" fontId="11" numFmtId="0" xfId="0" applyAlignment="1" applyBorder="1" applyFont="1">
      <alignment shrinkToFit="0" vertical="center" wrapText="0"/>
    </xf>
    <xf borderId="11" fillId="3" fontId="11" numFmtId="0" xfId="0" applyAlignment="1" applyBorder="1" applyFont="1">
      <alignment shrinkToFit="0" vertical="center" wrapText="0"/>
    </xf>
    <xf borderId="11" fillId="3" fontId="11" numFmtId="0" xfId="0" applyAlignment="1" applyBorder="1" applyFont="1">
      <alignment shrinkToFit="0" wrapText="0"/>
    </xf>
    <xf borderId="23" fillId="3" fontId="13" numFmtId="0" xfId="0" applyAlignment="1" applyBorder="1" applyFont="1">
      <alignment horizontal="right" shrinkToFit="0" vertical="center" wrapText="0"/>
    </xf>
    <xf borderId="11" fillId="2" fontId="11" numFmtId="0" xfId="0" applyAlignment="1" applyBorder="1" applyFont="1">
      <alignment shrinkToFit="0" wrapText="0"/>
    </xf>
    <xf borderId="11" fillId="3" fontId="14" numFmtId="0" xfId="0" applyAlignment="1" applyBorder="1" applyFont="1">
      <alignment shrinkToFit="0" vertical="center" wrapText="0"/>
    </xf>
    <xf borderId="11" fillId="3" fontId="11" numFmtId="0" xfId="0" applyAlignment="1" applyBorder="1" applyFont="1">
      <alignment horizontal="left" shrinkToFit="0" vertical="center" wrapText="0"/>
    </xf>
    <xf borderId="11" fillId="3" fontId="13" numFmtId="0" xfId="0" applyAlignment="1" applyBorder="1" applyFont="1">
      <alignment shrinkToFit="0" wrapText="0"/>
    </xf>
    <xf borderId="23" fillId="3" fontId="11" numFmtId="0" xfId="0" applyAlignment="1" applyBorder="1" applyFont="1">
      <alignment shrinkToFit="0" wrapText="0"/>
    </xf>
    <xf borderId="28" fillId="3" fontId="21" numFmtId="0" xfId="0" applyAlignment="1" applyBorder="1" applyFont="1">
      <alignment horizontal="center" readingOrder="0" shrinkToFit="0" vertical="center" wrapText="0"/>
    </xf>
    <xf borderId="11" fillId="2" fontId="18" numFmtId="0" xfId="0" applyAlignment="1" applyBorder="1" applyFont="1">
      <alignment shrinkToFit="0" wrapText="0"/>
    </xf>
    <xf borderId="28" fillId="3" fontId="24" numFmtId="0" xfId="0" applyAlignment="1" applyBorder="1" applyFont="1">
      <alignment horizontal="center" readingOrder="0" shrinkToFit="0" vertical="center" wrapText="1"/>
    </xf>
    <xf borderId="36" fillId="2" fontId="3" numFmtId="0" xfId="0" applyAlignment="1" applyBorder="1" applyFont="1">
      <alignment shrinkToFit="0" wrapText="0"/>
    </xf>
    <xf borderId="37" fillId="2" fontId="3" numFmtId="0" xfId="0" applyAlignment="1" applyBorder="1" applyFont="1">
      <alignment shrinkToFit="0" wrapText="0"/>
    </xf>
    <xf borderId="37" fillId="2" fontId="3" numFmtId="0" xfId="0" applyAlignment="1" applyBorder="1" applyFont="1">
      <alignment horizontal="left" shrinkToFit="0" wrapText="0"/>
    </xf>
    <xf borderId="38" fillId="2" fontId="3" numFmtId="0" xfId="0" applyAlignment="1" applyBorder="1" applyFont="1">
      <alignment shrinkToFit="0" wrapText="0"/>
    </xf>
    <xf borderId="0" fillId="0" fontId="1" numFmtId="0" xfId="0" applyAlignment="1" applyFont="1">
      <alignment readingOrder="0"/>
    </xf>
    <xf borderId="1" fillId="0" fontId="1" numFmtId="0" xfId="0" applyAlignment="1" applyBorder="1" applyFont="1">
      <alignment horizontal="center" readingOrder="0"/>
    </xf>
    <xf borderId="4" fillId="0" fontId="25" numFmtId="0" xfId="0" applyAlignment="1" applyBorder="1" applyFont="1">
      <alignment readingOrder="0"/>
    </xf>
    <xf borderId="4" fillId="0" fontId="1" numFmtId="0" xfId="0" applyAlignment="1" applyBorder="1" applyFont="1">
      <alignment readingOrder="0"/>
    </xf>
    <xf borderId="4" fillId="0" fontId="1" numFmtId="0" xfId="0" applyBorder="1" applyFont="1"/>
    <xf borderId="4" fillId="0" fontId="1" numFmtId="164" xfId="0" applyBorder="1" applyFont="1" applyNumberFormat="1"/>
    <xf borderId="1" fillId="0" fontId="1" numFmtId="164" xfId="0" applyBorder="1" applyFont="1" applyNumberFormat="1"/>
    <xf borderId="4" fillId="0" fontId="1" numFmtId="0" xfId="0" applyAlignment="1" applyBorder="1" applyFont="1">
      <alignment horizontal="left" readingOrder="0" shrinkToFit="0" wrapText="1"/>
    </xf>
    <xf borderId="4" fillId="0" fontId="1" numFmtId="164" xfId="0" applyAlignment="1" applyBorder="1" applyFont="1" applyNumberFormat="1">
      <alignment readingOrder="0"/>
    </xf>
    <xf borderId="1" fillId="0" fontId="25" numFmtId="164" xfId="0" applyAlignment="1" applyBorder="1" applyFont="1" applyNumberFormat="1">
      <alignment readingOrder="0"/>
    </xf>
    <xf borderId="1" fillId="0" fontId="25" numFmtId="164" xfId="0" applyBorder="1" applyFont="1" applyNumberFormat="1"/>
    <xf borderId="0" fillId="0" fontId="26" numFmtId="0" xfId="0" applyAlignment="1" applyFont="1">
      <alignment readingOrder="0"/>
    </xf>
    <xf borderId="5" fillId="0" fontId="1" numFmtId="0" xfId="0" applyBorder="1" applyFont="1"/>
    <xf borderId="39" fillId="0" fontId="2" numFmtId="0" xfId="0" applyBorder="1" applyFont="1"/>
    <xf borderId="1" fillId="0" fontId="1" numFmtId="4" xfId="0" applyAlignment="1" applyBorder="1" applyFont="1" applyNumberFormat="1">
      <alignment readingOrder="0"/>
    </xf>
    <xf borderId="1" fillId="0" fontId="1" numFmtId="4" xfId="0" applyBorder="1" applyFont="1" applyNumberFormat="1"/>
    <xf borderId="1" fillId="0" fontId="25" numFmtId="0" xfId="0" applyAlignment="1" applyBorder="1" applyFont="1">
      <alignment horizontal="center" readingOrder="0"/>
    </xf>
    <xf borderId="4" fillId="0" fontId="1" numFmtId="10" xfId="0" applyBorder="1" applyFont="1" applyNumberFormat="1"/>
    <xf borderId="4" fillId="0" fontId="1" numFmtId="10" xfId="0" applyAlignment="1" applyBorder="1" applyFont="1" applyNumberFormat="1">
      <alignment readingOrder="0"/>
    </xf>
    <xf borderId="4" fillId="4" fontId="27" numFmtId="0" xfId="0" applyAlignment="1" applyBorder="1" applyFill="1" applyFont="1">
      <alignment horizontal="center" readingOrder="0"/>
    </xf>
    <xf borderId="4" fillId="4" fontId="27" numFmtId="0" xfId="0" applyAlignment="1" applyBorder="1" applyFont="1">
      <alignment horizontal="center" shrinkToFit="0" wrapText="0"/>
    </xf>
    <xf borderId="0" fillId="0" fontId="27" numFmtId="0" xfId="0" applyAlignment="1" applyFont="1">
      <alignment horizontal="center" shrinkToFit="0" wrapText="0"/>
    </xf>
    <xf borderId="0" fillId="0" fontId="1" numFmtId="0" xfId="0" applyFont="1"/>
    <xf borderId="1" fillId="0" fontId="27" numFmtId="0" xfId="0" applyAlignment="1" applyBorder="1" applyFont="1">
      <alignment horizontal="center"/>
    </xf>
    <xf borderId="0" fillId="0" fontId="28" numFmtId="0" xfId="0" applyAlignment="1" applyFont="1">
      <alignment shrinkToFit="0" wrapText="0"/>
    </xf>
    <xf borderId="4" fillId="0" fontId="28" numFmtId="0" xfId="0" applyAlignment="1" applyBorder="1" applyFont="1">
      <alignment readingOrder="0"/>
    </xf>
    <xf borderId="4" fillId="0" fontId="28" numFmtId="0" xfId="0" applyAlignment="1" applyBorder="1" applyFont="1">
      <alignment readingOrder="0" shrinkToFit="0" wrapText="0"/>
    </xf>
    <xf borderId="4" fillId="0" fontId="28" numFmtId="164" xfId="0" applyAlignment="1" applyBorder="1" applyFont="1" applyNumberFormat="1">
      <alignment horizontal="right" readingOrder="0" shrinkToFit="0" wrapText="0"/>
    </xf>
    <xf borderId="4" fillId="0" fontId="28" numFmtId="0" xfId="0" applyBorder="1" applyFont="1"/>
    <xf borderId="4" fillId="0" fontId="28" numFmtId="164" xfId="0" applyAlignment="1" applyBorder="1" applyFont="1" applyNumberFormat="1">
      <alignment horizontal="right" shrinkToFit="0" wrapText="0"/>
    </xf>
    <xf borderId="4" fillId="0" fontId="1" numFmtId="165" xfId="0" applyBorder="1" applyFont="1" applyNumberFormat="1"/>
    <xf borderId="4" fillId="0" fontId="1" numFmtId="165" xfId="0" applyAlignment="1" applyBorder="1" applyFont="1" applyNumberFormat="1">
      <alignment readingOrder="0"/>
    </xf>
    <xf borderId="4" fillId="0" fontId="1" numFmtId="9" xfId="0" applyAlignment="1" applyBorder="1" applyFont="1" applyNumberFormat="1">
      <alignment readingOrder="0"/>
    </xf>
    <xf borderId="0" fillId="0" fontId="1" numFmtId="0" xfId="0" applyAlignment="1" applyFont="1">
      <alignment horizontal="center" readingOrder="0"/>
    </xf>
    <xf borderId="4" fillId="5" fontId="1" numFmtId="164" xfId="0" applyBorder="1" applyFill="1" applyFont="1" applyNumberFormat="1"/>
    <xf borderId="1" fillId="4" fontId="25" numFmtId="0" xfId="0" applyAlignment="1" applyBorder="1" applyFont="1">
      <alignment horizontal="center" readingOrder="0"/>
    </xf>
    <xf borderId="4" fillId="0" fontId="28" numFmtId="0" xfId="0" applyAlignment="1" applyBorder="1" applyFont="1">
      <alignment shrinkToFit="0" wrapText="0"/>
    </xf>
    <xf borderId="4" fillId="0" fontId="28" numFmtId="0" xfId="0" applyAlignment="1" applyBorder="1" applyFont="1">
      <alignment horizontal="center" readingOrder="0" shrinkToFit="0" wrapText="0"/>
    </xf>
    <xf borderId="1" fillId="0" fontId="27" numFmtId="0" xfId="0" applyAlignment="1" applyBorder="1" applyFont="1">
      <alignment horizontal="center" readingOrder="0"/>
    </xf>
    <xf borderId="4" fillId="0" fontId="27" numFmtId="0" xfId="0" applyAlignment="1" applyBorder="1" applyFont="1">
      <alignment readingOrder="0"/>
    </xf>
    <xf borderId="4" fillId="0" fontId="28" numFmtId="164" xfId="0" applyAlignment="1" applyBorder="1" applyFont="1" applyNumberFormat="1">
      <alignment shrinkToFit="0" wrapText="0"/>
    </xf>
    <xf borderId="4" fillId="5" fontId="28" numFmtId="164" xfId="0" applyAlignment="1" applyBorder="1" applyFont="1" applyNumberFormat="1">
      <alignment horizontal="right" shrinkToFit="0" wrapText="0"/>
    </xf>
    <xf borderId="1" fillId="6" fontId="27" numFmtId="0" xfId="0" applyAlignment="1" applyBorder="1" applyFill="1" applyFont="1">
      <alignment horizontal="center" readingOrder="0" shrinkToFit="0" wrapText="0"/>
    </xf>
    <xf borderId="3" fillId="0" fontId="28" numFmtId="9" xfId="0" applyAlignment="1" applyBorder="1" applyFont="1" applyNumberFormat="1">
      <alignment horizontal="right" readingOrder="0" shrinkToFit="0" wrapText="0"/>
    </xf>
    <xf borderId="10" fillId="0" fontId="28" numFmtId="0" xfId="0" applyAlignment="1" applyBorder="1" applyFont="1">
      <alignment readingOrder="0" shrinkToFit="0" wrapText="0"/>
    </xf>
    <xf borderId="9" fillId="0" fontId="28" numFmtId="164" xfId="0" applyAlignment="1" applyBorder="1" applyFont="1" applyNumberFormat="1">
      <alignment horizontal="right" shrinkToFit="0" wrapText="0"/>
    </xf>
    <xf borderId="10" fillId="5" fontId="28" numFmtId="0" xfId="0" applyAlignment="1" applyBorder="1" applyFont="1">
      <alignment readingOrder="0" shrinkToFit="0" wrapText="0"/>
    </xf>
    <xf borderId="9" fillId="5" fontId="28" numFmtId="164" xfId="0" applyAlignment="1" applyBorder="1" applyFont="1" applyNumberFormat="1">
      <alignment horizontal="right" shrinkToFit="0" wrapText="0"/>
    </xf>
    <xf borderId="0" fillId="0" fontId="28" numFmtId="0" xfId="0" applyFont="1"/>
    <xf borderId="1" fillId="0" fontId="28" numFmtId="0" xfId="0" applyAlignment="1" applyBorder="1" applyFont="1">
      <alignment horizontal="center" readingOrder="0" vertical="bottom"/>
    </xf>
    <xf borderId="8" fillId="0" fontId="27" numFmtId="0" xfId="0" applyAlignment="1" applyBorder="1" applyFont="1">
      <alignment horizontal="center" vertical="bottom"/>
    </xf>
    <xf borderId="10" fillId="0" fontId="27" numFmtId="0" xfId="0" applyAlignment="1" applyBorder="1" applyFont="1">
      <alignment vertical="bottom"/>
    </xf>
    <xf borderId="9" fillId="0" fontId="27" numFmtId="0" xfId="0" applyAlignment="1" applyBorder="1" applyFont="1">
      <alignment vertical="bottom"/>
    </xf>
    <xf borderId="9" fillId="0" fontId="28" numFmtId="0" xfId="0" applyAlignment="1" applyBorder="1" applyFont="1">
      <alignment readingOrder="0" vertical="bottom"/>
    </xf>
    <xf borderId="9" fillId="0" fontId="28" numFmtId="165" xfId="0" applyAlignment="1" applyBorder="1" applyFont="1" applyNumberFormat="1">
      <alignment vertical="bottom"/>
    </xf>
    <xf borderId="4" fillId="0" fontId="28" numFmtId="0" xfId="0" applyAlignment="1" applyBorder="1" applyFont="1">
      <alignment readingOrder="0" vertical="bottom"/>
    </xf>
    <xf borderId="4" fillId="0" fontId="29" numFmtId="164" xfId="0" applyAlignment="1" applyBorder="1" applyFont="1" applyNumberFormat="1">
      <alignment readingOrder="0"/>
    </xf>
    <xf borderId="1" fillId="7" fontId="27" numFmtId="0" xfId="0" applyAlignment="1" applyBorder="1" applyFill="1" applyFont="1">
      <alignment horizontal="center"/>
    </xf>
    <xf borderId="4" fillId="0" fontId="28" numFmtId="165" xfId="0" applyAlignment="1" applyBorder="1" applyFont="1" applyNumberFormat="1">
      <alignment readingOrder="0" shrinkToFit="0" wrapText="0"/>
    </xf>
    <xf borderId="4" fillId="0" fontId="28" numFmtId="165" xfId="0" applyAlignment="1" applyBorder="1" applyFont="1" applyNumberFormat="1">
      <alignment horizontal="right" readingOrder="0" shrinkToFit="0" wrapText="0"/>
    </xf>
    <xf borderId="4" fillId="0" fontId="28" numFmtId="165" xfId="0" applyAlignment="1" applyBorder="1" applyFont="1" applyNumberFormat="1">
      <alignment horizontal="right" shrinkToFit="0" wrapText="0"/>
    </xf>
    <xf borderId="4" fillId="0" fontId="28" numFmtId="165" xfId="0" applyAlignment="1" applyBorder="1" applyFont="1" applyNumberFormat="1">
      <alignment shrinkToFit="0" wrapText="0"/>
    </xf>
    <xf borderId="0" fillId="0" fontId="28" numFmtId="165" xfId="0" applyAlignment="1" applyFont="1" applyNumberFormat="1">
      <alignment shrinkToFit="0" wrapText="0"/>
    </xf>
    <xf borderId="10" fillId="5" fontId="28" numFmtId="0" xfId="0" applyAlignment="1" applyBorder="1" applyFont="1">
      <alignment shrinkToFit="0" wrapText="0"/>
    </xf>
    <xf borderId="9" fillId="5" fontId="28" numFmtId="9" xfId="0" applyAlignment="1" applyBorder="1" applyFont="1" applyNumberFormat="1">
      <alignment horizontal="right" shrinkToFit="0" wrapText="0"/>
    </xf>
    <xf borderId="4" fillId="5" fontId="27" numFmtId="0" xfId="0" applyAlignment="1" applyBorder="1" applyFont="1">
      <alignment readingOrder="0"/>
    </xf>
    <xf borderId="4" fillId="5" fontId="28" numFmtId="0" xfId="0" applyAlignment="1" applyBorder="1" applyFont="1">
      <alignment horizontal="right" readingOrder="0" shrinkToFit="0" wrapText="0"/>
    </xf>
    <xf borderId="4" fillId="0" fontId="1" numFmtId="9" xfId="0" applyBorder="1" applyFont="1" applyNumberFormat="1"/>
    <xf borderId="4" fillId="8" fontId="1" numFmtId="0" xfId="0" applyAlignment="1" applyBorder="1" applyFill="1" applyFont="1">
      <alignment readingOrder="0"/>
    </xf>
    <xf borderId="4" fillId="8" fontId="1" numFmtId="164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Valor presente acumulado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Evaluacion!$C$24:$L$24</c:f>
              <c:numCache/>
            </c:numRef>
          </c:val>
          <c:smooth val="0"/>
        </c:ser>
        <c:axId val="1071273247"/>
        <c:axId val="1281310195"/>
      </c:lineChart>
      <c:catAx>
        <c:axId val="1071273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1310195"/>
      </c:catAx>
      <c:valAx>
        <c:axId val="1281310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Valor presente acumulado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12732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895350</xdr:colOff>
      <xdr:row>4</xdr:row>
      <xdr:rowOff>95250</xdr:rowOff>
    </xdr:from>
    <xdr:ext cx="2457450" cy="23907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295275</xdr:colOff>
      <xdr:row>4</xdr:row>
      <xdr:rowOff>38100</xdr:rowOff>
    </xdr:from>
    <xdr:ext cx="2733675" cy="239077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85725</xdr:colOff>
      <xdr:row>4</xdr:row>
      <xdr:rowOff>123825</xdr:rowOff>
    </xdr:from>
    <xdr:ext cx="2676525" cy="23336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95250</xdr:colOff>
      <xdr:row>33</xdr:row>
      <xdr:rowOff>133350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homecenter.com.co/homecenter-co/product/395624/piso-pared-ceramico-avellano-beige-30x60cm-caja-162-m2/395624/?kid=goosho_1246419&amp;shop=googleShopping&amp;gad_source=1&amp;gclid=CjwKCAjwz42xBhB9EiwA48pT7zUZUM5bbt577Q1XyNc6PeTEHuW5_orI4zHAUkWnBT5m6q9_t3lo5BoCgkIQAvD_BwE" TargetMode="External"/><Relationship Id="rId2" Type="http://schemas.openxmlformats.org/officeDocument/2006/relationships/hyperlink" Target="https://www.decorceramica.com/atelier-b-30-60-marengo-kc03me182/p" TargetMode="External"/><Relationship Id="rId3" Type="http://schemas.openxmlformats.org/officeDocument/2006/relationships/hyperlink" Target="https://corona.co/productos/revestimientos/paredes/pared-santa-maria/p/451419791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25"/>
  </cols>
  <sheetData>
    <row r="2">
      <c r="B2" s="1" t="s">
        <v>0</v>
      </c>
      <c r="C2" s="2"/>
      <c r="D2" s="3"/>
      <c r="E2" s="4"/>
      <c r="F2" s="4"/>
    </row>
    <row r="3">
      <c r="B3" s="5" t="s">
        <v>1</v>
      </c>
      <c r="C3" s="3"/>
      <c r="D3" s="6" t="s">
        <v>2</v>
      </c>
      <c r="E3" s="4"/>
      <c r="F3" s="4"/>
    </row>
    <row r="4">
      <c r="B4" s="5" t="s">
        <v>3</v>
      </c>
      <c r="C4" s="3"/>
      <c r="D4" s="6" t="s">
        <v>4</v>
      </c>
    </row>
    <row r="5">
      <c r="B5" s="5" t="s">
        <v>5</v>
      </c>
      <c r="C5" s="3"/>
      <c r="D5" s="6" t="s">
        <v>6</v>
      </c>
    </row>
    <row r="6">
      <c r="B6" s="5" t="s">
        <v>7</v>
      </c>
      <c r="C6" s="3"/>
      <c r="D6" s="6" t="s">
        <v>8</v>
      </c>
    </row>
    <row r="7">
      <c r="B7" s="5" t="s">
        <v>9</v>
      </c>
      <c r="C7" s="3"/>
      <c r="D7" s="6" t="s">
        <v>10</v>
      </c>
    </row>
    <row r="8">
      <c r="B8" s="5" t="s">
        <v>11</v>
      </c>
      <c r="C8" s="3"/>
      <c r="D8" s="6" t="s">
        <v>12</v>
      </c>
    </row>
    <row r="9">
      <c r="B9" s="5" t="s">
        <v>13</v>
      </c>
      <c r="C9" s="3"/>
      <c r="D9" s="6" t="s">
        <v>14</v>
      </c>
    </row>
    <row r="10">
      <c r="B10" s="5" t="s">
        <v>15</v>
      </c>
      <c r="C10" s="3"/>
      <c r="D10" s="6" t="s">
        <v>16</v>
      </c>
    </row>
    <row r="11">
      <c r="B11" s="5" t="s">
        <v>17</v>
      </c>
      <c r="C11" s="3"/>
      <c r="D11" s="6" t="s">
        <v>18</v>
      </c>
    </row>
    <row r="12">
      <c r="B12" s="7" t="s">
        <v>19</v>
      </c>
      <c r="C12" s="8"/>
      <c r="D12" s="9" t="s">
        <v>20</v>
      </c>
    </row>
    <row r="13">
      <c r="B13" s="10"/>
      <c r="C13" s="11"/>
      <c r="D13" s="12"/>
    </row>
    <row r="14">
      <c r="B14" s="5" t="s">
        <v>21</v>
      </c>
      <c r="C14" s="3"/>
      <c r="D14" s="6" t="s">
        <v>22</v>
      </c>
    </row>
  </sheetData>
  <mergeCells count="13">
    <mergeCell ref="B9:C9"/>
    <mergeCell ref="B10:C10"/>
    <mergeCell ref="B11:C11"/>
    <mergeCell ref="B12:C13"/>
    <mergeCell ref="D12:D13"/>
    <mergeCell ref="B14:C14"/>
    <mergeCell ref="B2:D2"/>
    <mergeCell ref="B3:C3"/>
    <mergeCell ref="B4:C4"/>
    <mergeCell ref="B5:C5"/>
    <mergeCell ref="B6:C6"/>
    <mergeCell ref="B7:C7"/>
    <mergeCell ref="B8:C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/>
  </sheetPr>
  <sheetViews>
    <sheetView showGridLines="0" workbookViewId="0"/>
  </sheetViews>
  <sheetFormatPr customHeight="1" defaultColWidth="12.63" defaultRowHeight="15.75"/>
  <cols>
    <col customWidth="1" min="1" max="1" width="1.38"/>
    <col customWidth="1" min="2" max="2" width="11.38"/>
    <col customWidth="1" min="3" max="3" width="14.63"/>
    <col customWidth="1" min="4" max="4" width="11.38"/>
    <col customWidth="1" min="5" max="5" width="0.88"/>
    <col customWidth="1" min="6" max="6" width="9.38"/>
    <col customWidth="1" min="7" max="7" width="19.63"/>
    <col customWidth="1" min="8" max="8" width="9.38"/>
    <col customWidth="1" min="9" max="9" width="0.88"/>
    <col customWidth="1" min="10" max="10" width="4.13"/>
    <col customWidth="1" min="11" max="11" width="12.88"/>
    <col customWidth="1" min="12" max="12" width="2.13"/>
    <col customWidth="1" min="13" max="13" width="15.0"/>
    <col customWidth="1" min="14" max="14" width="5.88"/>
    <col customWidth="1" min="15" max="15" width="0.88"/>
    <col customWidth="1" min="16" max="16" width="8.88"/>
    <col customWidth="1" min="17" max="17" width="26.0"/>
    <col customWidth="1" min="18" max="18" width="29.25"/>
    <col customWidth="1" min="19" max="19" width="0.88"/>
    <col customWidth="1" min="20" max="20" width="7.88"/>
    <col customWidth="1" min="21" max="21" width="18.88"/>
    <col customWidth="1" min="22" max="22" width="6.88"/>
    <col customWidth="1" min="23" max="23" width="1.38"/>
  </cols>
  <sheetData>
    <row r="1" ht="12.0" customHeight="1">
      <c r="A1" s="13"/>
      <c r="B1" s="14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3"/>
    </row>
    <row r="2">
      <c r="A2" s="16"/>
      <c r="B2" s="17" t="s">
        <v>23</v>
      </c>
      <c r="C2" s="18"/>
      <c r="D2" s="18"/>
      <c r="E2" s="18"/>
      <c r="F2" s="18"/>
      <c r="G2" s="19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1"/>
      <c r="T2" s="22"/>
      <c r="U2" s="21"/>
      <c r="V2" s="21"/>
      <c r="W2" s="23"/>
    </row>
    <row r="3" ht="6.0" customHeight="1">
      <c r="A3" s="16"/>
      <c r="B3" s="13"/>
      <c r="C3" s="24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25"/>
      <c r="Q3" s="13"/>
      <c r="R3" s="13"/>
      <c r="S3" s="13"/>
      <c r="T3" s="13"/>
      <c r="U3" s="13"/>
      <c r="V3" s="13"/>
      <c r="W3" s="23"/>
    </row>
    <row r="4" ht="6.0" customHeight="1">
      <c r="A4" s="16"/>
      <c r="B4" s="26"/>
      <c r="C4" s="27"/>
      <c r="D4" s="28"/>
      <c r="E4" s="29"/>
      <c r="F4" s="26"/>
      <c r="G4" s="27"/>
      <c r="H4" s="28"/>
      <c r="I4" s="29"/>
      <c r="J4" s="26"/>
      <c r="K4" s="27"/>
      <c r="L4" s="27"/>
      <c r="M4" s="27"/>
      <c r="N4" s="28"/>
      <c r="O4" s="29"/>
      <c r="P4" s="30"/>
      <c r="Q4" s="31"/>
      <c r="R4" s="32"/>
      <c r="S4" s="29"/>
      <c r="T4" s="26"/>
      <c r="U4" s="27"/>
      <c r="V4" s="28"/>
      <c r="W4" s="23"/>
    </row>
    <row r="5" ht="27.0" customHeight="1">
      <c r="A5" s="33"/>
      <c r="B5" s="34" t="s">
        <v>24</v>
      </c>
      <c r="C5" s="35"/>
      <c r="D5" s="36"/>
      <c r="E5" s="37"/>
      <c r="F5" s="38" t="s">
        <v>25</v>
      </c>
      <c r="G5" s="35"/>
      <c r="H5" s="36"/>
      <c r="I5" s="37"/>
      <c r="J5" s="39" t="s">
        <v>26</v>
      </c>
      <c r="K5" s="35"/>
      <c r="L5" s="35"/>
      <c r="M5" s="35"/>
      <c r="N5" s="36"/>
      <c r="O5" s="40"/>
      <c r="P5" s="41" t="s">
        <v>27</v>
      </c>
      <c r="R5" s="42"/>
      <c r="S5" s="43"/>
      <c r="T5" s="44"/>
      <c r="U5" s="45" t="s">
        <v>28</v>
      </c>
      <c r="V5" s="36"/>
      <c r="W5" s="46"/>
    </row>
    <row r="6" ht="17.25" customHeight="1">
      <c r="A6" s="47"/>
      <c r="B6" s="48" t="s">
        <v>29</v>
      </c>
      <c r="C6" s="49"/>
      <c r="D6" s="50"/>
      <c r="E6" s="51"/>
      <c r="F6" s="48" t="s">
        <v>30</v>
      </c>
      <c r="G6" s="49"/>
      <c r="H6" s="50"/>
      <c r="I6" s="51"/>
      <c r="J6" s="48" t="s">
        <v>31</v>
      </c>
      <c r="K6" s="49"/>
      <c r="L6" s="49"/>
      <c r="M6" s="49"/>
      <c r="N6" s="50"/>
      <c r="O6" s="51"/>
      <c r="P6" s="52" t="s">
        <v>32</v>
      </c>
      <c r="R6" s="53"/>
      <c r="S6" s="54"/>
      <c r="T6" s="55" t="s">
        <v>33</v>
      </c>
      <c r="U6" s="49"/>
      <c r="V6" s="50"/>
      <c r="W6" s="56"/>
    </row>
    <row r="7" ht="17.25" customHeight="1">
      <c r="A7" s="47"/>
      <c r="B7" s="57"/>
      <c r="D7" s="53"/>
      <c r="E7" s="51"/>
      <c r="F7" s="57"/>
      <c r="H7" s="53"/>
      <c r="I7" s="51"/>
      <c r="J7" s="57"/>
      <c r="N7" s="53"/>
      <c r="O7" s="58"/>
      <c r="P7" s="57"/>
      <c r="R7" s="53"/>
      <c r="S7" s="59"/>
      <c r="T7" s="57"/>
      <c r="V7" s="53"/>
      <c r="W7" s="56"/>
    </row>
    <row r="8" ht="16.5" customHeight="1">
      <c r="A8" s="47"/>
      <c r="B8" s="57"/>
      <c r="D8" s="53"/>
      <c r="E8" s="51"/>
      <c r="F8" s="57"/>
      <c r="H8" s="53"/>
      <c r="I8" s="51"/>
      <c r="J8" s="57"/>
      <c r="N8" s="53"/>
      <c r="O8" s="60"/>
      <c r="P8" s="57"/>
      <c r="R8" s="53"/>
      <c r="S8" s="59"/>
      <c r="T8" s="57"/>
      <c r="V8" s="53"/>
      <c r="W8" s="56"/>
    </row>
    <row r="9" ht="16.5" customHeight="1">
      <c r="A9" s="47"/>
      <c r="B9" s="57"/>
      <c r="D9" s="53"/>
      <c r="E9" s="51"/>
      <c r="F9" s="57"/>
      <c r="H9" s="53"/>
      <c r="I9" s="51"/>
      <c r="J9" s="57"/>
      <c r="N9" s="53"/>
      <c r="O9" s="60"/>
      <c r="P9" s="57"/>
      <c r="R9" s="53"/>
      <c r="S9" s="59"/>
      <c r="T9" s="57"/>
      <c r="V9" s="53"/>
      <c r="W9" s="56"/>
    </row>
    <row r="10" ht="16.5" customHeight="1">
      <c r="A10" s="47"/>
      <c r="B10" s="57"/>
      <c r="D10" s="53"/>
      <c r="E10" s="51"/>
      <c r="F10" s="57"/>
      <c r="H10" s="53"/>
      <c r="I10" s="51"/>
      <c r="J10" s="57"/>
      <c r="N10" s="53"/>
      <c r="O10" s="60"/>
      <c r="P10" s="57"/>
      <c r="R10" s="53"/>
      <c r="S10" s="59"/>
      <c r="T10" s="57"/>
      <c r="V10" s="53"/>
      <c r="W10" s="56"/>
    </row>
    <row r="11">
      <c r="A11" s="47"/>
      <c r="B11" s="57"/>
      <c r="D11" s="53"/>
      <c r="E11" s="51"/>
      <c r="F11" s="57"/>
      <c r="H11" s="53"/>
      <c r="I11" s="51"/>
      <c r="J11" s="57"/>
      <c r="N11" s="53"/>
      <c r="O11" s="58"/>
      <c r="P11" s="57"/>
      <c r="R11" s="53"/>
      <c r="S11" s="59"/>
      <c r="T11" s="57"/>
      <c r="V11" s="53"/>
      <c r="W11" s="56"/>
    </row>
    <row r="12" ht="17.25" customHeight="1">
      <c r="A12" s="47"/>
      <c r="B12" s="57"/>
      <c r="D12" s="53"/>
      <c r="E12" s="51"/>
      <c r="F12" s="57"/>
      <c r="H12" s="53"/>
      <c r="I12" s="51"/>
      <c r="J12" s="57"/>
      <c r="N12" s="53"/>
      <c r="O12" s="60"/>
      <c r="P12" s="57"/>
      <c r="R12" s="53"/>
      <c r="S12" s="59"/>
      <c r="T12" s="57"/>
      <c r="V12" s="53"/>
      <c r="W12" s="56"/>
    </row>
    <row r="13" ht="17.25" customHeight="1">
      <c r="A13" s="47"/>
      <c r="B13" s="57"/>
      <c r="D13" s="53"/>
      <c r="E13" s="51"/>
      <c r="F13" s="57"/>
      <c r="H13" s="53"/>
      <c r="I13" s="51"/>
      <c r="J13" s="57"/>
      <c r="N13" s="53"/>
      <c r="O13" s="58"/>
      <c r="P13" s="57"/>
      <c r="R13" s="53"/>
      <c r="S13" s="59"/>
      <c r="T13" s="57"/>
      <c r="V13" s="53"/>
      <c r="W13" s="56"/>
    </row>
    <row r="14" ht="17.25" customHeight="1">
      <c r="A14" s="47"/>
      <c r="B14" s="57"/>
      <c r="D14" s="53"/>
      <c r="E14" s="51"/>
      <c r="F14" s="57"/>
      <c r="H14" s="53"/>
      <c r="I14" s="51"/>
      <c r="J14" s="57"/>
      <c r="N14" s="53"/>
      <c r="O14" s="60"/>
      <c r="P14" s="57"/>
      <c r="R14" s="53"/>
      <c r="S14" s="59"/>
      <c r="T14" s="57"/>
      <c r="V14" s="53"/>
      <c r="W14" s="56"/>
    </row>
    <row r="15" ht="82.5" customHeight="1">
      <c r="A15" s="47"/>
      <c r="B15" s="57"/>
      <c r="D15" s="53"/>
      <c r="E15" s="51"/>
      <c r="F15" s="10"/>
      <c r="G15" s="61"/>
      <c r="H15" s="11"/>
      <c r="I15" s="51"/>
      <c r="J15" s="57"/>
      <c r="N15" s="53"/>
      <c r="O15" s="60"/>
      <c r="P15" s="10"/>
      <c r="Q15" s="61"/>
      <c r="R15" s="11"/>
      <c r="S15" s="54"/>
      <c r="T15" s="57"/>
      <c r="V15" s="53"/>
      <c r="W15" s="56"/>
    </row>
    <row r="16" ht="3.75" customHeight="1">
      <c r="A16" s="16"/>
      <c r="B16" s="57"/>
      <c r="D16" s="53"/>
      <c r="E16" s="29"/>
      <c r="F16" s="13"/>
      <c r="G16" s="62"/>
      <c r="H16" s="13"/>
      <c r="I16" s="29"/>
      <c r="J16" s="57"/>
      <c r="N16" s="53"/>
      <c r="O16" s="63"/>
      <c r="P16" s="64"/>
      <c r="Q16" s="65"/>
      <c r="R16" s="64"/>
      <c r="S16" s="66"/>
      <c r="T16" s="57"/>
      <c r="V16" s="53"/>
      <c r="W16" s="23"/>
    </row>
    <row r="17" ht="8.25" customHeight="1">
      <c r="A17" s="16"/>
      <c r="B17" s="57"/>
      <c r="D17" s="53"/>
      <c r="E17" s="29"/>
      <c r="F17" s="26"/>
      <c r="G17" s="67"/>
      <c r="H17" s="28"/>
      <c r="I17" s="29"/>
      <c r="J17" s="57"/>
      <c r="N17" s="53"/>
      <c r="O17" s="66"/>
      <c r="P17" s="68"/>
      <c r="Q17" s="67"/>
      <c r="R17" s="69"/>
      <c r="S17" s="66"/>
      <c r="T17" s="57"/>
      <c r="V17" s="53"/>
      <c r="W17" s="23"/>
    </row>
    <row r="18">
      <c r="A18" s="70"/>
      <c r="B18" s="57"/>
      <c r="D18" s="53"/>
      <c r="E18" s="71"/>
      <c r="F18" s="72" t="s">
        <v>34</v>
      </c>
      <c r="G18" s="35"/>
      <c r="H18" s="73"/>
      <c r="I18" s="74"/>
      <c r="J18" s="57"/>
      <c r="N18" s="53"/>
      <c r="O18" s="74"/>
      <c r="P18" s="75"/>
      <c r="Q18" s="76" t="s">
        <v>35</v>
      </c>
      <c r="R18" s="36"/>
      <c r="S18" s="37"/>
      <c r="T18" s="57"/>
      <c r="V18" s="53"/>
      <c r="W18" s="77"/>
    </row>
    <row r="19" ht="17.25" customHeight="1">
      <c r="A19" s="47"/>
      <c r="B19" s="57"/>
      <c r="D19" s="53"/>
      <c r="E19" s="51"/>
      <c r="F19" s="48" t="s">
        <v>36</v>
      </c>
      <c r="G19" s="49"/>
      <c r="H19" s="50"/>
      <c r="I19" s="51"/>
      <c r="J19" s="57"/>
      <c r="N19" s="53"/>
      <c r="O19" s="51"/>
      <c r="P19" s="78" t="s">
        <v>37</v>
      </c>
      <c r="Q19" s="49"/>
      <c r="R19" s="50"/>
      <c r="S19" s="60"/>
      <c r="T19" s="57"/>
      <c r="V19" s="53"/>
      <c r="W19" s="56"/>
    </row>
    <row r="20" ht="17.25" customHeight="1">
      <c r="A20" s="47"/>
      <c r="B20" s="57"/>
      <c r="D20" s="53"/>
      <c r="E20" s="51"/>
      <c r="F20" s="57"/>
      <c r="H20" s="53"/>
      <c r="I20" s="51"/>
      <c r="J20" s="57"/>
      <c r="N20" s="53"/>
      <c r="O20" s="51"/>
      <c r="P20" s="57"/>
      <c r="R20" s="53"/>
      <c r="S20" s="60"/>
      <c r="T20" s="57"/>
      <c r="V20" s="53"/>
      <c r="W20" s="56"/>
    </row>
    <row r="21" ht="17.25" customHeight="1">
      <c r="A21" s="47"/>
      <c r="B21" s="57"/>
      <c r="D21" s="53"/>
      <c r="E21" s="51"/>
      <c r="F21" s="57"/>
      <c r="H21" s="53"/>
      <c r="I21" s="51"/>
      <c r="J21" s="57"/>
      <c r="N21" s="53"/>
      <c r="O21" s="51"/>
      <c r="P21" s="57"/>
      <c r="R21" s="53"/>
      <c r="S21" s="60"/>
      <c r="T21" s="57"/>
      <c r="V21" s="53"/>
      <c r="W21" s="56"/>
    </row>
    <row r="22" ht="17.25" customHeight="1">
      <c r="A22" s="47"/>
      <c r="B22" s="57"/>
      <c r="D22" s="53"/>
      <c r="E22" s="51"/>
      <c r="F22" s="57"/>
      <c r="H22" s="53"/>
      <c r="I22" s="51"/>
      <c r="J22" s="57"/>
      <c r="N22" s="53"/>
      <c r="O22" s="51"/>
      <c r="P22" s="57"/>
      <c r="R22" s="53"/>
      <c r="S22" s="60"/>
      <c r="T22" s="57"/>
      <c r="V22" s="53"/>
      <c r="W22" s="56"/>
    </row>
    <row r="23" ht="17.25" customHeight="1">
      <c r="A23" s="47"/>
      <c r="B23" s="79"/>
      <c r="C23" s="35"/>
      <c r="D23" s="80"/>
      <c r="E23" s="51"/>
      <c r="F23" s="57"/>
      <c r="H23" s="53"/>
      <c r="I23" s="51"/>
      <c r="J23" s="57"/>
      <c r="N23" s="53"/>
      <c r="O23" s="51"/>
      <c r="P23" s="57"/>
      <c r="R23" s="53"/>
      <c r="S23" s="60"/>
      <c r="T23" s="57"/>
      <c r="V23" s="53"/>
      <c r="W23" s="56"/>
    </row>
    <row r="24" ht="17.25" customHeight="1">
      <c r="A24" s="47"/>
      <c r="B24" s="79"/>
      <c r="C24" s="35"/>
      <c r="D24" s="80"/>
      <c r="E24" s="51"/>
      <c r="F24" s="57"/>
      <c r="H24" s="53"/>
      <c r="I24" s="51"/>
      <c r="J24" s="57"/>
      <c r="N24" s="53"/>
      <c r="O24" s="51"/>
      <c r="P24" s="57"/>
      <c r="R24" s="53"/>
      <c r="S24" s="60"/>
      <c r="T24" s="57"/>
      <c r="V24" s="53"/>
      <c r="W24" s="56"/>
    </row>
    <row r="25" ht="17.25" customHeight="1">
      <c r="A25" s="47"/>
      <c r="B25" s="79"/>
      <c r="C25" s="35"/>
      <c r="D25" s="80"/>
      <c r="E25" s="51"/>
      <c r="F25" s="57"/>
      <c r="H25" s="53"/>
      <c r="I25" s="51"/>
      <c r="J25" s="57"/>
      <c r="N25" s="53"/>
      <c r="O25" s="51"/>
      <c r="P25" s="57"/>
      <c r="R25" s="53"/>
      <c r="S25" s="60"/>
      <c r="T25" s="57"/>
      <c r="V25" s="53"/>
      <c r="W25" s="56"/>
    </row>
    <row r="26" ht="17.25" customHeight="1">
      <c r="A26" s="47"/>
      <c r="B26" s="79"/>
      <c r="C26" s="35"/>
      <c r="D26" s="80"/>
      <c r="E26" s="51"/>
      <c r="F26" s="57"/>
      <c r="H26" s="53"/>
      <c r="I26" s="51"/>
      <c r="J26" s="57"/>
      <c r="N26" s="53"/>
      <c r="O26" s="51"/>
      <c r="P26" s="57"/>
      <c r="R26" s="53"/>
      <c r="S26" s="60"/>
      <c r="T26" s="57"/>
      <c r="V26" s="53"/>
      <c r="W26" s="56"/>
    </row>
    <row r="27" ht="17.25" customHeight="1">
      <c r="A27" s="47"/>
      <c r="B27" s="79"/>
      <c r="C27" s="35"/>
      <c r="D27" s="80"/>
      <c r="E27" s="51"/>
      <c r="F27" s="57"/>
      <c r="H27" s="53"/>
      <c r="I27" s="51"/>
      <c r="J27" s="81"/>
      <c r="K27" s="35"/>
      <c r="L27" s="35"/>
      <c r="M27" s="35"/>
      <c r="N27" s="80"/>
      <c r="O27" s="51"/>
      <c r="P27" s="57"/>
      <c r="R27" s="53"/>
      <c r="S27" s="60"/>
      <c r="T27" s="57"/>
      <c r="V27" s="53"/>
      <c r="W27" s="56"/>
    </row>
    <row r="28" ht="47.25" customHeight="1">
      <c r="A28" s="47"/>
      <c r="B28" s="79"/>
      <c r="C28" s="35"/>
      <c r="D28" s="80"/>
      <c r="E28" s="51"/>
      <c r="F28" s="57"/>
      <c r="H28" s="53"/>
      <c r="I28" s="51"/>
      <c r="J28" s="81"/>
      <c r="K28" s="35"/>
      <c r="L28" s="35"/>
      <c r="M28" s="35"/>
      <c r="N28" s="80"/>
      <c r="O28" s="51"/>
      <c r="P28" s="57"/>
      <c r="R28" s="53"/>
      <c r="S28" s="60"/>
      <c r="T28" s="57"/>
      <c r="V28" s="53"/>
      <c r="W28" s="56"/>
    </row>
    <row r="29" ht="28.5" customHeight="1">
      <c r="A29" s="47"/>
      <c r="B29" s="82"/>
      <c r="C29" s="83"/>
      <c r="D29" s="84"/>
      <c r="E29" s="51"/>
      <c r="F29" s="10"/>
      <c r="G29" s="61"/>
      <c r="H29" s="11"/>
      <c r="I29" s="51"/>
      <c r="J29" s="85"/>
      <c r="K29" s="86"/>
      <c r="L29" s="86"/>
      <c r="M29" s="86"/>
      <c r="N29" s="87"/>
      <c r="O29" s="51"/>
      <c r="P29" s="10"/>
      <c r="Q29" s="61"/>
      <c r="R29" s="11"/>
      <c r="S29" s="60"/>
      <c r="T29" s="10"/>
      <c r="U29" s="61"/>
      <c r="V29" s="11"/>
      <c r="W29" s="56"/>
    </row>
    <row r="30" ht="6.0" customHeight="1">
      <c r="A30" s="16"/>
      <c r="B30" s="13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88"/>
      <c r="Q30" s="29"/>
      <c r="R30" s="29"/>
      <c r="S30" s="29"/>
      <c r="T30" s="29"/>
      <c r="U30" s="29"/>
      <c r="V30" s="29"/>
      <c r="W30" s="23"/>
    </row>
    <row r="31" ht="6.75" customHeight="1">
      <c r="A31" s="16"/>
      <c r="B31" s="26"/>
      <c r="C31" s="27"/>
      <c r="D31" s="27"/>
      <c r="E31" s="27"/>
      <c r="F31" s="27"/>
      <c r="G31" s="27"/>
      <c r="H31" s="27"/>
      <c r="I31" s="27"/>
      <c r="J31" s="27"/>
      <c r="K31" s="28"/>
      <c r="L31" s="13"/>
      <c r="M31" s="26"/>
      <c r="N31" s="27"/>
      <c r="O31" s="27"/>
      <c r="P31" s="89"/>
      <c r="Q31" s="27"/>
      <c r="R31" s="27"/>
      <c r="S31" s="27"/>
      <c r="T31" s="27"/>
      <c r="U31" s="27"/>
      <c r="V31" s="28"/>
      <c r="W31" s="23"/>
    </row>
    <row r="32" ht="21.0" customHeight="1">
      <c r="A32" s="70"/>
      <c r="B32" s="90"/>
      <c r="C32" s="76" t="s">
        <v>38</v>
      </c>
      <c r="D32" s="91"/>
      <c r="E32" s="91"/>
      <c r="F32" s="91"/>
      <c r="G32" s="92"/>
      <c r="H32" s="92"/>
      <c r="I32" s="92"/>
      <c r="J32" s="92"/>
      <c r="K32" s="93"/>
      <c r="L32" s="94"/>
      <c r="M32" s="90"/>
      <c r="N32" s="95" t="s">
        <v>39</v>
      </c>
      <c r="O32" s="91"/>
      <c r="P32" s="96"/>
      <c r="Q32" s="91"/>
      <c r="R32" s="91"/>
      <c r="S32" s="92"/>
      <c r="T32" s="92"/>
      <c r="U32" s="97"/>
      <c r="V32" s="98"/>
      <c r="W32" s="77"/>
    </row>
    <row r="33" ht="17.25" customHeight="1">
      <c r="A33" s="47"/>
      <c r="B33" s="99" t="s">
        <v>40</v>
      </c>
      <c r="C33" s="49"/>
      <c r="D33" s="49"/>
      <c r="E33" s="49"/>
      <c r="F33" s="49"/>
      <c r="G33" s="49"/>
      <c r="H33" s="49"/>
      <c r="I33" s="49"/>
      <c r="J33" s="49"/>
      <c r="K33" s="50"/>
      <c r="L33" s="100"/>
      <c r="M33" s="101" t="s">
        <v>41</v>
      </c>
      <c r="N33" s="49"/>
      <c r="O33" s="49"/>
      <c r="P33" s="49"/>
      <c r="Q33" s="49"/>
      <c r="R33" s="49"/>
      <c r="S33" s="49"/>
      <c r="T33" s="49"/>
      <c r="U33" s="49"/>
      <c r="V33" s="50"/>
      <c r="W33" s="56"/>
    </row>
    <row r="34" ht="17.25" customHeight="1">
      <c r="A34" s="47"/>
      <c r="B34" s="57"/>
      <c r="K34" s="53"/>
      <c r="L34" s="100"/>
      <c r="M34" s="57"/>
      <c r="V34" s="53"/>
      <c r="W34" s="56"/>
    </row>
    <row r="35" ht="15.0" customHeight="1">
      <c r="A35" s="47"/>
      <c r="B35" s="57"/>
      <c r="K35" s="53"/>
      <c r="L35" s="100"/>
      <c r="M35" s="57"/>
      <c r="V35" s="53"/>
      <c r="W35" s="56"/>
    </row>
    <row r="36" ht="17.25" customHeight="1">
      <c r="A36" s="47"/>
      <c r="B36" s="57"/>
      <c r="K36" s="53"/>
      <c r="L36" s="100"/>
      <c r="M36" s="57"/>
      <c r="V36" s="53"/>
      <c r="W36" s="56"/>
    </row>
    <row r="37" ht="17.25" customHeight="1">
      <c r="A37" s="47"/>
      <c r="B37" s="57"/>
      <c r="K37" s="53"/>
      <c r="L37" s="100"/>
      <c r="M37" s="57"/>
      <c r="V37" s="53"/>
      <c r="W37" s="56"/>
    </row>
    <row r="38" ht="17.25" customHeight="1">
      <c r="A38" s="47"/>
      <c r="B38" s="57"/>
      <c r="K38" s="53"/>
      <c r="L38" s="100"/>
      <c r="M38" s="57"/>
      <c r="V38" s="53"/>
      <c r="W38" s="56"/>
    </row>
    <row r="39" ht="17.25" customHeight="1">
      <c r="A39" s="47"/>
      <c r="B39" s="57"/>
      <c r="K39" s="53"/>
      <c r="L39" s="100"/>
      <c r="M39" s="57"/>
      <c r="V39" s="53"/>
      <c r="W39" s="56"/>
    </row>
    <row r="40" ht="17.25" customHeight="1">
      <c r="A40" s="47"/>
      <c r="B40" s="57"/>
      <c r="K40" s="53"/>
      <c r="L40" s="100"/>
      <c r="M40" s="57"/>
      <c r="V40" s="53"/>
      <c r="W40" s="56"/>
    </row>
    <row r="41" ht="17.25" customHeight="1">
      <c r="A41" s="47"/>
      <c r="B41" s="57"/>
      <c r="K41" s="53"/>
      <c r="L41" s="100"/>
      <c r="M41" s="57"/>
      <c r="V41" s="53"/>
      <c r="W41" s="56"/>
    </row>
    <row r="42" ht="17.25" customHeight="1">
      <c r="A42" s="47"/>
      <c r="B42" s="57"/>
      <c r="K42" s="53"/>
      <c r="L42" s="100"/>
      <c r="M42" s="57"/>
      <c r="V42" s="53"/>
      <c r="W42" s="56"/>
    </row>
    <row r="43" ht="17.25" customHeight="1">
      <c r="A43" s="16"/>
      <c r="B43" s="10"/>
      <c r="C43" s="61"/>
      <c r="D43" s="61"/>
      <c r="E43" s="61"/>
      <c r="F43" s="61"/>
      <c r="G43" s="61"/>
      <c r="H43" s="61"/>
      <c r="I43" s="61"/>
      <c r="J43" s="61"/>
      <c r="K43" s="11"/>
      <c r="L43" s="13"/>
      <c r="M43" s="10"/>
      <c r="N43" s="61"/>
      <c r="O43" s="61"/>
      <c r="P43" s="61"/>
      <c r="Q43" s="61"/>
      <c r="R43" s="61"/>
      <c r="S43" s="61"/>
      <c r="T43" s="61"/>
      <c r="U43" s="61"/>
      <c r="V43" s="11"/>
      <c r="W43" s="23"/>
    </row>
    <row r="44" ht="10.5" customHeight="1">
      <c r="A44" s="102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4"/>
      <c r="Q44" s="103"/>
      <c r="R44" s="103"/>
      <c r="S44" s="103"/>
      <c r="T44" s="103"/>
      <c r="U44" s="103"/>
      <c r="V44" s="103"/>
      <c r="W44" s="105"/>
    </row>
    <row r="45" ht="17.2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25"/>
      <c r="Q45" s="13"/>
      <c r="R45" s="13"/>
      <c r="S45" s="13"/>
      <c r="T45" s="13"/>
      <c r="U45" s="13"/>
      <c r="V45" s="13"/>
      <c r="W45" s="13"/>
    </row>
    <row r="46" ht="17.2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25"/>
      <c r="Q46" s="13"/>
      <c r="R46" s="13"/>
      <c r="S46" s="13"/>
      <c r="T46" s="13"/>
      <c r="U46" s="13"/>
      <c r="V46" s="13"/>
      <c r="W46" s="13"/>
    </row>
    <row r="47" ht="17.25" customHeight="1"/>
    <row r="48" ht="17.25" customHeight="1"/>
    <row r="49" ht="17.25" customHeight="1"/>
    <row r="50" ht="17.25" customHeight="1"/>
    <row r="51" ht="17.25" customHeight="1"/>
    <row r="52" ht="17.25" customHeight="1"/>
    <row r="53" ht="17.25" customHeight="1"/>
    <row r="54" ht="17.25" customHeight="1"/>
    <row r="55" ht="17.25" customHeight="1"/>
    <row r="56" ht="17.25" customHeight="1"/>
    <row r="57" ht="17.25" customHeight="1"/>
    <row r="58" ht="17.25" customHeight="1"/>
    <row r="59" ht="17.25" customHeight="1"/>
    <row r="60" ht="17.25" customHeight="1"/>
    <row r="61" ht="17.25" customHeight="1"/>
    <row r="62" ht="17.25" customHeight="1"/>
    <row r="63" ht="17.25" customHeight="1"/>
    <row r="64" ht="17.25" customHeight="1"/>
    <row r="65" ht="17.25" customHeight="1"/>
    <row r="66" ht="17.25" customHeight="1"/>
    <row r="67" ht="17.25" customHeight="1"/>
    <row r="68" ht="17.25" customHeight="1"/>
    <row r="69" ht="17.25" customHeight="1"/>
    <row r="70" ht="17.25" customHeight="1"/>
    <row r="71" ht="17.25" customHeight="1"/>
    <row r="72" ht="17.25" customHeight="1"/>
    <row r="73" ht="17.25" customHeight="1"/>
    <row r="74" ht="17.25" customHeight="1"/>
    <row r="75" ht="17.25" customHeight="1"/>
    <row r="76" ht="17.25" customHeight="1"/>
    <row r="77" ht="17.25" customHeight="1"/>
    <row r="78" ht="17.25" customHeight="1"/>
    <row r="79" ht="17.25" customHeight="1"/>
    <row r="80" ht="17.25" customHeight="1"/>
    <row r="81" ht="17.25" customHeight="1"/>
    <row r="82" ht="17.25" customHeight="1"/>
    <row r="83" ht="17.25" customHeight="1"/>
    <row r="84" ht="17.25" customHeight="1"/>
    <row r="85" ht="17.25" customHeight="1"/>
    <row r="86" ht="17.25" customHeight="1"/>
    <row r="87" ht="17.25" customHeight="1"/>
    <row r="88" ht="17.25" customHeight="1"/>
    <row r="89" ht="17.25" customHeight="1"/>
    <row r="90" ht="17.25" customHeight="1"/>
    <row r="91" ht="17.25" customHeight="1"/>
    <row r="92" ht="17.25" customHeight="1"/>
    <row r="93" ht="17.2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</row>
    <row r="209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</row>
    <row r="210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</row>
    <row r="211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</row>
    <row r="212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</row>
    <row r="213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</row>
    <row r="214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</row>
    <row r="215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</row>
    <row r="21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</row>
    <row r="217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</row>
    <row r="218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</row>
    <row r="219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</row>
    <row r="220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</row>
    <row r="221" ht="15.7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</row>
    <row r="222" ht="15.7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</row>
    <row r="223" ht="15.7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</row>
    <row r="224" ht="15.7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</row>
    <row r="225" ht="15.7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</row>
    <row r="226" ht="15.7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</row>
    <row r="227" ht="15.7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</row>
    <row r="228" ht="15.7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</row>
    <row r="229" ht="15.7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</row>
    <row r="230" ht="15.7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</row>
    <row r="231" ht="15.7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</row>
    <row r="232" ht="15.7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</row>
    <row r="233" ht="15.7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</row>
    <row r="234" ht="15.7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</row>
    <row r="235" ht="15.7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</row>
    <row r="236" ht="15.7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</row>
    <row r="237" ht="15.7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</row>
    <row r="238" ht="15.7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</row>
    <row r="239" ht="15.7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</row>
    <row r="240" ht="15.7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</row>
    <row r="241" ht="15.7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</row>
    <row r="242" ht="15.7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</row>
    <row r="243" ht="15.7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</row>
    <row r="244" ht="15.7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</row>
    <row r="245" ht="15.7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</row>
    <row r="246" ht="15.7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</row>
    <row r="247" ht="15.7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</row>
    <row r="248" ht="15.7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</row>
    <row r="249" ht="15.7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</row>
    <row r="250" ht="15.7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</row>
    <row r="251" ht="15.7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</row>
    <row r="252" ht="15.7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</row>
    <row r="253" ht="15.7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</row>
    <row r="254" ht="15.7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</row>
    <row r="255" ht="15.7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</row>
    <row r="256" ht="15.7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</row>
    <row r="257" ht="15.7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</row>
    <row r="258" ht="15.7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</row>
    <row r="259" ht="15.7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</row>
    <row r="260" ht="15.7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</row>
    <row r="261" ht="15.7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</row>
    <row r="262" ht="15.7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</row>
    <row r="263" ht="15.7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</row>
    <row r="264" ht="15.7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</row>
    <row r="265" ht="15.7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</row>
    <row r="266" ht="15.7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</row>
    <row r="267" ht="15.7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</row>
    <row r="268" ht="15.7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</row>
    <row r="269" ht="15.7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</row>
    <row r="270" ht="15.7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</row>
    <row r="271" ht="15.7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</row>
    <row r="272" ht="15.7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</row>
    <row r="273" ht="15.7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</row>
    <row r="274" ht="15.7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</row>
    <row r="275" ht="15.7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</row>
    <row r="276" ht="15.7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</row>
    <row r="277" ht="15.7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</row>
    <row r="278" ht="15.7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</row>
    <row r="279" ht="15.7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</row>
    <row r="280" ht="15.7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</row>
    <row r="281" ht="15.7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</row>
    <row r="282" ht="15.7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</row>
    <row r="283" ht="15.7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</row>
    <row r="284" ht="15.7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</row>
    <row r="285" ht="15.7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</row>
    <row r="286" ht="15.7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</row>
    <row r="287" ht="15.7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</row>
    <row r="288" ht="15.7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</row>
    <row r="289" ht="15.7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</row>
    <row r="290" ht="15.7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</row>
    <row r="291" ht="15.7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</row>
    <row r="292" ht="15.7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</row>
    <row r="293" ht="15.7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</row>
    <row r="294" ht="15.7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</row>
    <row r="295" ht="15.7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</row>
    <row r="296" ht="15.7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</row>
    <row r="297" ht="15.7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</row>
    <row r="298" ht="15.7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</row>
    <row r="299" ht="15.7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</row>
    <row r="300" ht="15.7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</row>
    <row r="301" ht="15.7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</row>
    <row r="302" ht="15.7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</row>
    <row r="303" ht="15.7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</row>
    <row r="304" ht="15.7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</row>
    <row r="305" ht="15.7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</row>
    <row r="306" ht="15.7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</row>
    <row r="307" ht="15.7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</row>
    <row r="308" ht="15.7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</row>
    <row r="309" ht="15.7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</row>
    <row r="310" ht="15.7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</row>
    <row r="311" ht="15.7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</row>
    <row r="312" ht="15.7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</row>
    <row r="313" ht="15.7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</row>
    <row r="314" ht="15.7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</row>
    <row r="315" ht="15.7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</row>
    <row r="316" ht="15.7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</row>
    <row r="317" ht="15.7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</row>
    <row r="318" ht="15.7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</row>
    <row r="319" ht="15.7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</row>
    <row r="320" ht="15.7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</row>
    <row r="321" ht="15.7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</row>
    <row r="322" ht="15.7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</row>
    <row r="323" ht="15.7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</row>
    <row r="324" ht="15.7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</row>
    <row r="325" ht="15.7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</row>
    <row r="326" ht="15.7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</row>
    <row r="327" ht="15.7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</row>
    <row r="328" ht="15.7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</row>
    <row r="329" ht="15.7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</row>
    <row r="330" ht="15.7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</row>
    <row r="331" ht="15.7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</row>
    <row r="332" ht="15.7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</row>
    <row r="333" ht="15.7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</row>
    <row r="334" ht="15.7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</row>
    <row r="335" ht="15.7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</row>
    <row r="336" ht="15.7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</row>
    <row r="337" ht="15.7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</row>
    <row r="338" ht="15.7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</row>
    <row r="339" ht="15.7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</row>
    <row r="340" ht="15.7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</row>
    <row r="341" ht="15.7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</row>
    <row r="342" ht="15.7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</row>
    <row r="343" ht="15.7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</row>
    <row r="344" ht="15.7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</row>
    <row r="345" ht="15.7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</row>
    <row r="346" ht="15.7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</row>
    <row r="347" ht="15.7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</row>
    <row r="348" ht="15.7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</row>
    <row r="349" ht="15.7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</row>
    <row r="350" ht="15.7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</row>
    <row r="351" ht="15.7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</row>
    <row r="352" ht="15.7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</row>
    <row r="353" ht="15.7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</row>
    <row r="354" ht="15.7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</row>
    <row r="355" ht="15.7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</row>
    <row r="356" ht="15.7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</row>
    <row r="357" ht="15.7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</row>
    <row r="358" ht="15.7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</row>
    <row r="359" ht="15.7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</row>
    <row r="360" ht="15.7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</row>
    <row r="361" ht="15.7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</row>
    <row r="362" ht="15.7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</row>
    <row r="363" ht="15.7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</row>
    <row r="364" ht="15.7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</row>
    <row r="365" ht="15.7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</row>
    <row r="366" ht="15.7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</row>
    <row r="367" ht="15.7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</row>
    <row r="368" ht="15.7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</row>
    <row r="369" ht="15.7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</row>
    <row r="370" ht="15.7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</row>
    <row r="371" ht="15.7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</row>
    <row r="372" ht="15.7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</row>
    <row r="373" ht="15.7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</row>
    <row r="374" ht="15.7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</row>
    <row r="375" ht="15.7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</row>
    <row r="376" ht="15.7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</row>
    <row r="377" ht="15.7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</row>
    <row r="378" ht="15.7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</row>
    <row r="379" ht="15.7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</row>
    <row r="380" ht="15.7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</row>
    <row r="381" ht="15.7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</row>
    <row r="382" ht="15.7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</row>
    <row r="383" ht="15.7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</row>
    <row r="384" ht="15.7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</row>
    <row r="385" ht="15.7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</row>
    <row r="386" ht="15.7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</row>
    <row r="387" ht="15.7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</row>
    <row r="388" ht="15.7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</row>
    <row r="389" ht="15.7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</row>
    <row r="390" ht="15.7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</row>
    <row r="391" ht="15.7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</row>
    <row r="392" ht="15.7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</row>
    <row r="393" ht="15.7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</row>
    <row r="394" ht="15.7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</row>
    <row r="395" ht="15.7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</row>
    <row r="396" ht="15.7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</row>
    <row r="397" ht="15.7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</row>
    <row r="398" ht="15.7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</row>
    <row r="399" ht="15.7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</row>
    <row r="400" ht="15.7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</row>
    <row r="401" ht="15.7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</row>
    <row r="402" ht="15.7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</row>
    <row r="403" ht="15.7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</row>
    <row r="404" ht="15.7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</row>
    <row r="405" ht="15.7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</row>
    <row r="406" ht="15.7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</row>
    <row r="407" ht="15.7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</row>
    <row r="408" ht="15.7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</row>
    <row r="409" ht="15.7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</row>
    <row r="410" ht="15.7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</row>
    <row r="411" ht="15.7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</row>
    <row r="412" ht="15.7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</row>
    <row r="413" ht="15.7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</row>
    <row r="414" ht="15.7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</row>
    <row r="415" ht="15.7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</row>
    <row r="416" ht="15.7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</row>
    <row r="417" ht="15.7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</row>
    <row r="418" ht="15.7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</row>
    <row r="419" ht="15.7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</row>
    <row r="420" ht="15.7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</row>
    <row r="421" ht="15.7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</row>
    <row r="422" ht="15.7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</row>
    <row r="423" ht="15.7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</row>
    <row r="424" ht="15.7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</row>
    <row r="425" ht="15.7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</row>
    <row r="426" ht="15.7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</row>
    <row r="427" ht="15.7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</row>
    <row r="428" ht="15.7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</row>
    <row r="429" ht="15.7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</row>
    <row r="430" ht="15.7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</row>
    <row r="431" ht="15.7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</row>
    <row r="432" ht="15.7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</row>
    <row r="433" ht="15.7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</row>
    <row r="434" ht="15.7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</row>
    <row r="435" ht="15.7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</row>
    <row r="436" ht="15.7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</row>
    <row r="437" ht="15.7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</row>
    <row r="438" ht="15.7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</row>
    <row r="439" ht="15.7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</row>
    <row r="440" ht="15.7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</row>
    <row r="441" ht="15.7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</row>
    <row r="442" ht="15.7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</row>
    <row r="443" ht="15.7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</row>
    <row r="444" ht="15.7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</row>
    <row r="445" ht="15.7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</row>
    <row r="446" ht="15.7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</row>
    <row r="447" ht="15.7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</row>
    <row r="448" ht="15.7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</row>
    <row r="449" ht="15.7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</row>
    <row r="450" ht="15.7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</row>
    <row r="451" ht="15.7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</row>
    <row r="452" ht="15.7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</row>
    <row r="453" ht="15.7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</row>
    <row r="454" ht="15.7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</row>
    <row r="455" ht="15.7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</row>
    <row r="456" ht="15.7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</row>
    <row r="457" ht="15.7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</row>
    <row r="458" ht="15.7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</row>
    <row r="459" ht="15.7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</row>
    <row r="460" ht="15.7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</row>
    <row r="461" ht="15.7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</row>
    <row r="462" ht="15.7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</row>
    <row r="463" ht="15.7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</row>
    <row r="464" ht="15.7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</row>
    <row r="465" ht="15.7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</row>
    <row r="466" ht="15.7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</row>
    <row r="467" ht="15.7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</row>
    <row r="468" ht="15.7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</row>
    <row r="469" ht="15.7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</row>
    <row r="470" ht="15.7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</row>
    <row r="471" ht="15.7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</row>
    <row r="472" ht="15.7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</row>
    <row r="473" ht="15.7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</row>
    <row r="474" ht="15.7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</row>
    <row r="475" ht="15.7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</row>
    <row r="476" ht="15.7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</row>
    <row r="477" ht="15.7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</row>
    <row r="478" ht="15.7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</row>
    <row r="479" ht="15.7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</row>
    <row r="480" ht="15.7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</row>
    <row r="481" ht="15.7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</row>
    <row r="482" ht="15.7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</row>
    <row r="483" ht="15.7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</row>
    <row r="484" ht="15.7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</row>
    <row r="485" ht="15.7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</row>
    <row r="486" ht="15.7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</row>
    <row r="487" ht="15.7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</row>
    <row r="488" ht="15.7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</row>
    <row r="489" ht="15.7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</row>
    <row r="490" ht="15.7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</row>
    <row r="491" ht="15.7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</row>
    <row r="492" ht="15.7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</row>
    <row r="493" ht="15.7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</row>
    <row r="494" ht="15.7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</row>
    <row r="495" ht="15.7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</row>
    <row r="496" ht="15.7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</row>
    <row r="497" ht="15.7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</row>
    <row r="498" ht="15.7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</row>
    <row r="499" ht="15.7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</row>
    <row r="500" ht="15.7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</row>
    <row r="501" ht="15.7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</row>
    <row r="502" ht="15.7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</row>
    <row r="503" ht="15.7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</row>
    <row r="504" ht="15.7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</row>
    <row r="505" ht="15.7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</row>
    <row r="506" ht="15.7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</row>
    <row r="507" ht="15.7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</row>
    <row r="508" ht="15.7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</row>
    <row r="509" ht="15.7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</row>
    <row r="510" ht="15.7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</row>
    <row r="511" ht="15.7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</row>
    <row r="512" ht="15.7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</row>
    <row r="513" ht="15.7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</row>
    <row r="514" ht="15.7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</row>
    <row r="515" ht="15.7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</row>
    <row r="516" ht="15.7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</row>
    <row r="517" ht="15.7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</row>
    <row r="518" ht="15.7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</row>
    <row r="519" ht="15.7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</row>
    <row r="520" ht="15.7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</row>
    <row r="521" ht="15.7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</row>
    <row r="522" ht="15.7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</row>
    <row r="523" ht="15.7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</row>
    <row r="524" ht="15.7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</row>
    <row r="525" ht="15.7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</row>
    <row r="526" ht="15.7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</row>
    <row r="527" ht="15.7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</row>
    <row r="528" ht="15.7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</row>
    <row r="529" ht="15.7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</row>
    <row r="530" ht="15.7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</row>
    <row r="531" ht="15.7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</row>
    <row r="532" ht="15.7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</row>
    <row r="533" ht="15.7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</row>
    <row r="534" ht="15.7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</row>
    <row r="535" ht="15.7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</row>
    <row r="536" ht="15.7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</row>
    <row r="537" ht="15.7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</row>
    <row r="538" ht="15.7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</row>
    <row r="539" ht="15.7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</row>
    <row r="540" ht="15.7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</row>
    <row r="541" ht="15.7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</row>
    <row r="542" ht="15.7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</row>
    <row r="543" ht="15.7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</row>
    <row r="544" ht="15.7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</row>
    <row r="545" ht="15.7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</row>
    <row r="546" ht="15.7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</row>
    <row r="547" ht="15.7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</row>
    <row r="548" ht="15.7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</row>
    <row r="549" ht="15.7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</row>
    <row r="550" ht="15.7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</row>
    <row r="551" ht="15.7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</row>
    <row r="552" ht="15.7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</row>
    <row r="553" ht="15.7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</row>
    <row r="554" ht="15.7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</row>
    <row r="555" ht="15.7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</row>
    <row r="556" ht="15.7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</row>
    <row r="557" ht="15.7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</row>
    <row r="558" ht="15.7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</row>
    <row r="559" ht="15.7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</row>
    <row r="560" ht="15.7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</row>
    <row r="561" ht="15.7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</row>
    <row r="562" ht="15.7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</row>
    <row r="563" ht="15.7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</row>
    <row r="564" ht="15.7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</row>
    <row r="565" ht="15.7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</row>
    <row r="566" ht="15.7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</row>
    <row r="567" ht="15.7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</row>
    <row r="568" ht="15.7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</row>
    <row r="569" ht="15.7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</row>
    <row r="570" ht="15.7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</row>
    <row r="571" ht="15.7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</row>
    <row r="572" ht="15.7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</row>
    <row r="573" ht="15.7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</row>
    <row r="574" ht="15.7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</row>
    <row r="575" ht="15.7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</row>
    <row r="576" ht="15.7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</row>
    <row r="577" ht="15.7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</row>
    <row r="578" ht="15.7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</row>
    <row r="579" ht="15.7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</row>
    <row r="580" ht="15.7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</row>
    <row r="581" ht="15.7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</row>
    <row r="582" ht="15.7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</row>
    <row r="583" ht="15.7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</row>
    <row r="584" ht="15.7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</row>
    <row r="585" ht="15.7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</row>
    <row r="586" ht="15.7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</row>
    <row r="587" ht="15.7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</row>
    <row r="588" ht="15.7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</row>
    <row r="589" ht="15.7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</row>
    <row r="590" ht="15.7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</row>
    <row r="591" ht="15.7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</row>
    <row r="592" ht="15.7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</row>
    <row r="593" ht="15.7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</row>
    <row r="594" ht="15.7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</row>
    <row r="595" ht="15.7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</row>
    <row r="596" ht="15.7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</row>
    <row r="597" ht="15.7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</row>
    <row r="598" ht="15.7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</row>
    <row r="599" ht="15.7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</row>
    <row r="600" ht="15.7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</row>
    <row r="601" ht="15.7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</row>
    <row r="602" ht="15.7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</row>
    <row r="603" ht="15.7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</row>
    <row r="604" ht="15.7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</row>
    <row r="605" ht="15.7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</row>
    <row r="606" ht="15.7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</row>
    <row r="607" ht="15.7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</row>
    <row r="608" ht="15.7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</row>
    <row r="609" ht="15.7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</row>
    <row r="610" ht="15.7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</row>
    <row r="611" ht="15.7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</row>
    <row r="612" ht="15.7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</row>
    <row r="613" ht="15.7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</row>
    <row r="614" ht="15.7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</row>
    <row r="615" ht="15.7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</row>
    <row r="616" ht="15.7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</row>
    <row r="617" ht="15.7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</row>
    <row r="618" ht="15.7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</row>
    <row r="619" ht="15.7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</row>
    <row r="620" ht="15.7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</row>
    <row r="621" ht="15.7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</row>
    <row r="622" ht="15.7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</row>
    <row r="623" ht="15.7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</row>
    <row r="624" ht="15.7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</row>
    <row r="625" ht="15.7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</row>
    <row r="626" ht="15.7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</row>
    <row r="627" ht="15.7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</row>
    <row r="628" ht="15.7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</row>
    <row r="629" ht="15.7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</row>
    <row r="630" ht="15.7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</row>
    <row r="631" ht="15.7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</row>
    <row r="632" ht="15.7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</row>
    <row r="633" ht="15.7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</row>
    <row r="634" ht="15.7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</row>
    <row r="635" ht="15.7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</row>
    <row r="636" ht="15.7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</row>
    <row r="637" ht="15.7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</row>
    <row r="638" ht="15.7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</row>
    <row r="639" ht="15.7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</row>
    <row r="640" ht="15.7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</row>
    <row r="641" ht="15.7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</row>
    <row r="642" ht="15.7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</row>
    <row r="643" ht="15.7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</row>
    <row r="644" ht="15.7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</row>
    <row r="645" ht="15.7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</row>
    <row r="646" ht="15.7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</row>
    <row r="647" ht="15.7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</row>
    <row r="648" ht="15.7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</row>
    <row r="649" ht="15.7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</row>
    <row r="650" ht="15.7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</row>
    <row r="651" ht="15.7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</row>
    <row r="652" ht="15.7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</row>
    <row r="653" ht="15.7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</row>
    <row r="654" ht="15.7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</row>
    <row r="655" ht="15.7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</row>
    <row r="656" ht="15.7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</row>
    <row r="657" ht="15.7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</row>
    <row r="658" ht="15.7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</row>
    <row r="659" ht="15.7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</row>
    <row r="660" ht="15.7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</row>
    <row r="661" ht="15.7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</row>
    <row r="662" ht="15.7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</row>
    <row r="663" ht="15.7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</row>
    <row r="664" ht="15.7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</row>
    <row r="665" ht="15.7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</row>
    <row r="666" ht="15.7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</row>
    <row r="667" ht="15.7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</row>
    <row r="668" ht="15.7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</row>
    <row r="669" ht="15.7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</row>
    <row r="670" ht="15.7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</row>
    <row r="671" ht="15.7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</row>
    <row r="672" ht="15.7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</row>
    <row r="673" ht="15.7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</row>
    <row r="674" ht="15.7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</row>
    <row r="675" ht="15.7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</row>
    <row r="676" ht="15.7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</row>
    <row r="677" ht="15.7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</row>
    <row r="678" ht="15.7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</row>
    <row r="679" ht="15.7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</row>
    <row r="680" ht="15.7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</row>
    <row r="681" ht="15.7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</row>
    <row r="682" ht="15.7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</row>
    <row r="683" ht="15.7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</row>
    <row r="684" ht="15.7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</row>
    <row r="685" ht="15.7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</row>
    <row r="686" ht="15.7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</row>
    <row r="687" ht="15.7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</row>
    <row r="688" ht="15.7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</row>
    <row r="689" ht="15.7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</row>
    <row r="690" ht="15.7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</row>
    <row r="691" ht="15.7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</row>
    <row r="692" ht="15.7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</row>
    <row r="693" ht="15.7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</row>
    <row r="694" ht="15.7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</row>
    <row r="695" ht="15.7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</row>
    <row r="696" ht="15.7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</row>
    <row r="697" ht="15.7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</row>
    <row r="698" ht="15.7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</row>
    <row r="699" ht="15.7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</row>
    <row r="700" ht="15.7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</row>
    <row r="701" ht="15.7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</row>
    <row r="702" ht="15.7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</row>
    <row r="703" ht="15.7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</row>
    <row r="704" ht="15.7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</row>
    <row r="705" ht="15.7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</row>
    <row r="706" ht="15.7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</row>
    <row r="707" ht="15.7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</row>
    <row r="708" ht="15.7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</row>
    <row r="709" ht="15.7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</row>
    <row r="710" ht="15.7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</row>
    <row r="711" ht="15.7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</row>
    <row r="712" ht="15.7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</row>
    <row r="713" ht="15.7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</row>
    <row r="714" ht="15.7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</row>
    <row r="715" ht="15.7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</row>
    <row r="716" ht="15.7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</row>
    <row r="717" ht="15.7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</row>
    <row r="718" ht="15.7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</row>
    <row r="719" ht="15.7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</row>
    <row r="720" ht="15.7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</row>
    <row r="721" ht="15.7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</row>
    <row r="722" ht="15.7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</row>
    <row r="723" ht="15.7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</row>
    <row r="724" ht="15.7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</row>
    <row r="725" ht="15.7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</row>
    <row r="726" ht="15.7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</row>
    <row r="727" ht="15.7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</row>
    <row r="728" ht="15.7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</row>
    <row r="729" ht="15.7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</row>
    <row r="730" ht="15.7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</row>
    <row r="731" ht="15.7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</row>
    <row r="732" ht="15.7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</row>
    <row r="733" ht="15.7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</row>
    <row r="734" ht="15.7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</row>
    <row r="735" ht="15.7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</row>
    <row r="736" ht="15.7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</row>
    <row r="737" ht="15.7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</row>
    <row r="738" ht="15.7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</row>
    <row r="739" ht="15.7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</row>
    <row r="740" ht="15.7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</row>
    <row r="741" ht="15.7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</row>
    <row r="742" ht="15.7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</row>
    <row r="743" ht="15.7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</row>
    <row r="744" ht="15.7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</row>
    <row r="745" ht="15.7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</row>
    <row r="746" ht="15.7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</row>
    <row r="747" ht="15.7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</row>
    <row r="748" ht="15.7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</row>
    <row r="749" ht="15.7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</row>
    <row r="750" ht="15.7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</row>
    <row r="751" ht="15.7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</row>
    <row r="752" ht="15.7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</row>
    <row r="753" ht="15.7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</row>
    <row r="754" ht="15.7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</row>
    <row r="755" ht="15.7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</row>
    <row r="756" ht="15.7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</row>
    <row r="757" ht="15.7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</row>
    <row r="758" ht="15.7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</row>
    <row r="759" ht="15.7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</row>
    <row r="760" ht="15.7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</row>
    <row r="761" ht="15.7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</row>
    <row r="762" ht="15.7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</row>
    <row r="763" ht="15.7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</row>
    <row r="764" ht="15.7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</row>
    <row r="765" ht="15.7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</row>
    <row r="766" ht="15.7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</row>
    <row r="767" ht="15.7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</row>
    <row r="768" ht="15.7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</row>
    <row r="769" ht="15.7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</row>
    <row r="770" ht="15.7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</row>
    <row r="771" ht="15.7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</row>
    <row r="772" ht="15.7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</row>
    <row r="773" ht="15.7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</row>
    <row r="774" ht="15.7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</row>
    <row r="775" ht="15.7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</row>
    <row r="776" ht="15.7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</row>
    <row r="777" ht="15.7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</row>
    <row r="778" ht="15.7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</row>
    <row r="779" ht="15.7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</row>
    <row r="780" ht="15.7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</row>
    <row r="781" ht="15.7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</row>
    <row r="782" ht="15.7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</row>
    <row r="783" ht="15.7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</row>
    <row r="784" ht="15.7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</row>
    <row r="785" ht="15.7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</row>
    <row r="786" ht="15.7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</row>
    <row r="787" ht="15.7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</row>
    <row r="788" ht="15.7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</row>
    <row r="789" ht="15.7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</row>
    <row r="790" ht="15.7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</row>
    <row r="791" ht="15.7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</row>
    <row r="792" ht="15.7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</row>
    <row r="793" ht="15.7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</row>
    <row r="794" ht="15.7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</row>
    <row r="795" ht="15.7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</row>
    <row r="796" ht="15.7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</row>
    <row r="797" ht="15.7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</row>
    <row r="798" ht="15.7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</row>
    <row r="799" ht="15.7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</row>
    <row r="800" ht="15.7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</row>
    <row r="801" ht="15.7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</row>
    <row r="802" ht="15.7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</row>
    <row r="803" ht="15.7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</row>
    <row r="804" ht="15.7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</row>
    <row r="805" ht="15.7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</row>
    <row r="806" ht="15.7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</row>
    <row r="807" ht="15.7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</row>
    <row r="808" ht="15.7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</row>
    <row r="809" ht="15.7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</row>
    <row r="810" ht="15.7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</row>
    <row r="811" ht="15.7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</row>
    <row r="812" ht="15.7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</row>
    <row r="813" ht="15.7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</row>
    <row r="814" ht="15.7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</row>
    <row r="815" ht="15.7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</row>
    <row r="816" ht="15.7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</row>
    <row r="817" ht="15.7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</row>
    <row r="818" ht="15.7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</row>
    <row r="819" ht="15.7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</row>
    <row r="820" ht="15.7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</row>
    <row r="821" ht="15.7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</row>
    <row r="822" ht="15.7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</row>
    <row r="823" ht="15.7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</row>
    <row r="824" ht="15.7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</row>
    <row r="825" ht="15.7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</row>
    <row r="826" ht="15.7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</row>
    <row r="827" ht="15.7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</row>
    <row r="828" ht="15.7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</row>
    <row r="829" ht="15.7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</row>
    <row r="830" ht="15.7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</row>
    <row r="831" ht="15.7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</row>
    <row r="832" ht="15.7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</row>
    <row r="833" ht="15.7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</row>
    <row r="834" ht="15.7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</row>
    <row r="835" ht="15.7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</row>
    <row r="836" ht="15.7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</row>
    <row r="837" ht="15.7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</row>
    <row r="838" ht="15.7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</row>
    <row r="839" ht="15.7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</row>
    <row r="840" ht="15.7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</row>
    <row r="841" ht="15.7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</row>
    <row r="842" ht="15.7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</row>
    <row r="843" ht="15.7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</row>
    <row r="844" ht="15.7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</row>
    <row r="845" ht="15.7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</row>
    <row r="846" ht="15.7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</row>
    <row r="847" ht="15.7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</row>
    <row r="848" ht="15.7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</row>
    <row r="849" ht="15.7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</row>
    <row r="850" ht="15.7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</row>
    <row r="851" ht="15.7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</row>
    <row r="852" ht="15.7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</row>
    <row r="853" ht="15.7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</row>
    <row r="854" ht="15.7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</row>
    <row r="855" ht="15.7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</row>
    <row r="856" ht="15.7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</row>
    <row r="857" ht="15.7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</row>
    <row r="858" ht="15.7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</row>
    <row r="859" ht="15.7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</row>
    <row r="860" ht="15.7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</row>
    <row r="861" ht="15.7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</row>
    <row r="862" ht="15.7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</row>
    <row r="863" ht="15.7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</row>
    <row r="864" ht="15.7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</row>
    <row r="865" ht="15.7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</row>
    <row r="866" ht="15.7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</row>
    <row r="867" ht="15.7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</row>
    <row r="868" ht="15.7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</row>
    <row r="869" ht="15.7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</row>
    <row r="870" ht="15.7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</row>
    <row r="871" ht="15.7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</row>
    <row r="872" ht="15.7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</row>
    <row r="873" ht="15.7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</row>
    <row r="874" ht="15.7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</row>
    <row r="875" ht="15.7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</row>
    <row r="876" ht="15.7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</row>
    <row r="877" ht="15.7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</row>
    <row r="878" ht="15.7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</row>
    <row r="879" ht="15.7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</row>
    <row r="880" ht="15.7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</row>
    <row r="881" ht="15.7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</row>
    <row r="882" ht="15.7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</row>
    <row r="883" ht="15.7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</row>
    <row r="884" ht="15.7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</row>
    <row r="885" ht="15.7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</row>
    <row r="886" ht="15.7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</row>
    <row r="887" ht="15.7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</row>
    <row r="888" ht="15.7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</row>
    <row r="889" ht="15.7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</row>
    <row r="890" ht="15.7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</row>
    <row r="891" ht="15.7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</row>
    <row r="892" ht="15.7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</row>
    <row r="893" ht="15.7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</row>
    <row r="894" ht="15.7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</row>
    <row r="895" ht="15.7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</row>
    <row r="896" ht="15.7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</row>
    <row r="897" ht="15.7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</row>
    <row r="898" ht="15.7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</row>
    <row r="899" ht="15.7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</row>
    <row r="900" ht="15.7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</row>
    <row r="901" ht="15.7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</row>
    <row r="902" ht="15.7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</row>
    <row r="903" ht="15.7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</row>
    <row r="904" ht="15.7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</row>
    <row r="905" ht="15.7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</row>
    <row r="906" ht="15.7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</row>
    <row r="907" ht="15.7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</row>
    <row r="908" ht="15.7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</row>
    <row r="909" ht="15.7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</row>
    <row r="910" ht="15.7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</row>
    <row r="911" ht="15.7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</row>
    <row r="912" ht="15.7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</row>
    <row r="913" ht="15.7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</row>
    <row r="914" ht="15.7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</row>
    <row r="915" ht="15.7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</row>
    <row r="916" ht="15.7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</row>
    <row r="917" ht="15.7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</row>
    <row r="918" ht="15.7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</row>
    <row r="919" ht="15.7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</row>
    <row r="920" ht="15.7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</row>
    <row r="921" ht="15.7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</row>
    <row r="922" ht="15.7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</row>
    <row r="923" ht="15.7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</row>
    <row r="924" ht="15.7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</row>
    <row r="925" ht="15.7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</row>
    <row r="926" ht="15.7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</row>
    <row r="927" ht="15.7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</row>
    <row r="928" ht="15.7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</row>
    <row r="929" ht="15.7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</row>
    <row r="930" ht="15.7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</row>
    <row r="931" ht="15.7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</row>
    <row r="932" ht="15.7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</row>
    <row r="933" ht="15.7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</row>
    <row r="934" ht="15.7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</row>
    <row r="935" ht="15.7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</row>
    <row r="936" ht="15.7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</row>
    <row r="937" ht="15.7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</row>
    <row r="938" ht="15.7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</row>
    <row r="939" ht="15.7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</row>
    <row r="940" ht="15.7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</row>
    <row r="941" ht="15.7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</row>
    <row r="942" ht="15.7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</row>
    <row r="943" ht="15.7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</row>
    <row r="944" ht="15.7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</row>
    <row r="945" ht="15.7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</row>
    <row r="946" ht="15.7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</row>
    <row r="947" ht="15.7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</row>
    <row r="948" ht="15.7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</row>
    <row r="949" ht="15.7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</row>
    <row r="950" ht="15.7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</row>
    <row r="951" ht="15.7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</row>
    <row r="952" ht="15.7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</row>
    <row r="953" ht="15.7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</row>
    <row r="954" ht="15.7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</row>
    <row r="955" ht="15.7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</row>
    <row r="956" ht="15.7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</row>
    <row r="957" ht="15.7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</row>
    <row r="958" ht="15.7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</row>
    <row r="959" ht="15.7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</row>
    <row r="960" ht="15.7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</row>
    <row r="961" ht="15.7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</row>
    <row r="962" ht="15.7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</row>
    <row r="963" ht="15.7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</row>
    <row r="964" ht="15.7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</row>
    <row r="965" ht="15.7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</row>
    <row r="966" ht="15.7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</row>
    <row r="967" ht="15.7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</row>
    <row r="968" ht="15.7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</row>
    <row r="969" ht="15.7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</row>
    <row r="970" ht="15.7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</row>
    <row r="971" ht="15.7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</row>
    <row r="972" ht="15.7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</row>
    <row r="973" ht="15.7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</row>
    <row r="974" ht="15.7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</row>
    <row r="975" ht="15.7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</row>
    <row r="976" ht="15.7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</row>
    <row r="977" ht="15.7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</row>
    <row r="978" ht="15.7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</row>
    <row r="979" ht="15.7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</row>
    <row r="980" ht="15.7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</row>
    <row r="981" ht="15.7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</row>
    <row r="982" ht="15.7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</row>
    <row r="983" ht="15.7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</row>
    <row r="984" ht="15.7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</row>
    <row r="985" ht="15.7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</row>
    <row r="986" ht="15.7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</row>
    <row r="987" ht="15.7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</row>
    <row r="988" ht="15.7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</row>
    <row r="989" ht="15.7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</row>
    <row r="990" ht="15.7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</row>
    <row r="991" ht="15.7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</row>
    <row r="992" ht="15.7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</row>
    <row r="993" ht="15.7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</row>
    <row r="994" ht="15.7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</row>
    <row r="995" ht="15.7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</row>
    <row r="996" ht="15.7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</row>
    <row r="997" ht="15.7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</row>
    <row r="998" ht="15.7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</row>
    <row r="999" ht="15.7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</row>
    <row r="1000" ht="15.7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</row>
  </sheetData>
  <mergeCells count="22">
    <mergeCell ref="P6:R15"/>
    <mergeCell ref="T6:V29"/>
    <mergeCell ref="P19:R29"/>
    <mergeCell ref="F18:G18"/>
    <mergeCell ref="F19:H29"/>
    <mergeCell ref="B23:D23"/>
    <mergeCell ref="B24:D24"/>
    <mergeCell ref="B25:D25"/>
    <mergeCell ref="B26:D26"/>
    <mergeCell ref="B27:D27"/>
    <mergeCell ref="B28:D28"/>
    <mergeCell ref="B33:K43"/>
    <mergeCell ref="M33:V43"/>
    <mergeCell ref="J27:N27"/>
    <mergeCell ref="J28:N28"/>
    <mergeCell ref="B5:C5"/>
    <mergeCell ref="F5:G5"/>
    <mergeCell ref="J5:M5"/>
    <mergeCell ref="P5:Q5"/>
    <mergeCell ref="B6:D22"/>
    <mergeCell ref="F6:H15"/>
    <mergeCell ref="J6:N26"/>
  </mergeCells>
  <printOptions horizontalCentered="1" verticalCentered="1"/>
  <pageMargins bottom="1.0862693258233234" footer="0.0" header="0.0" left="1.7299844818667742" right="1.0862693258233234" top="1.870797172251279"/>
  <pageSetup paperSize="8" scale="7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3.75"/>
  </cols>
  <sheetData>
    <row r="1">
      <c r="A1" s="106" t="s">
        <v>42</v>
      </c>
    </row>
    <row r="2">
      <c r="B2" s="107" t="s">
        <v>43</v>
      </c>
      <c r="C2" s="2"/>
      <c r="D2" s="2"/>
      <c r="E2" s="3"/>
    </row>
    <row r="3">
      <c r="B3" s="108" t="s">
        <v>44</v>
      </c>
      <c r="C3" s="108" t="s">
        <v>45</v>
      </c>
      <c r="D3" s="108" t="s">
        <v>46</v>
      </c>
      <c r="E3" s="108" t="s">
        <v>46</v>
      </c>
    </row>
    <row r="4">
      <c r="B4" s="109" t="s">
        <v>47</v>
      </c>
      <c r="C4" s="110"/>
      <c r="D4" s="110"/>
      <c r="E4" s="111"/>
    </row>
    <row r="5">
      <c r="B5" s="109" t="s">
        <v>48</v>
      </c>
      <c r="C5" s="110"/>
      <c r="D5" s="110"/>
      <c r="E5" s="111"/>
    </row>
    <row r="6">
      <c r="B6" s="109" t="s">
        <v>49</v>
      </c>
      <c r="C6" s="110"/>
      <c r="D6" s="110"/>
      <c r="E6" s="111"/>
    </row>
    <row r="7">
      <c r="B7" s="109" t="s">
        <v>50</v>
      </c>
      <c r="C7" s="110"/>
      <c r="D7" s="110"/>
      <c r="E7" s="111"/>
    </row>
    <row r="8">
      <c r="B8" s="109" t="s">
        <v>51</v>
      </c>
      <c r="C8" s="110"/>
      <c r="D8" s="110"/>
      <c r="E8" s="111"/>
    </row>
    <row r="9">
      <c r="B9" s="109" t="s">
        <v>52</v>
      </c>
      <c r="C9" s="110"/>
      <c r="D9" s="110"/>
      <c r="E9" s="111"/>
    </row>
    <row r="10">
      <c r="B10" s="109" t="s">
        <v>53</v>
      </c>
      <c r="C10" s="110"/>
      <c r="D10" s="110"/>
      <c r="E10" s="111"/>
    </row>
    <row r="11">
      <c r="B11" s="109" t="s">
        <v>54</v>
      </c>
      <c r="C11" s="110"/>
      <c r="D11" s="110"/>
      <c r="E11" s="111"/>
    </row>
    <row r="12">
      <c r="B12" s="109" t="s">
        <v>55</v>
      </c>
      <c r="C12" s="110"/>
      <c r="D12" s="110"/>
      <c r="E12" s="111"/>
    </row>
    <row r="13">
      <c r="B13" s="108" t="s">
        <v>56</v>
      </c>
      <c r="C13" s="112"/>
      <c r="D13" s="2"/>
      <c r="E13" s="3"/>
    </row>
    <row r="15">
      <c r="B15" s="107" t="s">
        <v>57</v>
      </c>
      <c r="C15" s="2"/>
      <c r="D15" s="2"/>
      <c r="E15" s="3"/>
    </row>
    <row r="16">
      <c r="B16" s="108" t="s">
        <v>44</v>
      </c>
      <c r="C16" s="108" t="s">
        <v>45</v>
      </c>
      <c r="D16" s="108" t="s">
        <v>46</v>
      </c>
      <c r="E16" s="108" t="s">
        <v>46</v>
      </c>
    </row>
    <row r="17">
      <c r="B17" s="113" t="s">
        <v>58</v>
      </c>
      <c r="C17" s="110"/>
      <c r="D17" s="110"/>
      <c r="E17" s="111"/>
    </row>
    <row r="18">
      <c r="B18" s="109" t="s">
        <v>59</v>
      </c>
      <c r="C18" s="110"/>
      <c r="D18" s="110"/>
      <c r="E18" s="111"/>
    </row>
    <row r="19">
      <c r="B19" s="109" t="s">
        <v>60</v>
      </c>
      <c r="C19" s="110"/>
      <c r="D19" s="110"/>
      <c r="E19" s="111"/>
    </row>
    <row r="20">
      <c r="B20" s="109" t="s">
        <v>61</v>
      </c>
      <c r="C20" s="110"/>
      <c r="D20" s="110"/>
      <c r="E20" s="114">
        <v>2.0E9</v>
      </c>
    </row>
    <row r="21">
      <c r="B21" s="108" t="s">
        <v>56</v>
      </c>
      <c r="C21" s="112">
        <f>SUM(E17:E20)</f>
        <v>2000000000</v>
      </c>
      <c r="D21" s="2"/>
      <c r="E21" s="3"/>
    </row>
    <row r="23">
      <c r="B23" s="108" t="s">
        <v>62</v>
      </c>
      <c r="C23" s="115">
        <f>C21+C13</f>
        <v>2000000000</v>
      </c>
      <c r="D23" s="2"/>
      <c r="E23" s="3"/>
    </row>
    <row r="25">
      <c r="B25" s="107" t="s">
        <v>63</v>
      </c>
      <c r="C25" s="2"/>
      <c r="D25" s="2"/>
      <c r="E25" s="3"/>
    </row>
    <row r="26">
      <c r="B26" s="108" t="s">
        <v>44</v>
      </c>
      <c r="C26" s="108" t="s">
        <v>45</v>
      </c>
      <c r="D26" s="108" t="s">
        <v>46</v>
      </c>
      <c r="E26" s="108" t="s">
        <v>46</v>
      </c>
    </row>
    <row r="27">
      <c r="B27" s="113" t="s">
        <v>64</v>
      </c>
      <c r="C27" s="110"/>
      <c r="D27" s="110"/>
      <c r="E27" s="111"/>
    </row>
    <row r="28">
      <c r="B28" s="109" t="s">
        <v>65</v>
      </c>
      <c r="C28" s="110"/>
      <c r="D28" s="110"/>
      <c r="E28" s="111"/>
    </row>
    <row r="29">
      <c r="B29" s="109" t="s">
        <v>61</v>
      </c>
      <c r="C29" s="110"/>
      <c r="D29" s="110"/>
      <c r="E29" s="111"/>
    </row>
    <row r="30">
      <c r="B30" s="109" t="s">
        <v>66</v>
      </c>
      <c r="C30" s="110"/>
      <c r="D30" s="110"/>
      <c r="E30" s="111"/>
    </row>
    <row r="31">
      <c r="B31" s="109" t="s">
        <v>67</v>
      </c>
      <c r="C31" s="110"/>
      <c r="D31" s="110"/>
      <c r="E31" s="111"/>
    </row>
    <row r="32">
      <c r="B32" s="109" t="s">
        <v>68</v>
      </c>
      <c r="C32" s="110"/>
      <c r="D32" s="110"/>
      <c r="E32" s="114">
        <v>1.5E7</v>
      </c>
    </row>
    <row r="33">
      <c r="B33" s="108" t="s">
        <v>56</v>
      </c>
      <c r="C33" s="116">
        <f>E32</f>
        <v>15000000</v>
      </c>
      <c r="D33" s="2"/>
      <c r="E33" s="3"/>
    </row>
  </sheetData>
  <mergeCells count="7">
    <mergeCell ref="B2:E2"/>
    <mergeCell ref="C13:E13"/>
    <mergeCell ref="B15:E15"/>
    <mergeCell ref="C21:E21"/>
    <mergeCell ref="C23:E23"/>
    <mergeCell ref="B25:E25"/>
    <mergeCell ref="C33:E3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107" t="s">
        <v>43</v>
      </c>
      <c r="C2" s="2"/>
      <c r="D2" s="2"/>
      <c r="E2" s="3"/>
    </row>
    <row r="3">
      <c r="B3" s="108" t="s">
        <v>44</v>
      </c>
      <c r="C3" s="108" t="s">
        <v>45</v>
      </c>
      <c r="D3" s="108" t="s">
        <v>46</v>
      </c>
      <c r="E3" s="108" t="s">
        <v>46</v>
      </c>
    </row>
    <row r="4">
      <c r="B4" s="109" t="s">
        <v>69</v>
      </c>
      <c r="C4" s="110"/>
      <c r="D4" s="110"/>
      <c r="E4" s="111"/>
    </row>
    <row r="5">
      <c r="B5" s="109" t="s">
        <v>70</v>
      </c>
      <c r="C5" s="110"/>
      <c r="D5" s="110"/>
      <c r="E5" s="111"/>
    </row>
    <row r="6">
      <c r="B6" s="109" t="s">
        <v>71</v>
      </c>
      <c r="C6" s="110"/>
      <c r="D6" s="110"/>
      <c r="E6" s="111"/>
    </row>
    <row r="7">
      <c r="B7" s="109" t="s">
        <v>72</v>
      </c>
      <c r="C7" s="110"/>
      <c r="D7" s="110"/>
      <c r="E7" s="111"/>
    </row>
    <row r="8">
      <c r="B8" s="109" t="s">
        <v>73</v>
      </c>
      <c r="C8" s="110"/>
      <c r="D8" s="110"/>
      <c r="E8" s="111"/>
    </row>
    <row r="9">
      <c r="B9" s="109" t="s">
        <v>74</v>
      </c>
      <c r="C9" s="110"/>
      <c r="D9" s="110"/>
      <c r="E9" s="111"/>
    </row>
    <row r="10">
      <c r="B10" s="109" t="s">
        <v>75</v>
      </c>
      <c r="C10" s="110"/>
      <c r="D10" s="110"/>
      <c r="E10" s="111"/>
    </row>
    <row r="11">
      <c r="B11" s="109" t="s">
        <v>76</v>
      </c>
      <c r="C11" s="110"/>
      <c r="D11" s="110"/>
      <c r="E11" s="111"/>
    </row>
    <row r="12">
      <c r="B12" s="108" t="s">
        <v>56</v>
      </c>
      <c r="C12" s="112">
        <f>SUM(E4:E11)</f>
        <v>0</v>
      </c>
      <c r="D12" s="2"/>
      <c r="E12" s="3"/>
    </row>
    <row r="14">
      <c r="B14" s="107" t="s">
        <v>57</v>
      </c>
      <c r="C14" s="2"/>
      <c r="D14" s="2"/>
      <c r="E14" s="3"/>
    </row>
    <row r="15">
      <c r="B15" s="108" t="s">
        <v>44</v>
      </c>
      <c r="C15" s="108" t="s">
        <v>45</v>
      </c>
      <c r="D15" s="108" t="s">
        <v>46</v>
      </c>
      <c r="E15" s="108" t="s">
        <v>46</v>
      </c>
    </row>
    <row r="16">
      <c r="B16" s="113" t="s">
        <v>58</v>
      </c>
      <c r="C16" s="110"/>
      <c r="D16" s="110"/>
      <c r="E16" s="111"/>
    </row>
    <row r="17">
      <c r="B17" s="109" t="s">
        <v>59</v>
      </c>
      <c r="C17" s="110"/>
      <c r="D17" s="110"/>
      <c r="E17" s="111"/>
    </row>
    <row r="18">
      <c r="B18" s="109" t="s">
        <v>61</v>
      </c>
      <c r="C18" s="110"/>
      <c r="D18" s="110"/>
      <c r="E18" s="114">
        <v>1.0E9</v>
      </c>
    </row>
    <row r="19">
      <c r="B19" s="108" t="s">
        <v>56</v>
      </c>
      <c r="C19" s="112">
        <f>SUM(E16:E18)</f>
        <v>1000000000</v>
      </c>
      <c r="D19" s="2"/>
      <c r="E19" s="3"/>
    </row>
    <row r="21">
      <c r="B21" s="108" t="s">
        <v>62</v>
      </c>
      <c r="C21" s="115">
        <f>C19+C12</f>
        <v>1000000000</v>
      </c>
      <c r="D21" s="2"/>
      <c r="E21" s="3"/>
    </row>
    <row r="23">
      <c r="B23" s="107" t="s">
        <v>63</v>
      </c>
      <c r="C23" s="2"/>
      <c r="D23" s="2"/>
      <c r="E23" s="3"/>
    </row>
    <row r="24">
      <c r="B24" s="108" t="s">
        <v>44</v>
      </c>
      <c r="C24" s="108" t="s">
        <v>45</v>
      </c>
      <c r="D24" s="108" t="s">
        <v>46</v>
      </c>
      <c r="E24" s="108" t="s">
        <v>46</v>
      </c>
    </row>
    <row r="25">
      <c r="B25" s="113" t="s">
        <v>64</v>
      </c>
      <c r="C25" s="110"/>
      <c r="D25" s="110"/>
      <c r="E25" s="111"/>
    </row>
    <row r="26">
      <c r="B26" s="109" t="s">
        <v>65</v>
      </c>
      <c r="C26" s="110"/>
      <c r="D26" s="110"/>
      <c r="E26" s="111"/>
    </row>
    <row r="27">
      <c r="B27" s="109" t="s">
        <v>61</v>
      </c>
      <c r="C27" s="110"/>
      <c r="D27" s="110"/>
      <c r="E27" s="111"/>
    </row>
    <row r="28">
      <c r="B28" s="109" t="s">
        <v>66</v>
      </c>
      <c r="C28" s="110"/>
      <c r="D28" s="110"/>
      <c r="E28" s="111"/>
    </row>
    <row r="29">
      <c r="B29" s="109" t="s">
        <v>67</v>
      </c>
      <c r="C29" s="110"/>
      <c r="D29" s="110"/>
      <c r="E29" s="111"/>
    </row>
    <row r="30">
      <c r="B30" s="109" t="s">
        <v>68</v>
      </c>
      <c r="C30" s="110"/>
      <c r="D30" s="110"/>
      <c r="E30" s="114">
        <v>1.5E7</v>
      </c>
    </row>
    <row r="31">
      <c r="B31" s="108" t="s">
        <v>56</v>
      </c>
      <c r="C31" s="116">
        <f>E30</f>
        <v>15000000</v>
      </c>
      <c r="D31" s="2"/>
      <c r="E31" s="3"/>
    </row>
  </sheetData>
  <mergeCells count="7">
    <mergeCell ref="B2:E2"/>
    <mergeCell ref="C12:E12"/>
    <mergeCell ref="B14:E14"/>
    <mergeCell ref="C19:E19"/>
    <mergeCell ref="C21:E21"/>
    <mergeCell ref="B23:E23"/>
    <mergeCell ref="C31:E3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2" max="2" width="25.5"/>
  </cols>
  <sheetData>
    <row r="2">
      <c r="B2" s="107" t="s">
        <v>43</v>
      </c>
      <c r="C2" s="2"/>
      <c r="D2" s="2"/>
      <c r="E2" s="3"/>
    </row>
    <row r="3">
      <c r="B3" s="108" t="s">
        <v>44</v>
      </c>
      <c r="C3" s="108" t="s">
        <v>45</v>
      </c>
      <c r="D3" s="108" t="s">
        <v>46</v>
      </c>
      <c r="E3" s="108" t="s">
        <v>46</v>
      </c>
    </row>
    <row r="4">
      <c r="B4" s="109" t="s">
        <v>77</v>
      </c>
      <c r="C4" s="110"/>
      <c r="D4" s="110"/>
      <c r="E4" s="111"/>
    </row>
    <row r="5">
      <c r="B5" s="109" t="s">
        <v>78</v>
      </c>
      <c r="C5" s="110"/>
      <c r="D5" s="110"/>
      <c r="E5" s="111"/>
    </row>
    <row r="6">
      <c r="B6" s="109" t="s">
        <v>79</v>
      </c>
      <c r="C6" s="110"/>
      <c r="D6" s="110"/>
      <c r="E6" s="111"/>
    </row>
    <row r="7">
      <c r="B7" s="109" t="s">
        <v>72</v>
      </c>
      <c r="C7" s="110"/>
      <c r="D7" s="110"/>
      <c r="E7" s="111"/>
    </row>
    <row r="8">
      <c r="B8" s="109" t="s">
        <v>80</v>
      </c>
      <c r="C8" s="110"/>
      <c r="D8" s="110"/>
      <c r="E8" s="111"/>
    </row>
    <row r="9">
      <c r="B9" s="109" t="s">
        <v>81</v>
      </c>
      <c r="C9" s="110"/>
      <c r="D9" s="110"/>
      <c r="E9" s="111"/>
    </row>
    <row r="10">
      <c r="B10" s="109" t="s">
        <v>82</v>
      </c>
      <c r="C10" s="110"/>
      <c r="D10" s="110"/>
      <c r="E10" s="111"/>
    </row>
    <row r="11">
      <c r="B11" s="109" t="s">
        <v>83</v>
      </c>
      <c r="C11" s="110"/>
      <c r="D11" s="110"/>
      <c r="E11" s="111"/>
    </row>
    <row r="12">
      <c r="B12" s="109" t="s">
        <v>76</v>
      </c>
      <c r="C12" s="110"/>
      <c r="D12" s="110"/>
      <c r="E12" s="111"/>
    </row>
    <row r="13">
      <c r="B13" s="109" t="s">
        <v>84</v>
      </c>
      <c r="C13" s="110"/>
      <c r="D13" s="110"/>
      <c r="E13" s="111"/>
    </row>
    <row r="14">
      <c r="B14" s="108" t="s">
        <v>56</v>
      </c>
      <c r="C14" s="112">
        <f>SUM(E4:E13)</f>
        <v>0</v>
      </c>
      <c r="D14" s="2"/>
      <c r="E14" s="3"/>
    </row>
    <row r="16">
      <c r="B16" s="107" t="s">
        <v>57</v>
      </c>
      <c r="C16" s="2"/>
      <c r="D16" s="2"/>
      <c r="E16" s="3"/>
    </row>
    <row r="17">
      <c r="B17" s="108" t="s">
        <v>44</v>
      </c>
      <c r="C17" s="108" t="s">
        <v>45</v>
      </c>
      <c r="D17" s="108" t="s">
        <v>46</v>
      </c>
      <c r="E17" s="108" t="s">
        <v>46</v>
      </c>
    </row>
    <row r="18">
      <c r="B18" s="113" t="s">
        <v>58</v>
      </c>
      <c r="C18" s="110"/>
      <c r="D18" s="110"/>
      <c r="E18" s="111"/>
    </row>
    <row r="19">
      <c r="B19" s="109" t="s">
        <v>59</v>
      </c>
      <c r="C19" s="110"/>
      <c r="D19" s="110"/>
      <c r="E19" s="111"/>
    </row>
    <row r="20">
      <c r="B20" s="109" t="s">
        <v>61</v>
      </c>
      <c r="C20" s="110"/>
      <c r="D20" s="110"/>
      <c r="E20" s="114">
        <v>1.0E9</v>
      </c>
    </row>
    <row r="21">
      <c r="B21" s="108" t="s">
        <v>56</v>
      </c>
      <c r="C21" s="112">
        <f>SUM(E18:E20)</f>
        <v>1000000000</v>
      </c>
      <c r="D21" s="2"/>
      <c r="E21" s="3"/>
    </row>
    <row r="23">
      <c r="B23" s="108" t="s">
        <v>62</v>
      </c>
      <c r="C23" s="115">
        <f>C21+C14</f>
        <v>1000000000</v>
      </c>
      <c r="D23" s="2"/>
      <c r="E23" s="3"/>
    </row>
    <row r="25">
      <c r="B25" s="107" t="s">
        <v>63</v>
      </c>
      <c r="C25" s="2"/>
      <c r="D25" s="2"/>
      <c r="E25" s="3"/>
    </row>
    <row r="26">
      <c r="B26" s="108" t="s">
        <v>44</v>
      </c>
      <c r="C26" s="108" t="s">
        <v>45</v>
      </c>
      <c r="D26" s="108" t="s">
        <v>46</v>
      </c>
      <c r="E26" s="108" t="s">
        <v>46</v>
      </c>
    </row>
    <row r="27">
      <c r="B27" s="113" t="s">
        <v>64</v>
      </c>
      <c r="C27" s="110"/>
      <c r="D27" s="110"/>
      <c r="E27" s="111"/>
    </row>
    <row r="28">
      <c r="B28" s="109" t="s">
        <v>65</v>
      </c>
      <c r="C28" s="110"/>
      <c r="D28" s="110"/>
      <c r="E28" s="111"/>
    </row>
    <row r="29">
      <c r="B29" s="109" t="s">
        <v>61</v>
      </c>
      <c r="C29" s="110"/>
      <c r="D29" s="110"/>
      <c r="E29" s="111"/>
    </row>
    <row r="30">
      <c r="B30" s="109" t="s">
        <v>66</v>
      </c>
      <c r="C30" s="110"/>
      <c r="D30" s="110"/>
      <c r="E30" s="111"/>
    </row>
    <row r="31">
      <c r="B31" s="109" t="s">
        <v>67</v>
      </c>
      <c r="C31" s="110"/>
      <c r="D31" s="110"/>
      <c r="E31" s="111"/>
    </row>
    <row r="32">
      <c r="B32" s="109" t="s">
        <v>68</v>
      </c>
      <c r="C32" s="110"/>
      <c r="D32" s="110"/>
      <c r="E32" s="114">
        <v>1.5E7</v>
      </c>
    </row>
    <row r="33">
      <c r="B33" s="108" t="s">
        <v>56</v>
      </c>
      <c r="C33" s="116">
        <f>E32</f>
        <v>15000000</v>
      </c>
      <c r="D33" s="2"/>
      <c r="E33" s="3"/>
    </row>
  </sheetData>
  <mergeCells count="7">
    <mergeCell ref="B2:E2"/>
    <mergeCell ref="C14:E14"/>
    <mergeCell ref="B16:E16"/>
    <mergeCell ref="C21:E21"/>
    <mergeCell ref="C23:E23"/>
    <mergeCell ref="B25:E25"/>
    <mergeCell ref="C33:E3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3" max="3" width="15.63"/>
    <col customWidth="1" min="4" max="4" width="14.38"/>
    <col customWidth="1" min="5" max="5" width="14.88"/>
    <col customWidth="1" min="6" max="6" width="20.63"/>
    <col customWidth="1" min="7" max="7" width="15.38"/>
    <col customWidth="1" min="8" max="8" width="5.88"/>
    <col customWidth="1" min="10" max="10" width="19.88"/>
    <col customWidth="1" min="12" max="12" width="6.5"/>
  </cols>
  <sheetData>
    <row r="2">
      <c r="B2" s="109" t="s">
        <v>85</v>
      </c>
      <c r="C2" s="114">
        <v>41300.0</v>
      </c>
      <c r="F2" s="109" t="s">
        <v>85</v>
      </c>
      <c r="G2" s="114">
        <v>79519.0</v>
      </c>
      <c r="J2" s="109" t="s">
        <v>85</v>
      </c>
      <c r="K2" s="114">
        <v>38300.0</v>
      </c>
    </row>
    <row r="3">
      <c r="B3" s="117" t="s">
        <v>86</v>
      </c>
      <c r="F3" s="117" t="s">
        <v>87</v>
      </c>
      <c r="J3" s="117" t="s">
        <v>88</v>
      </c>
    </row>
    <row r="4">
      <c r="B4" s="107" t="s">
        <v>89</v>
      </c>
      <c r="C4" s="2"/>
      <c r="D4" s="3"/>
      <c r="F4" s="107" t="s">
        <v>90</v>
      </c>
      <c r="G4" s="2"/>
      <c r="H4" s="3"/>
      <c r="J4" s="107" t="s">
        <v>91</v>
      </c>
      <c r="K4" s="2"/>
      <c r="L4" s="3"/>
    </row>
    <row r="5">
      <c r="B5" s="118"/>
      <c r="C5" s="119"/>
      <c r="D5" s="8"/>
      <c r="F5" s="118"/>
      <c r="G5" s="119"/>
      <c r="H5" s="8"/>
      <c r="J5" s="118"/>
      <c r="K5" s="119"/>
      <c r="L5" s="8"/>
    </row>
    <row r="6">
      <c r="B6" s="57"/>
      <c r="D6" s="53"/>
      <c r="F6" s="57"/>
      <c r="H6" s="53"/>
      <c r="J6" s="57"/>
      <c r="L6" s="53"/>
    </row>
    <row r="7">
      <c r="B7" s="57"/>
      <c r="D7" s="53"/>
      <c r="F7" s="57"/>
      <c r="H7" s="53"/>
      <c r="J7" s="57"/>
      <c r="L7" s="53"/>
    </row>
    <row r="8">
      <c r="B8" s="57"/>
      <c r="D8" s="53"/>
      <c r="F8" s="57"/>
      <c r="H8" s="53"/>
      <c r="J8" s="57"/>
      <c r="L8" s="53"/>
    </row>
    <row r="9">
      <c r="B9" s="57"/>
      <c r="D9" s="53"/>
      <c r="F9" s="57"/>
      <c r="H9" s="53"/>
      <c r="J9" s="57"/>
      <c r="L9" s="53"/>
    </row>
    <row r="10">
      <c r="B10" s="57"/>
      <c r="D10" s="53"/>
      <c r="F10" s="57"/>
      <c r="H10" s="53"/>
      <c r="J10" s="57"/>
      <c r="L10" s="53"/>
    </row>
    <row r="11">
      <c r="B11" s="57"/>
      <c r="D11" s="53"/>
      <c r="F11" s="57"/>
      <c r="H11" s="53"/>
      <c r="J11" s="57"/>
      <c r="L11" s="53"/>
    </row>
    <row r="12">
      <c r="B12" s="57"/>
      <c r="D12" s="53"/>
      <c r="F12" s="57"/>
      <c r="H12" s="53"/>
      <c r="J12" s="57"/>
      <c r="L12" s="53"/>
    </row>
    <row r="13">
      <c r="B13" s="57"/>
      <c r="D13" s="53"/>
      <c r="F13" s="57"/>
      <c r="H13" s="53"/>
      <c r="J13" s="57"/>
      <c r="L13" s="53"/>
    </row>
    <row r="14">
      <c r="B14" s="57"/>
      <c r="D14" s="53"/>
      <c r="F14" s="57"/>
      <c r="H14" s="53"/>
      <c r="J14" s="57"/>
      <c r="L14" s="53"/>
    </row>
    <row r="15">
      <c r="B15" s="57"/>
      <c r="D15" s="53"/>
      <c r="F15" s="57"/>
      <c r="H15" s="53"/>
      <c r="J15" s="57"/>
      <c r="L15" s="53"/>
    </row>
    <row r="16">
      <c r="B16" s="57"/>
      <c r="D16" s="53"/>
      <c r="F16" s="57"/>
      <c r="H16" s="53"/>
      <c r="J16" s="57"/>
      <c r="L16" s="53"/>
    </row>
    <row r="17">
      <c r="B17" s="10"/>
      <c r="C17" s="61"/>
      <c r="D17" s="11"/>
      <c r="F17" s="10"/>
      <c r="G17" s="61"/>
      <c r="H17" s="11"/>
      <c r="J17" s="10"/>
      <c r="K17" s="61"/>
      <c r="L17" s="11"/>
    </row>
    <row r="18">
      <c r="B18" s="109" t="s">
        <v>92</v>
      </c>
      <c r="C18" s="120">
        <v>1.62</v>
      </c>
      <c r="D18" s="3"/>
      <c r="F18" s="109" t="s">
        <v>92</v>
      </c>
      <c r="G18" s="120">
        <v>1.44</v>
      </c>
      <c r="H18" s="3"/>
      <c r="J18" s="109" t="s">
        <v>92</v>
      </c>
      <c r="K18" s="120">
        <v>1.89</v>
      </c>
      <c r="L18" s="3"/>
    </row>
    <row r="19">
      <c r="B19" s="109" t="s">
        <v>93</v>
      </c>
      <c r="C19" s="120">
        <v>30000.0</v>
      </c>
      <c r="D19" s="3"/>
      <c r="F19" s="109" t="s">
        <v>93</v>
      </c>
      <c r="G19" s="120">
        <v>30000.0</v>
      </c>
      <c r="H19" s="3"/>
      <c r="J19" s="109" t="s">
        <v>93</v>
      </c>
      <c r="K19" s="120">
        <v>15000.0</v>
      </c>
      <c r="L19" s="3"/>
    </row>
    <row r="20">
      <c r="B20" s="109" t="s">
        <v>94</v>
      </c>
      <c r="C20" s="121">
        <f>C19/C18</f>
        <v>18518.51852</v>
      </c>
      <c r="D20" s="3"/>
      <c r="F20" s="109" t="s">
        <v>94</v>
      </c>
      <c r="G20" s="121">
        <f>G19/G18</f>
        <v>20833.33333</v>
      </c>
      <c r="H20" s="3"/>
      <c r="J20" s="109" t="s">
        <v>94</v>
      </c>
      <c r="K20" s="121">
        <f>K19/K18</f>
        <v>7936.507937</v>
      </c>
      <c r="L20" s="3"/>
    </row>
    <row r="21">
      <c r="B21" s="109" t="s">
        <v>95</v>
      </c>
      <c r="C21" s="112">
        <f>C18*C2</f>
        <v>66906</v>
      </c>
      <c r="D21" s="3"/>
      <c r="F21" s="109" t="s">
        <v>95</v>
      </c>
      <c r="G21" s="112">
        <f>G18*G2</f>
        <v>114507.36</v>
      </c>
      <c r="H21" s="3"/>
      <c r="J21" s="109" t="s">
        <v>95</v>
      </c>
      <c r="K21" s="112">
        <f>K18*K2</f>
        <v>72387</v>
      </c>
      <c r="L21" s="3"/>
    </row>
    <row r="22">
      <c r="B22" s="109" t="s">
        <v>96</v>
      </c>
      <c r="C22" s="5">
        <f>C20*0.8</f>
        <v>14814.81481</v>
      </c>
      <c r="D22" s="3"/>
      <c r="F22" s="109" t="s">
        <v>96</v>
      </c>
      <c r="G22" s="5">
        <f>G20*0.8</f>
        <v>16666.66667</v>
      </c>
      <c r="H22" s="3"/>
      <c r="J22" s="109" t="s">
        <v>96</v>
      </c>
      <c r="K22" s="5">
        <f>K20*0.8</f>
        <v>6349.206349</v>
      </c>
      <c r="L22" s="3"/>
    </row>
    <row r="23">
      <c r="B23" s="109" t="s">
        <v>97</v>
      </c>
      <c r="C23" s="112">
        <f>C22*C21</f>
        <v>991200000</v>
      </c>
      <c r="D23" s="3"/>
      <c r="F23" s="109" t="s">
        <v>97</v>
      </c>
      <c r="G23" s="112">
        <f>G22*G21</f>
        <v>1908456000</v>
      </c>
      <c r="H23" s="3"/>
      <c r="J23" s="109" t="s">
        <v>97</v>
      </c>
      <c r="K23" s="112">
        <f>K22*K21</f>
        <v>459600000</v>
      </c>
      <c r="L23" s="3"/>
    </row>
    <row r="26">
      <c r="B26" s="5" t="s">
        <v>98</v>
      </c>
      <c r="C26" s="3"/>
      <c r="D26" s="111">
        <f>AVERAGE(C2,G2,K2)</f>
        <v>53039.66667</v>
      </c>
      <c r="F26" s="122" t="s">
        <v>99</v>
      </c>
      <c r="G26" s="2"/>
      <c r="H26" s="2"/>
      <c r="I26" s="2"/>
      <c r="J26" s="3"/>
    </row>
    <row r="27">
      <c r="B27" s="5" t="s">
        <v>100</v>
      </c>
      <c r="C27" s="3"/>
      <c r="D27" s="109">
        <v>374803.2</v>
      </c>
      <c r="F27" s="109" t="s">
        <v>101</v>
      </c>
      <c r="G27" s="109" t="s">
        <v>102</v>
      </c>
      <c r="H27" s="5" t="s">
        <v>103</v>
      </c>
      <c r="I27" s="3"/>
      <c r="J27" s="109" t="s">
        <v>104</v>
      </c>
    </row>
    <row r="28">
      <c r="B28" s="5" t="s">
        <v>105</v>
      </c>
      <c r="C28" s="3"/>
      <c r="D28" s="109">
        <v>442065.6</v>
      </c>
      <c r="F28" s="109">
        <v>1.0</v>
      </c>
      <c r="G28" s="111">
        <f>C23</f>
        <v>991200000</v>
      </c>
      <c r="H28" s="112">
        <f t="shared" ref="H28:H30" si="1">G28*12</f>
        <v>11894400000</v>
      </c>
      <c r="I28" s="3"/>
      <c r="J28" s="123">
        <f t="shared" ref="J28:J31" si="2">H28/$H$31</f>
        <v>0.2950653359</v>
      </c>
    </row>
    <row r="29">
      <c r="B29" s="5" t="s">
        <v>106</v>
      </c>
      <c r="C29" s="3"/>
      <c r="D29" s="110">
        <f>D28-D27</f>
        <v>67262.4</v>
      </c>
      <c r="F29" s="109">
        <v>2.0</v>
      </c>
      <c r="G29" s="111">
        <f>G23</f>
        <v>1908456000</v>
      </c>
      <c r="H29" s="112">
        <f t="shared" si="1"/>
        <v>22901472000</v>
      </c>
      <c r="I29" s="3"/>
      <c r="J29" s="123">
        <f t="shared" si="2"/>
        <v>0.5681186548</v>
      </c>
    </row>
    <row r="30">
      <c r="B30" s="5" t="s">
        <v>107</v>
      </c>
      <c r="C30" s="3"/>
      <c r="D30" s="111">
        <f>D29*D26</f>
        <v>3567575275</v>
      </c>
      <c r="F30" s="109">
        <v>3.0</v>
      </c>
      <c r="G30" s="111">
        <f>K23</f>
        <v>459600000</v>
      </c>
      <c r="H30" s="112">
        <f t="shared" si="1"/>
        <v>5515200000</v>
      </c>
      <c r="I30" s="3"/>
      <c r="J30" s="123">
        <f t="shared" si="2"/>
        <v>0.1368160093</v>
      </c>
    </row>
    <row r="31">
      <c r="B31" s="5" t="s">
        <v>108</v>
      </c>
      <c r="C31" s="3"/>
      <c r="D31" s="111">
        <f>SUM(C23+G23+K23)</f>
        <v>3359256000</v>
      </c>
      <c r="F31" s="109" t="s">
        <v>56</v>
      </c>
      <c r="G31" s="111">
        <f t="shared" ref="G31:H31" si="3">SUM(G28:G30)</f>
        <v>3359256000</v>
      </c>
      <c r="H31" s="112">
        <f t="shared" si="3"/>
        <v>40311072000</v>
      </c>
      <c r="I31" s="3"/>
      <c r="J31" s="123">
        <f t="shared" si="2"/>
        <v>1</v>
      </c>
    </row>
    <row r="32">
      <c r="B32" s="5" t="s">
        <v>109</v>
      </c>
      <c r="C32" s="3"/>
      <c r="D32" s="111">
        <f>D31*12</f>
        <v>40311072000</v>
      </c>
    </row>
    <row r="33">
      <c r="B33" s="5" t="s">
        <v>110</v>
      </c>
      <c r="C33" s="3"/>
      <c r="D33" s="124">
        <v>0.1</v>
      </c>
    </row>
    <row r="35">
      <c r="A35" s="125" t="s">
        <v>111</v>
      </c>
      <c r="B35" s="126">
        <v>0.0</v>
      </c>
      <c r="C35" s="126">
        <v>1.0</v>
      </c>
      <c r="D35" s="126">
        <v>2.0</v>
      </c>
      <c r="E35" s="126">
        <v>3.0</v>
      </c>
      <c r="F35" s="126">
        <v>4.0</v>
      </c>
      <c r="G35" s="126">
        <v>5.0</v>
      </c>
      <c r="H35" s="127"/>
      <c r="I35" s="127"/>
      <c r="J35" s="128">
        <f>K22+G22+C22</f>
        <v>37830.68783</v>
      </c>
      <c r="K35" s="127"/>
      <c r="L35" s="127"/>
      <c r="M35" s="127"/>
      <c r="N35" s="127"/>
      <c r="O35" s="127"/>
      <c r="P35" s="127"/>
      <c r="Q35" s="127"/>
      <c r="R35" s="127"/>
      <c r="S35" s="127"/>
    </row>
    <row r="36">
      <c r="A36" s="129" t="s">
        <v>112</v>
      </c>
      <c r="B36" s="2"/>
      <c r="C36" s="2"/>
      <c r="D36" s="2"/>
      <c r="E36" s="2"/>
      <c r="F36" s="2"/>
      <c r="G36" s="3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</row>
    <row r="37">
      <c r="A37" s="131" t="s">
        <v>113</v>
      </c>
      <c r="B37" s="132">
        <v>0.0</v>
      </c>
      <c r="C37" s="133">
        <f>D32</f>
        <v>40311072000</v>
      </c>
      <c r="D37" s="133">
        <f t="shared" ref="D37:G37" si="4">C37*D33+C37</f>
        <v>44342179200</v>
      </c>
      <c r="E37" s="133">
        <f t="shared" si="4"/>
        <v>44342179200</v>
      </c>
      <c r="F37" s="133">
        <f t="shared" si="4"/>
        <v>44342179200</v>
      </c>
      <c r="G37" s="133">
        <f t="shared" si="4"/>
        <v>44342179200</v>
      </c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</row>
    <row r="38">
      <c r="A38" s="134" t="s">
        <v>114</v>
      </c>
      <c r="B38" s="132">
        <v>0.0</v>
      </c>
      <c r="C38" s="135">
        <f t="shared" ref="C38:G38" si="5">C37</f>
        <v>40311072000</v>
      </c>
      <c r="D38" s="135">
        <f t="shared" si="5"/>
        <v>44342179200</v>
      </c>
      <c r="E38" s="135">
        <f t="shared" si="5"/>
        <v>44342179200</v>
      </c>
      <c r="F38" s="135">
        <f t="shared" si="5"/>
        <v>44342179200</v>
      </c>
      <c r="G38" s="135">
        <f t="shared" si="5"/>
        <v>44342179200</v>
      </c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</row>
  </sheetData>
  <mergeCells count="39">
    <mergeCell ref="J5:L17"/>
    <mergeCell ref="K18:L18"/>
    <mergeCell ref="K20:L20"/>
    <mergeCell ref="K21:L21"/>
    <mergeCell ref="K22:L22"/>
    <mergeCell ref="K23:L23"/>
    <mergeCell ref="B4:D4"/>
    <mergeCell ref="F4:H4"/>
    <mergeCell ref="J4:L4"/>
    <mergeCell ref="B5:D17"/>
    <mergeCell ref="F5:H17"/>
    <mergeCell ref="C18:D18"/>
    <mergeCell ref="K19:L19"/>
    <mergeCell ref="H27:I27"/>
    <mergeCell ref="H28:I28"/>
    <mergeCell ref="H29:I29"/>
    <mergeCell ref="H30:I30"/>
    <mergeCell ref="H31:I31"/>
    <mergeCell ref="G18:H18"/>
    <mergeCell ref="G19:H19"/>
    <mergeCell ref="G20:H20"/>
    <mergeCell ref="G21:H21"/>
    <mergeCell ref="G22:H22"/>
    <mergeCell ref="G23:H23"/>
    <mergeCell ref="F26:J26"/>
    <mergeCell ref="B28:C28"/>
    <mergeCell ref="B29:C29"/>
    <mergeCell ref="B30:C30"/>
    <mergeCell ref="B31:C31"/>
    <mergeCell ref="B32:C32"/>
    <mergeCell ref="B33:C33"/>
    <mergeCell ref="A36:G36"/>
    <mergeCell ref="C19:D19"/>
    <mergeCell ref="C20:D20"/>
    <mergeCell ref="C21:D21"/>
    <mergeCell ref="C22:D22"/>
    <mergeCell ref="C23:D23"/>
    <mergeCell ref="B26:C26"/>
    <mergeCell ref="B27:C27"/>
  </mergeCells>
  <hyperlinks>
    <hyperlink r:id="rId1" ref="B3"/>
    <hyperlink r:id="rId2" ref="F3"/>
    <hyperlink r:id="rId3" ref="J3"/>
  </hyperlinks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75"/>
  <cols>
    <col customWidth="1" min="4" max="4" width="15.38"/>
    <col customWidth="1" min="5" max="5" width="17.13"/>
  </cols>
  <sheetData>
    <row r="2">
      <c r="B2" s="5" t="s">
        <v>115</v>
      </c>
      <c r="C2" s="2"/>
      <c r="D2" s="2"/>
      <c r="E2" s="3"/>
    </row>
    <row r="3">
      <c r="B3" s="109" t="s">
        <v>116</v>
      </c>
      <c r="C3" s="109" t="s">
        <v>117</v>
      </c>
      <c r="D3" s="109" t="s">
        <v>118</v>
      </c>
      <c r="E3" s="109" t="s">
        <v>119</v>
      </c>
    </row>
    <row r="4">
      <c r="B4" s="110"/>
      <c r="C4" s="110"/>
      <c r="D4" s="110"/>
      <c r="E4" s="136"/>
    </row>
    <row r="5">
      <c r="B5" s="110"/>
      <c r="C5" s="110"/>
      <c r="D5" s="110"/>
      <c r="E5" s="136"/>
    </row>
    <row r="6">
      <c r="B6" s="110"/>
      <c r="C6" s="110"/>
      <c r="D6" s="110"/>
      <c r="E6" s="136"/>
    </row>
    <row r="7">
      <c r="B7" s="110"/>
      <c r="C7" s="110"/>
      <c r="D7" s="110"/>
      <c r="E7" s="137">
        <v>14500.0</v>
      </c>
    </row>
    <row r="8">
      <c r="B8" s="110"/>
      <c r="C8" s="110"/>
      <c r="D8" s="110"/>
      <c r="E8" s="136"/>
    </row>
    <row r="9">
      <c r="B9" s="109" t="s">
        <v>120</v>
      </c>
      <c r="C9" s="110"/>
      <c r="D9" s="110"/>
      <c r="E9" s="136">
        <f>SUM(E4:E8)</f>
        <v>14500</v>
      </c>
    </row>
    <row r="10">
      <c r="B10" s="5" t="s">
        <v>121</v>
      </c>
      <c r="C10" s="2"/>
      <c r="D10" s="3"/>
      <c r="E10" s="136">
        <f>E9*'Ingresos - Ventas de los produc'!D29</f>
        <v>975304800</v>
      </c>
    </row>
    <row r="11">
      <c r="B11" s="5" t="s">
        <v>122</v>
      </c>
      <c r="C11" s="2"/>
      <c r="D11" s="3"/>
      <c r="E11" s="136">
        <f>E10*12</f>
        <v>11703657600</v>
      </c>
    </row>
    <row r="12">
      <c r="B12" s="5" t="s">
        <v>123</v>
      </c>
      <c r="C12" s="2"/>
      <c r="D12" s="3"/>
      <c r="E12" s="138">
        <v>0.1</v>
      </c>
    </row>
  </sheetData>
  <mergeCells count="4">
    <mergeCell ref="B2:E2"/>
    <mergeCell ref="B10:D10"/>
    <mergeCell ref="B11:D11"/>
    <mergeCell ref="B12:D1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60000"/>
    <outlinePr summaryBelow="0" summaryRight="0"/>
  </sheetPr>
  <sheetViews>
    <sheetView workbookViewId="0"/>
  </sheetViews>
  <sheetFormatPr customHeight="1" defaultColWidth="12.63" defaultRowHeight="15.75"/>
  <cols>
    <col customWidth="1" min="5" max="5" width="11.13"/>
    <col customWidth="1" min="6" max="6" width="19.0"/>
    <col customWidth="1" min="7" max="7" width="14.0"/>
    <col customWidth="1" min="9" max="9" width="16.25"/>
  </cols>
  <sheetData>
    <row r="2">
      <c r="D2" s="139"/>
      <c r="E2" s="110"/>
      <c r="F2" s="109" t="s">
        <v>124</v>
      </c>
    </row>
    <row r="3">
      <c r="E3" s="109" t="s">
        <v>125</v>
      </c>
      <c r="F3" s="137">
        <v>300.0</v>
      </c>
    </row>
    <row r="4">
      <c r="E4" s="109" t="s">
        <v>102</v>
      </c>
      <c r="F4" s="136">
        <f>F3*30</f>
        <v>9000</v>
      </c>
    </row>
    <row r="5">
      <c r="E5" s="109" t="s">
        <v>126</v>
      </c>
      <c r="F5" s="136">
        <f>F4*228.28</f>
        <v>2054520</v>
      </c>
    </row>
    <row r="7">
      <c r="B7" s="5" t="s">
        <v>127</v>
      </c>
      <c r="C7" s="3"/>
      <c r="E7" s="107" t="s">
        <v>128</v>
      </c>
      <c r="F7" s="2"/>
      <c r="G7" s="3"/>
    </row>
    <row r="8">
      <c r="B8" s="122" t="s">
        <v>129</v>
      </c>
      <c r="C8" s="3"/>
      <c r="E8" s="122" t="s">
        <v>130</v>
      </c>
      <c r="F8" s="2"/>
      <c r="G8" s="3"/>
    </row>
    <row r="9">
      <c r="B9" s="108" t="s">
        <v>131</v>
      </c>
      <c r="C9" s="108" t="s">
        <v>132</v>
      </c>
      <c r="E9" s="108" t="s">
        <v>133</v>
      </c>
      <c r="F9" s="108" t="s">
        <v>134</v>
      </c>
      <c r="G9" s="108" t="s">
        <v>132</v>
      </c>
    </row>
    <row r="10">
      <c r="B10" s="109" t="s">
        <v>135</v>
      </c>
      <c r="C10" s="114">
        <v>4000000.0</v>
      </c>
      <c r="E10" s="109" t="s">
        <v>136</v>
      </c>
      <c r="F10" s="109">
        <v>6.0</v>
      </c>
      <c r="G10" s="136">
        <f t="shared" ref="G10:G16" si="1">F10*$F$5</f>
        <v>12327120</v>
      </c>
    </row>
    <row r="11">
      <c r="B11" s="109" t="s">
        <v>137</v>
      </c>
      <c r="C11" s="114">
        <v>4000000.0</v>
      </c>
      <c r="E11" s="109" t="s">
        <v>59</v>
      </c>
      <c r="F11" s="109">
        <v>3.0</v>
      </c>
      <c r="G11" s="136">
        <f t="shared" si="1"/>
        <v>6163560</v>
      </c>
    </row>
    <row r="12">
      <c r="B12" s="109" t="s">
        <v>138</v>
      </c>
      <c r="C12" s="114">
        <v>4000000.0</v>
      </c>
      <c r="E12" s="109" t="s">
        <v>139</v>
      </c>
      <c r="F12" s="109">
        <v>3.0</v>
      </c>
      <c r="G12" s="136">
        <f t="shared" si="1"/>
        <v>6163560</v>
      </c>
    </row>
    <row r="13">
      <c r="B13" s="109" t="s">
        <v>140</v>
      </c>
      <c r="C13" s="114">
        <v>4000000.0</v>
      </c>
      <c r="E13" s="109" t="s">
        <v>139</v>
      </c>
      <c r="F13" s="109">
        <v>3.0</v>
      </c>
      <c r="G13" s="136">
        <f t="shared" si="1"/>
        <v>6163560</v>
      </c>
      <c r="I13" s="109" t="s">
        <v>56</v>
      </c>
      <c r="J13" s="140">
        <f>C17+G17</f>
        <v>130726000</v>
      </c>
    </row>
    <row r="14">
      <c r="B14" s="109" t="s">
        <v>141</v>
      </c>
      <c r="C14" s="114">
        <v>4000000.0</v>
      </c>
      <c r="E14" s="109" t="s">
        <v>139</v>
      </c>
      <c r="F14" s="109">
        <v>5.0</v>
      </c>
      <c r="G14" s="136">
        <f t="shared" si="1"/>
        <v>10272600</v>
      </c>
    </row>
    <row r="15">
      <c r="B15" s="109" t="s">
        <v>142</v>
      </c>
      <c r="C15" s="114">
        <v>4000000.0</v>
      </c>
      <c r="E15" s="109" t="s">
        <v>139</v>
      </c>
      <c r="F15" s="109">
        <v>20.0</v>
      </c>
      <c r="G15" s="136">
        <f t="shared" si="1"/>
        <v>41090400</v>
      </c>
    </row>
    <row r="16">
      <c r="B16" s="109" t="s">
        <v>143</v>
      </c>
      <c r="C16" s="114">
        <v>4000000.0</v>
      </c>
      <c r="E16" s="109" t="s">
        <v>139</v>
      </c>
      <c r="F16" s="109">
        <v>10.0</v>
      </c>
      <c r="G16" s="136">
        <f t="shared" si="1"/>
        <v>20545200</v>
      </c>
    </row>
    <row r="17">
      <c r="B17" s="109" t="s">
        <v>108</v>
      </c>
      <c r="C17" s="111">
        <f>SUM(C10:C16)</f>
        <v>28000000</v>
      </c>
      <c r="E17" s="5" t="s">
        <v>56</v>
      </c>
      <c r="F17" s="110">
        <f t="shared" ref="F17:G17" si="2">SUM(F10:F16)</f>
        <v>50</v>
      </c>
      <c r="G17" s="136">
        <f t="shared" si="2"/>
        <v>102726000</v>
      </c>
    </row>
  </sheetData>
  <mergeCells count="4">
    <mergeCell ref="B7:C7"/>
    <mergeCell ref="E7:G7"/>
    <mergeCell ref="B8:C8"/>
    <mergeCell ref="E8:G8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83F04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5.5"/>
    <col customWidth="1" min="3" max="3" width="14.88"/>
    <col customWidth="1" min="4" max="6" width="14.13"/>
    <col customWidth="1" min="7" max="9" width="14.88"/>
    <col customWidth="1" min="10" max="13" width="14.13"/>
    <col customWidth="1" min="14" max="14" width="14.88"/>
  </cols>
  <sheetData>
    <row r="3">
      <c r="B3" s="141" t="s">
        <v>144</v>
      </c>
      <c r="C3" s="3"/>
      <c r="E3" s="141" t="s">
        <v>145</v>
      </c>
      <c r="F3" s="3"/>
      <c r="H3" s="141" t="s">
        <v>146</v>
      </c>
      <c r="I3" s="3"/>
      <c r="K3" s="141" t="s">
        <v>113</v>
      </c>
      <c r="L3" s="3"/>
    </row>
    <row r="4">
      <c r="B4" s="108" t="s">
        <v>147</v>
      </c>
      <c r="C4" s="108" t="s">
        <v>46</v>
      </c>
      <c r="E4" s="108" t="s">
        <v>147</v>
      </c>
      <c r="F4" s="108" t="s">
        <v>46</v>
      </c>
      <c r="H4" s="108" t="s">
        <v>147</v>
      </c>
      <c r="I4" s="108" t="s">
        <v>46</v>
      </c>
      <c r="K4" s="108" t="s">
        <v>147</v>
      </c>
      <c r="L4" s="108" t="s">
        <v>46</v>
      </c>
    </row>
    <row r="5">
      <c r="B5" s="109" t="s">
        <v>148</v>
      </c>
      <c r="C5" s="114">
        <f>CeldaRobotizada!C23</f>
        <v>2000000000</v>
      </c>
      <c r="E5" s="109" t="s">
        <v>129</v>
      </c>
      <c r="F5" s="114">
        <f>'Nómina - Año 0'!C17</f>
        <v>28000000</v>
      </c>
      <c r="H5" s="109" t="s">
        <v>148</v>
      </c>
      <c r="I5" s="114">
        <f>CeldaRobotizada!C33</f>
        <v>15000000</v>
      </c>
      <c r="K5" s="109" t="s">
        <v>149</v>
      </c>
      <c r="L5" s="114">
        <v>0.0</v>
      </c>
    </row>
    <row r="6">
      <c r="B6" s="109" t="s">
        <v>150</v>
      </c>
      <c r="C6" s="114">
        <f>Comunicaciones!C21</f>
        <v>1000000000</v>
      </c>
      <c r="E6" s="109" t="s">
        <v>130</v>
      </c>
      <c r="F6" s="114">
        <f>'Nómina - Año 0'!G17</f>
        <v>102726000</v>
      </c>
      <c r="H6" s="109" t="s">
        <v>150</v>
      </c>
      <c r="I6" s="114">
        <f>Comunicaciones!C31</f>
        <v>15000000</v>
      </c>
      <c r="K6" s="109" t="s">
        <v>151</v>
      </c>
      <c r="L6" s="114">
        <v>0.0</v>
      </c>
    </row>
    <row r="7">
      <c r="B7" s="109" t="s">
        <v>152</v>
      </c>
      <c r="C7" s="114">
        <f>SCADA!C23</f>
        <v>1000000000</v>
      </c>
      <c r="E7" s="108" t="s">
        <v>56</v>
      </c>
      <c r="F7" s="114">
        <f>SUM(F5:F6)</f>
        <v>130726000</v>
      </c>
      <c r="H7" s="109" t="s">
        <v>152</v>
      </c>
      <c r="I7" s="114">
        <f>SCADA!C33</f>
        <v>15000000</v>
      </c>
      <c r="K7" s="109" t="s">
        <v>153</v>
      </c>
      <c r="L7" s="114">
        <v>0.0</v>
      </c>
    </row>
    <row r="8">
      <c r="B8" s="108" t="s">
        <v>56</v>
      </c>
      <c r="C8" s="114">
        <f>SUM(C5:C7)</f>
        <v>4000000000</v>
      </c>
      <c r="H8" s="108" t="s">
        <v>56</v>
      </c>
      <c r="I8" s="114">
        <f>SUM(I5:I7)</f>
        <v>45000000</v>
      </c>
      <c r="K8" s="108" t="s">
        <v>56</v>
      </c>
      <c r="L8" s="114">
        <f>SUM(L5:L7)</f>
        <v>0</v>
      </c>
    </row>
    <row r="11">
      <c r="A11" s="125" t="s">
        <v>154</v>
      </c>
      <c r="B11" s="126">
        <v>0.0</v>
      </c>
      <c r="C11" s="126">
        <v>1.0</v>
      </c>
      <c r="D11" s="126">
        <v>2.0</v>
      </c>
      <c r="E11" s="126">
        <v>3.0</v>
      </c>
      <c r="F11" s="126">
        <v>4.0</v>
      </c>
      <c r="G11" s="126">
        <v>5.0</v>
      </c>
      <c r="H11" s="126">
        <v>6.0</v>
      </c>
      <c r="I11" s="126">
        <v>7.0</v>
      </c>
      <c r="J11" s="126">
        <v>8.0</v>
      </c>
      <c r="K11" s="126">
        <v>9.0</v>
      </c>
      <c r="L11" s="126">
        <v>10.0</v>
      </c>
      <c r="M11" s="126">
        <v>11.0</v>
      </c>
      <c r="N11" s="126">
        <v>12.0</v>
      </c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</row>
    <row r="12">
      <c r="A12" s="129" t="s">
        <v>112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3"/>
      <c r="O12" s="130"/>
      <c r="P12" s="130"/>
      <c r="Q12" s="130"/>
      <c r="R12" s="130"/>
      <c r="S12" s="130"/>
      <c r="T12" s="130"/>
      <c r="U12" s="130"/>
      <c r="V12" s="130"/>
      <c r="W12" s="130"/>
      <c r="X12" s="130"/>
      <c r="Y12" s="130"/>
      <c r="Z12" s="130"/>
    </row>
    <row r="13">
      <c r="A13" s="131" t="s">
        <v>113</v>
      </c>
      <c r="B13" s="142"/>
      <c r="C13" s="133">
        <f t="shared" ref="C13:N13" si="1">$L$8</f>
        <v>0</v>
      </c>
      <c r="D13" s="133">
        <f t="shared" si="1"/>
        <v>0</v>
      </c>
      <c r="E13" s="133">
        <f t="shared" si="1"/>
        <v>0</v>
      </c>
      <c r="F13" s="133">
        <f t="shared" si="1"/>
        <v>0</v>
      </c>
      <c r="G13" s="133">
        <f t="shared" si="1"/>
        <v>0</v>
      </c>
      <c r="H13" s="133">
        <f t="shared" si="1"/>
        <v>0</v>
      </c>
      <c r="I13" s="133">
        <f t="shared" si="1"/>
        <v>0</v>
      </c>
      <c r="J13" s="133">
        <f t="shared" si="1"/>
        <v>0</v>
      </c>
      <c r="K13" s="133">
        <f t="shared" si="1"/>
        <v>0</v>
      </c>
      <c r="L13" s="133">
        <f t="shared" si="1"/>
        <v>0</v>
      </c>
      <c r="M13" s="133">
        <f t="shared" si="1"/>
        <v>0</v>
      </c>
      <c r="N13" s="133">
        <f t="shared" si="1"/>
        <v>0</v>
      </c>
      <c r="O13" s="130"/>
      <c r="P13" s="130"/>
      <c r="Q13" s="130"/>
      <c r="R13" s="130"/>
      <c r="S13" s="130"/>
      <c r="T13" s="130"/>
      <c r="U13" s="130"/>
      <c r="V13" s="130"/>
      <c r="W13" s="130"/>
      <c r="X13" s="130"/>
      <c r="Y13" s="130"/>
      <c r="Z13" s="130"/>
    </row>
    <row r="14">
      <c r="A14" s="134" t="s">
        <v>114</v>
      </c>
      <c r="B14" s="142"/>
      <c r="C14" s="135">
        <f t="shared" ref="C14:N14" si="2">C13</f>
        <v>0</v>
      </c>
      <c r="D14" s="135">
        <f t="shared" si="2"/>
        <v>0</v>
      </c>
      <c r="E14" s="135">
        <f t="shared" si="2"/>
        <v>0</v>
      </c>
      <c r="F14" s="135">
        <f t="shared" si="2"/>
        <v>0</v>
      </c>
      <c r="G14" s="135">
        <f t="shared" si="2"/>
        <v>0</v>
      </c>
      <c r="H14" s="135">
        <f t="shared" si="2"/>
        <v>0</v>
      </c>
      <c r="I14" s="135">
        <f t="shared" si="2"/>
        <v>0</v>
      </c>
      <c r="J14" s="135">
        <f t="shared" si="2"/>
        <v>0</v>
      </c>
      <c r="K14" s="135">
        <f t="shared" si="2"/>
        <v>0</v>
      </c>
      <c r="L14" s="135">
        <f t="shared" si="2"/>
        <v>0</v>
      </c>
      <c r="M14" s="135">
        <f t="shared" si="2"/>
        <v>0</v>
      </c>
      <c r="N14" s="135">
        <f t="shared" si="2"/>
        <v>0</v>
      </c>
      <c r="O14" s="130"/>
      <c r="P14" s="130"/>
      <c r="Q14" s="130"/>
      <c r="R14" s="130"/>
      <c r="S14" s="130"/>
      <c r="T14" s="130"/>
      <c r="U14" s="130"/>
      <c r="V14" s="130"/>
      <c r="W14" s="130"/>
      <c r="X14" s="130"/>
      <c r="Y14" s="130"/>
      <c r="Z14" s="130"/>
    </row>
    <row r="15">
      <c r="A15" s="129" t="s">
        <v>155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3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</row>
    <row r="16">
      <c r="A16" s="131" t="s">
        <v>156</v>
      </c>
      <c r="B16" s="135">
        <f>C8</f>
        <v>4000000000</v>
      </c>
      <c r="C16" s="143" t="s">
        <v>157</v>
      </c>
      <c r="D16" s="143" t="s">
        <v>157</v>
      </c>
      <c r="E16" s="143" t="s">
        <v>157</v>
      </c>
      <c r="F16" s="143" t="s">
        <v>157</v>
      </c>
      <c r="G16" s="143" t="s">
        <v>157</v>
      </c>
      <c r="H16" s="143" t="s">
        <v>157</v>
      </c>
      <c r="I16" s="143" t="s">
        <v>157</v>
      </c>
      <c r="J16" s="143" t="s">
        <v>157</v>
      </c>
      <c r="K16" s="143" t="s">
        <v>157</v>
      </c>
      <c r="L16" s="143" t="s">
        <v>157</v>
      </c>
      <c r="M16" s="143" t="s">
        <v>157</v>
      </c>
      <c r="N16" s="143" t="s">
        <v>157</v>
      </c>
      <c r="O16" s="130"/>
      <c r="P16" s="130"/>
      <c r="Q16" s="130"/>
      <c r="R16" s="130"/>
      <c r="S16" s="130"/>
      <c r="T16" s="130"/>
      <c r="U16" s="130"/>
      <c r="V16" s="130"/>
      <c r="W16" s="130"/>
      <c r="X16" s="130"/>
      <c r="Y16" s="130"/>
      <c r="Z16" s="130"/>
    </row>
    <row r="17">
      <c r="A17" s="131" t="s">
        <v>158</v>
      </c>
      <c r="B17" s="143" t="s">
        <v>157</v>
      </c>
      <c r="C17" s="133">
        <f t="shared" ref="C17:N17" si="3">$I$8</f>
        <v>45000000</v>
      </c>
      <c r="D17" s="133">
        <f t="shared" si="3"/>
        <v>45000000</v>
      </c>
      <c r="E17" s="133">
        <f t="shared" si="3"/>
        <v>45000000</v>
      </c>
      <c r="F17" s="133">
        <f t="shared" si="3"/>
        <v>45000000</v>
      </c>
      <c r="G17" s="133">
        <f t="shared" si="3"/>
        <v>45000000</v>
      </c>
      <c r="H17" s="133">
        <f t="shared" si="3"/>
        <v>45000000</v>
      </c>
      <c r="I17" s="133">
        <f t="shared" si="3"/>
        <v>45000000</v>
      </c>
      <c r="J17" s="133">
        <f t="shared" si="3"/>
        <v>45000000</v>
      </c>
      <c r="K17" s="133">
        <f t="shared" si="3"/>
        <v>45000000</v>
      </c>
      <c r="L17" s="133">
        <f t="shared" si="3"/>
        <v>45000000</v>
      </c>
      <c r="M17" s="133">
        <f t="shared" si="3"/>
        <v>45000000</v>
      </c>
      <c r="N17" s="133">
        <f t="shared" si="3"/>
        <v>45000000</v>
      </c>
      <c r="O17" s="130"/>
      <c r="P17" s="130"/>
      <c r="Q17" s="130"/>
      <c r="R17" s="130"/>
      <c r="S17" s="130"/>
      <c r="T17" s="130"/>
      <c r="U17" s="130"/>
      <c r="V17" s="130"/>
      <c r="W17" s="130"/>
      <c r="X17" s="130"/>
      <c r="Y17" s="130"/>
      <c r="Z17" s="130"/>
    </row>
    <row r="18">
      <c r="A18" s="131" t="s">
        <v>145</v>
      </c>
      <c r="B18" s="143" t="s">
        <v>157</v>
      </c>
      <c r="C18" s="133">
        <f t="shared" ref="C18:N18" si="4">$F$7</f>
        <v>130726000</v>
      </c>
      <c r="D18" s="133">
        <f t="shared" si="4"/>
        <v>130726000</v>
      </c>
      <c r="E18" s="133">
        <f t="shared" si="4"/>
        <v>130726000</v>
      </c>
      <c r="F18" s="133">
        <f t="shared" si="4"/>
        <v>130726000</v>
      </c>
      <c r="G18" s="133">
        <f t="shared" si="4"/>
        <v>130726000</v>
      </c>
      <c r="H18" s="133">
        <f t="shared" si="4"/>
        <v>130726000</v>
      </c>
      <c r="I18" s="133">
        <f t="shared" si="4"/>
        <v>130726000</v>
      </c>
      <c r="J18" s="133">
        <f t="shared" si="4"/>
        <v>130726000</v>
      </c>
      <c r="K18" s="133">
        <f t="shared" si="4"/>
        <v>130726000</v>
      </c>
      <c r="L18" s="133">
        <f t="shared" si="4"/>
        <v>130726000</v>
      </c>
      <c r="M18" s="133">
        <f t="shared" si="4"/>
        <v>130726000</v>
      </c>
      <c r="N18" s="133">
        <f t="shared" si="4"/>
        <v>130726000</v>
      </c>
      <c r="O18" s="130"/>
      <c r="P18" s="130"/>
      <c r="Q18" s="130"/>
      <c r="R18" s="130"/>
      <c r="S18" s="130"/>
      <c r="T18" s="130"/>
      <c r="U18" s="130"/>
      <c r="V18" s="130"/>
      <c r="W18" s="130"/>
      <c r="X18" s="130"/>
      <c r="Y18" s="130"/>
      <c r="Z18" s="130"/>
    </row>
    <row r="19">
      <c r="A19" s="134" t="s">
        <v>159</v>
      </c>
      <c r="B19" s="135">
        <f t="shared" ref="B19:N19" si="5">SUM(B16:B18)</f>
        <v>4000000000</v>
      </c>
      <c r="C19" s="133">
        <f t="shared" si="5"/>
        <v>175726000</v>
      </c>
      <c r="D19" s="133">
        <f t="shared" si="5"/>
        <v>175726000</v>
      </c>
      <c r="E19" s="133">
        <f t="shared" si="5"/>
        <v>175726000</v>
      </c>
      <c r="F19" s="133">
        <f t="shared" si="5"/>
        <v>175726000</v>
      </c>
      <c r="G19" s="133">
        <f t="shared" si="5"/>
        <v>175726000</v>
      </c>
      <c r="H19" s="133">
        <f t="shared" si="5"/>
        <v>175726000</v>
      </c>
      <c r="I19" s="133">
        <f t="shared" si="5"/>
        <v>175726000</v>
      </c>
      <c r="J19" s="133">
        <f t="shared" si="5"/>
        <v>175726000</v>
      </c>
      <c r="K19" s="133">
        <f t="shared" si="5"/>
        <v>175726000</v>
      </c>
      <c r="L19" s="133">
        <f t="shared" si="5"/>
        <v>175726000</v>
      </c>
      <c r="M19" s="133">
        <f t="shared" si="5"/>
        <v>175726000</v>
      </c>
      <c r="N19" s="133">
        <f t="shared" si="5"/>
        <v>175726000</v>
      </c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</row>
    <row r="20">
      <c r="A20" s="144" t="s">
        <v>160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3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</row>
    <row r="21">
      <c r="A21" s="131" t="s">
        <v>161</v>
      </c>
      <c r="B21" s="135">
        <f t="shared" ref="B21:N21" si="6">B14-B19</f>
        <v>-4000000000</v>
      </c>
      <c r="C21" s="135">
        <f t="shared" si="6"/>
        <v>-175726000</v>
      </c>
      <c r="D21" s="135">
        <f t="shared" si="6"/>
        <v>-175726000</v>
      </c>
      <c r="E21" s="135">
        <f t="shared" si="6"/>
        <v>-175726000</v>
      </c>
      <c r="F21" s="135">
        <f t="shared" si="6"/>
        <v>-175726000</v>
      </c>
      <c r="G21" s="135">
        <f t="shared" si="6"/>
        <v>-175726000</v>
      </c>
      <c r="H21" s="135">
        <f t="shared" si="6"/>
        <v>-175726000</v>
      </c>
      <c r="I21" s="135">
        <f t="shared" si="6"/>
        <v>-175726000</v>
      </c>
      <c r="J21" s="135">
        <f t="shared" si="6"/>
        <v>-175726000</v>
      </c>
      <c r="K21" s="135">
        <f t="shared" si="6"/>
        <v>-175726000</v>
      </c>
      <c r="L21" s="135">
        <f t="shared" si="6"/>
        <v>-175726000</v>
      </c>
      <c r="M21" s="135">
        <f t="shared" si="6"/>
        <v>-175726000</v>
      </c>
      <c r="N21" s="135">
        <f t="shared" si="6"/>
        <v>-175726000</v>
      </c>
      <c r="O21" s="130"/>
      <c r="P21" s="130"/>
      <c r="Q21" s="130"/>
      <c r="R21" s="130"/>
      <c r="S21" s="130"/>
      <c r="T21" s="130"/>
      <c r="U21" s="130"/>
      <c r="V21" s="130"/>
      <c r="W21" s="130"/>
      <c r="X21" s="130"/>
      <c r="Y21" s="130"/>
      <c r="Z21" s="130"/>
    </row>
    <row r="22">
      <c r="A22" s="145" t="s">
        <v>162</v>
      </c>
      <c r="B22" s="135">
        <f t="shared" ref="B22:N22" si="7">(B21/(1+$B$27)^B11)</f>
        <v>-4000000000</v>
      </c>
      <c r="C22" s="135">
        <f t="shared" si="7"/>
        <v>-167358095.2</v>
      </c>
      <c r="D22" s="135">
        <f t="shared" si="7"/>
        <v>-159388662.1</v>
      </c>
      <c r="E22" s="135">
        <f t="shared" si="7"/>
        <v>-151798725.8</v>
      </c>
      <c r="F22" s="135">
        <f t="shared" si="7"/>
        <v>-144570215.1</v>
      </c>
      <c r="G22" s="135">
        <f t="shared" si="7"/>
        <v>-137685919.1</v>
      </c>
      <c r="H22" s="135">
        <f t="shared" si="7"/>
        <v>-131129446.8</v>
      </c>
      <c r="I22" s="135">
        <f t="shared" si="7"/>
        <v>-124885187.4</v>
      </c>
      <c r="J22" s="135">
        <f t="shared" si="7"/>
        <v>-118938273.7</v>
      </c>
      <c r="K22" s="135">
        <f t="shared" si="7"/>
        <v>-113274546.4</v>
      </c>
      <c r="L22" s="135">
        <f t="shared" si="7"/>
        <v>-107880520.4</v>
      </c>
      <c r="M22" s="135">
        <f t="shared" si="7"/>
        <v>-102743352.8</v>
      </c>
      <c r="N22" s="135">
        <f t="shared" si="7"/>
        <v>-97850812.15</v>
      </c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</row>
    <row r="23">
      <c r="A23" s="145" t="s">
        <v>163</v>
      </c>
      <c r="B23" s="146">
        <f>B22</f>
        <v>-4000000000</v>
      </c>
      <c r="C23" s="147">
        <f t="shared" ref="C23:N23" si="8">C22+B23</f>
        <v>-4167358095</v>
      </c>
      <c r="D23" s="147">
        <f t="shared" si="8"/>
        <v>-4326746757</v>
      </c>
      <c r="E23" s="147">
        <f t="shared" si="8"/>
        <v>-4478545483</v>
      </c>
      <c r="F23" s="147">
        <f t="shared" si="8"/>
        <v>-4623115698</v>
      </c>
      <c r="G23" s="147">
        <f t="shared" si="8"/>
        <v>-4760801617</v>
      </c>
      <c r="H23" s="147">
        <f t="shared" si="8"/>
        <v>-4891931064</v>
      </c>
      <c r="I23" s="147">
        <f t="shared" si="8"/>
        <v>-5016816252</v>
      </c>
      <c r="J23" s="147">
        <f t="shared" si="8"/>
        <v>-5135754525</v>
      </c>
      <c r="K23" s="147">
        <f t="shared" si="8"/>
        <v>-5249029072</v>
      </c>
      <c r="L23" s="147">
        <f t="shared" si="8"/>
        <v>-5356909592</v>
      </c>
      <c r="M23" s="147">
        <f t="shared" si="8"/>
        <v>-5459652945</v>
      </c>
      <c r="N23" s="147">
        <f t="shared" si="8"/>
        <v>-5557503757</v>
      </c>
      <c r="O23" s="130"/>
      <c r="P23" s="130"/>
      <c r="Q23" s="130"/>
      <c r="R23" s="130"/>
      <c r="S23" s="130"/>
      <c r="T23" s="130"/>
      <c r="U23" s="130"/>
      <c r="V23" s="130"/>
      <c r="W23" s="130"/>
      <c r="X23" s="130"/>
      <c r="Y23" s="130"/>
      <c r="Z23" s="130"/>
    </row>
    <row r="24"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  <c r="Y24" s="130"/>
      <c r="Z24" s="130"/>
    </row>
    <row r="25">
      <c r="C25" s="130"/>
      <c r="D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</row>
    <row r="26">
      <c r="A26" s="148" t="s">
        <v>56</v>
      </c>
      <c r="B26" s="3"/>
      <c r="C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  <c r="Y26" s="130"/>
      <c r="Z26" s="130"/>
    </row>
    <row r="27">
      <c r="A27" s="145" t="s">
        <v>164</v>
      </c>
      <c r="B27" s="149">
        <v>0.05</v>
      </c>
      <c r="C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</row>
    <row r="28">
      <c r="A28" s="150" t="s">
        <v>165</v>
      </c>
      <c r="B28" s="151">
        <f t="array" ref="B28">NPV(B27,C21:N21)</f>
        <v>-1557503757</v>
      </c>
      <c r="C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</row>
    <row r="29">
      <c r="A29" s="150" t="s">
        <v>166</v>
      </c>
      <c r="B29" s="151">
        <f>C8</f>
        <v>4000000000</v>
      </c>
      <c r="C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</row>
    <row r="30">
      <c r="A30" s="152" t="s">
        <v>167</v>
      </c>
      <c r="B30" s="153">
        <f>B28-B29</f>
        <v>-5557503757</v>
      </c>
      <c r="C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</row>
    <row r="31">
      <c r="A31" s="130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  <c r="U31" s="130"/>
    </row>
    <row r="32"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  <c r="U32" s="130"/>
    </row>
    <row r="33"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  <c r="U33" s="130"/>
    </row>
    <row r="34">
      <c r="A34" s="130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</row>
    <row r="35">
      <c r="A35" s="130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</row>
    <row r="36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</row>
    <row r="37">
      <c r="C37" s="130"/>
      <c r="D37" s="130"/>
      <c r="E37" s="130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</row>
    <row r="38"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</row>
    <row r="39"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</row>
    <row r="40"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</row>
    <row r="41">
      <c r="C41" s="130"/>
      <c r="D41" s="130"/>
      <c r="E41" s="130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</row>
    <row r="42">
      <c r="C42" s="130"/>
      <c r="D42" s="130"/>
      <c r="E42" s="130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  <c r="U42" s="130"/>
    </row>
    <row r="43">
      <c r="A43" s="130"/>
      <c r="B43" s="130"/>
      <c r="C43" s="130"/>
      <c r="D43" s="130"/>
      <c r="E43" s="130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  <c r="U43" s="130"/>
    </row>
    <row r="44">
      <c r="C44" s="130"/>
      <c r="D44" s="130"/>
      <c r="E44" s="130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</row>
    <row r="45"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  <c r="Y45" s="130"/>
      <c r="Z45" s="130"/>
    </row>
    <row r="46">
      <c r="A46" s="154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</row>
    <row r="47">
      <c r="A47" s="154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</row>
    <row r="48">
      <c r="A48" s="154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</row>
  </sheetData>
  <mergeCells count="8">
    <mergeCell ref="B3:C3"/>
    <mergeCell ref="E3:F3"/>
    <mergeCell ref="H3:I3"/>
    <mergeCell ref="K3:L3"/>
    <mergeCell ref="A12:N12"/>
    <mergeCell ref="A15:N15"/>
    <mergeCell ref="A20:N20"/>
    <mergeCell ref="A26:B2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2" max="3" width="19.0"/>
    <col customWidth="1" min="4" max="4" width="14.0"/>
    <col customWidth="1" min="5" max="5" width="15.88"/>
    <col customWidth="1" min="6" max="6" width="16.25"/>
  </cols>
  <sheetData>
    <row r="2">
      <c r="A2" s="139"/>
      <c r="B2" s="110"/>
      <c r="C2" s="109" t="s">
        <v>124</v>
      </c>
    </row>
    <row r="3">
      <c r="B3" s="109" t="s">
        <v>125</v>
      </c>
      <c r="C3" s="137">
        <v>300.0</v>
      </c>
    </row>
    <row r="4">
      <c r="B4" s="109" t="s">
        <v>102</v>
      </c>
      <c r="C4" s="136">
        <f>C3*30</f>
        <v>9000</v>
      </c>
    </row>
    <row r="5">
      <c r="B5" s="109" t="s">
        <v>126</v>
      </c>
      <c r="C5" s="136">
        <f>C4*228.28</f>
        <v>2054520</v>
      </c>
    </row>
    <row r="7">
      <c r="B7" s="107" t="s">
        <v>168</v>
      </c>
      <c r="C7" s="2"/>
      <c r="D7" s="3"/>
      <c r="F7" s="155" t="s">
        <v>169</v>
      </c>
      <c r="G7" s="2"/>
      <c r="H7" s="3"/>
    </row>
    <row r="8">
      <c r="B8" s="122" t="s">
        <v>170</v>
      </c>
      <c r="C8" s="2"/>
      <c r="D8" s="3"/>
      <c r="F8" s="156" t="s">
        <v>170</v>
      </c>
      <c r="G8" s="61"/>
      <c r="H8" s="11"/>
    </row>
    <row r="9">
      <c r="B9" s="108" t="s">
        <v>133</v>
      </c>
      <c r="C9" s="108" t="s">
        <v>134</v>
      </c>
      <c r="D9" s="108" t="s">
        <v>132</v>
      </c>
      <c r="F9" s="157" t="s">
        <v>133</v>
      </c>
      <c r="G9" s="158" t="s">
        <v>134</v>
      </c>
      <c r="H9" s="158" t="s">
        <v>132</v>
      </c>
    </row>
    <row r="10">
      <c r="B10" s="109" t="s">
        <v>171</v>
      </c>
      <c r="C10" s="109">
        <v>9.0</v>
      </c>
      <c r="D10" s="136">
        <f t="shared" ref="D10:D16" si="1">C10*$C$5</f>
        <v>18490680</v>
      </c>
      <c r="F10" s="109" t="s">
        <v>171</v>
      </c>
      <c r="G10" s="159">
        <v>9.0</v>
      </c>
      <c r="H10" s="160">
        <f t="shared" ref="H10:H16" si="2">G10*$C$5</f>
        <v>18490680</v>
      </c>
    </row>
    <row r="11">
      <c r="B11" s="109" t="s">
        <v>172</v>
      </c>
      <c r="C11" s="109">
        <v>3.0</v>
      </c>
      <c r="D11" s="136">
        <f t="shared" si="1"/>
        <v>6163560</v>
      </c>
      <c r="F11" s="109" t="s">
        <v>173</v>
      </c>
      <c r="G11" s="159">
        <v>6.0</v>
      </c>
      <c r="H11" s="160">
        <f t="shared" si="2"/>
        <v>12327120</v>
      </c>
    </row>
    <row r="12">
      <c r="B12" s="109" t="s">
        <v>174</v>
      </c>
      <c r="C12" s="109">
        <v>3.0</v>
      </c>
      <c r="D12" s="136">
        <f t="shared" si="1"/>
        <v>6163560</v>
      </c>
      <c r="F12" s="109" t="s">
        <v>174</v>
      </c>
      <c r="G12" s="159">
        <v>3.0</v>
      </c>
      <c r="H12" s="160">
        <f t="shared" si="2"/>
        <v>6163560</v>
      </c>
    </row>
    <row r="13">
      <c r="B13" s="109" t="s">
        <v>175</v>
      </c>
      <c r="C13" s="109">
        <v>3.0</v>
      </c>
      <c r="D13" s="136">
        <f t="shared" si="1"/>
        <v>6163560</v>
      </c>
      <c r="F13" s="109" t="s">
        <v>175</v>
      </c>
      <c r="G13" s="159">
        <v>3.0</v>
      </c>
      <c r="H13" s="160">
        <f t="shared" si="2"/>
        <v>6163560</v>
      </c>
    </row>
    <row r="14">
      <c r="B14" s="109" t="s">
        <v>176</v>
      </c>
      <c r="C14" s="109">
        <v>9.0</v>
      </c>
      <c r="D14" s="136">
        <f t="shared" si="1"/>
        <v>18490680</v>
      </c>
      <c r="F14" s="109" t="s">
        <v>176</v>
      </c>
      <c r="G14" s="159">
        <v>3.0</v>
      </c>
      <c r="H14" s="160">
        <f t="shared" si="2"/>
        <v>6163560</v>
      </c>
    </row>
    <row r="15">
      <c r="B15" s="109" t="s">
        <v>177</v>
      </c>
      <c r="C15" s="109">
        <v>27.0</v>
      </c>
      <c r="D15" s="136">
        <f t="shared" si="1"/>
        <v>55472040</v>
      </c>
      <c r="F15" s="109" t="s">
        <v>177</v>
      </c>
      <c r="G15" s="159">
        <v>3.0</v>
      </c>
      <c r="H15" s="160">
        <f t="shared" si="2"/>
        <v>6163560</v>
      </c>
    </row>
    <row r="16">
      <c r="B16" s="109" t="s">
        <v>178</v>
      </c>
      <c r="C16" s="109">
        <v>27.0</v>
      </c>
      <c r="D16" s="136">
        <f t="shared" si="1"/>
        <v>55472040</v>
      </c>
      <c r="F16" s="109" t="s">
        <v>178</v>
      </c>
      <c r="G16" s="161">
        <v>3.0</v>
      </c>
      <c r="H16" s="160">
        <f t="shared" si="2"/>
        <v>6163560</v>
      </c>
    </row>
    <row r="17">
      <c r="B17" s="5" t="s">
        <v>56</v>
      </c>
      <c r="C17" s="3"/>
      <c r="D17" s="136">
        <f>SUM(D10:D16)</f>
        <v>166416120</v>
      </c>
      <c r="F17" s="5" t="s">
        <v>56</v>
      </c>
      <c r="G17" s="3"/>
      <c r="H17" s="136">
        <f>SUM(H10:H16)</f>
        <v>61635600</v>
      </c>
    </row>
    <row r="19">
      <c r="B19" s="109" t="s">
        <v>179</v>
      </c>
      <c r="C19" s="136">
        <f>-D17+H17</f>
        <v>-104780520</v>
      </c>
    </row>
    <row r="21">
      <c r="B21" s="109" t="s">
        <v>180</v>
      </c>
      <c r="C21" s="109">
        <v>1.1</v>
      </c>
    </row>
  </sheetData>
  <mergeCells count="6">
    <mergeCell ref="B7:D7"/>
    <mergeCell ref="F7:H7"/>
    <mergeCell ref="B8:D8"/>
    <mergeCell ref="F8:H8"/>
    <mergeCell ref="B17:C17"/>
    <mergeCell ref="F17:G17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2.63" defaultRowHeight="15.75"/>
  <cols>
    <col customWidth="1" min="1" max="1" width="39.63"/>
    <col customWidth="1" min="2" max="2" width="16.5"/>
    <col customWidth="1" min="3" max="3" width="14.88"/>
    <col customWidth="1" min="4" max="4" width="17.88"/>
    <col customWidth="1" min="5" max="5" width="18.5"/>
    <col customWidth="1" min="6" max="6" width="14.13"/>
    <col customWidth="1" min="7" max="9" width="14.88"/>
    <col customWidth="1" min="10" max="12" width="14.13"/>
    <col customWidth="1" min="13" max="13" width="18.13"/>
    <col customWidth="1" min="14" max="14" width="14.38"/>
    <col customWidth="1" min="15" max="15" width="14.0"/>
  </cols>
  <sheetData>
    <row r="3">
      <c r="B3" s="141" t="s">
        <v>181</v>
      </c>
      <c r="C3" s="3"/>
      <c r="E3" s="141" t="s">
        <v>145</v>
      </c>
      <c r="F3" s="3"/>
      <c r="H3" s="141" t="s">
        <v>182</v>
      </c>
      <c r="I3" s="3"/>
      <c r="K3" s="141" t="s">
        <v>113</v>
      </c>
      <c r="L3" s="3"/>
      <c r="N3" s="141" t="s">
        <v>182</v>
      </c>
      <c r="O3" s="3"/>
    </row>
    <row r="4">
      <c r="B4" s="108" t="s">
        <v>147</v>
      </c>
      <c r="C4" s="108" t="s">
        <v>46</v>
      </c>
      <c r="E4" s="108" t="s">
        <v>147</v>
      </c>
      <c r="F4" s="108" t="s">
        <v>46</v>
      </c>
      <c r="H4" s="108" t="s">
        <v>147</v>
      </c>
      <c r="I4" s="108" t="s">
        <v>46</v>
      </c>
      <c r="K4" s="108" t="s">
        <v>147</v>
      </c>
      <c r="L4" s="108" t="s">
        <v>46</v>
      </c>
      <c r="N4" s="109" t="s">
        <v>113</v>
      </c>
      <c r="O4" s="111">
        <f>L8</f>
        <v>40311072000</v>
      </c>
    </row>
    <row r="5">
      <c r="B5" s="109" t="s">
        <v>166</v>
      </c>
      <c r="C5" s="114">
        <f>'Año 0 - Proyecto'!B29</f>
        <v>4000000000</v>
      </c>
      <c r="E5" s="109" t="s">
        <v>183</v>
      </c>
      <c r="F5" s="114">
        <f>'Nómina - Puesta en marcha'!C19*12</f>
        <v>-1257366240</v>
      </c>
      <c r="H5" s="109" t="s">
        <v>148</v>
      </c>
      <c r="I5" s="162">
        <f>CeldaRobotizada!C33*12</f>
        <v>180000000</v>
      </c>
      <c r="K5" s="109" t="s">
        <v>149</v>
      </c>
      <c r="L5" s="114">
        <f>'Ingresos - Ventas de los produc'!C23*12</f>
        <v>11894400000</v>
      </c>
      <c r="N5" s="109" t="s">
        <v>182</v>
      </c>
      <c r="O5" s="111">
        <f>I8</f>
        <v>26605307520</v>
      </c>
    </row>
    <row r="6">
      <c r="B6" s="109" t="s">
        <v>184</v>
      </c>
      <c r="C6" s="114">
        <f>-'Año 0 - Proyecto'!B28</f>
        <v>1557503757</v>
      </c>
      <c r="E6" s="108" t="s">
        <v>56</v>
      </c>
      <c r="F6" s="114">
        <f>F5</f>
        <v>-1257366240</v>
      </c>
      <c r="H6" s="109" t="s">
        <v>150</v>
      </c>
      <c r="I6" s="162">
        <f>Comunicaciones!C31*12</f>
        <v>180000000</v>
      </c>
      <c r="K6" s="109" t="s">
        <v>151</v>
      </c>
      <c r="L6" s="114">
        <f>'Ingresos - Ventas de los produc'!G23*12</f>
        <v>22901472000</v>
      </c>
    </row>
    <row r="7">
      <c r="B7" s="108" t="s">
        <v>56</v>
      </c>
      <c r="C7" s="114">
        <f>SUM(C5:C6)</f>
        <v>5557503757</v>
      </c>
      <c r="H7" s="109" t="s">
        <v>152</v>
      </c>
      <c r="I7" s="162">
        <f>SCADA!C33*12</f>
        <v>180000000</v>
      </c>
      <c r="K7" s="109" t="s">
        <v>153</v>
      </c>
      <c r="L7" s="114">
        <f>'Ingresos - Ventas de los produc'!K23*12</f>
        <v>5515200000</v>
      </c>
    </row>
    <row r="8">
      <c r="H8" s="108" t="s">
        <v>56</v>
      </c>
      <c r="I8" s="114">
        <f>L8*0.66</f>
        <v>26605307520</v>
      </c>
      <c r="K8" s="108" t="s">
        <v>56</v>
      </c>
      <c r="L8" s="114">
        <f>SUM(L5:L7)</f>
        <v>40311072000</v>
      </c>
    </row>
    <row r="11">
      <c r="A11" s="125" t="s">
        <v>185</v>
      </c>
      <c r="B11" s="126">
        <v>0.0</v>
      </c>
      <c r="C11" s="126">
        <v>1.0</v>
      </c>
      <c r="D11" s="126">
        <v>2.0</v>
      </c>
      <c r="E11" s="126">
        <v>3.0</v>
      </c>
      <c r="F11" s="126">
        <v>4.0</v>
      </c>
      <c r="G11" s="126">
        <v>5.0</v>
      </c>
      <c r="H11" s="126">
        <v>6.0</v>
      </c>
      <c r="I11" s="126">
        <v>7.0</v>
      </c>
      <c r="J11" s="126">
        <v>8.0</v>
      </c>
      <c r="K11" s="126">
        <v>9.0</v>
      </c>
      <c r="L11" s="126">
        <v>10.0</v>
      </c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</row>
    <row r="12">
      <c r="A12" s="163" t="s">
        <v>112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3"/>
      <c r="M12" s="130"/>
      <c r="N12" s="130"/>
      <c r="O12" s="130"/>
      <c r="P12" s="130"/>
      <c r="Q12" s="130"/>
      <c r="R12" s="130"/>
      <c r="S12" s="130"/>
      <c r="T12" s="130"/>
      <c r="U12" s="130"/>
      <c r="V12" s="130"/>
      <c r="W12" s="130"/>
      <c r="X12" s="130"/>
    </row>
    <row r="13">
      <c r="A13" s="131" t="s">
        <v>113</v>
      </c>
      <c r="B13" s="164">
        <v>0.0</v>
      </c>
      <c r="C13" s="133">
        <f>$L$8</f>
        <v>40311072000</v>
      </c>
      <c r="D13" s="133">
        <f>C13+C13*'Ingresos - Ventas de los produc'!$D$33</f>
        <v>44342179200</v>
      </c>
      <c r="E13" s="133">
        <f>D13+D13*'Ingresos - Ventas de los produc'!$D$33</f>
        <v>48776397120</v>
      </c>
      <c r="F13" s="133">
        <f>E13+E13*'Ingresos - Ventas de los produc'!$D$33</f>
        <v>53654036832</v>
      </c>
      <c r="G13" s="133">
        <f>F13+F13*'Ingresos - Ventas de los produc'!$D$33</f>
        <v>59019440515</v>
      </c>
      <c r="H13" s="133">
        <f>G13+G13*'Ingresos - Ventas de los produc'!$D$33</f>
        <v>64921384567</v>
      </c>
      <c r="I13" s="133">
        <f>H13+H13*'Ingresos - Ventas de los produc'!$D$33</f>
        <v>71413523023</v>
      </c>
      <c r="J13" s="133">
        <f>I13+I13*'Ingresos - Ventas de los produc'!$D$33</f>
        <v>78554875326</v>
      </c>
      <c r="K13" s="133">
        <f>J13+J13*'Ingresos - Ventas de los produc'!$D$33</f>
        <v>86410362858</v>
      </c>
      <c r="L13" s="133">
        <f>K13+K13*'Ingresos - Ventas de los produc'!$D$33</f>
        <v>95051399144</v>
      </c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30"/>
      <c r="X13" s="130"/>
    </row>
    <row r="14">
      <c r="A14" s="134" t="s">
        <v>114</v>
      </c>
      <c r="B14" s="164">
        <v>0.0</v>
      </c>
      <c r="C14" s="135">
        <f t="shared" ref="C14:L14" si="1">C13</f>
        <v>40311072000</v>
      </c>
      <c r="D14" s="135">
        <f t="shared" si="1"/>
        <v>44342179200</v>
      </c>
      <c r="E14" s="135">
        <f t="shared" si="1"/>
        <v>48776397120</v>
      </c>
      <c r="F14" s="135">
        <f t="shared" si="1"/>
        <v>53654036832</v>
      </c>
      <c r="G14" s="135">
        <f t="shared" si="1"/>
        <v>59019440515</v>
      </c>
      <c r="H14" s="135">
        <f t="shared" si="1"/>
        <v>64921384567</v>
      </c>
      <c r="I14" s="135">
        <f t="shared" si="1"/>
        <v>71413523023</v>
      </c>
      <c r="J14" s="135">
        <f t="shared" si="1"/>
        <v>78554875326</v>
      </c>
      <c r="K14" s="135">
        <f t="shared" si="1"/>
        <v>86410362858</v>
      </c>
      <c r="L14" s="135">
        <f t="shared" si="1"/>
        <v>95051399144</v>
      </c>
      <c r="M14" s="130"/>
      <c r="N14" s="130"/>
      <c r="O14" s="130"/>
      <c r="P14" s="130"/>
      <c r="Q14" s="130"/>
      <c r="R14" s="130"/>
      <c r="S14" s="130"/>
      <c r="T14" s="130"/>
      <c r="U14" s="130"/>
      <c r="V14" s="130"/>
      <c r="W14" s="130"/>
      <c r="X14" s="130"/>
    </row>
    <row r="15">
      <c r="A15" s="163" t="s">
        <v>155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3"/>
      <c r="M15" s="130"/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</row>
    <row r="16">
      <c r="A16" s="131" t="s">
        <v>156</v>
      </c>
      <c r="B16" s="135">
        <f>C5</f>
        <v>4000000000</v>
      </c>
      <c r="C16" s="143" t="s">
        <v>157</v>
      </c>
      <c r="D16" s="143" t="s">
        <v>157</v>
      </c>
      <c r="E16" s="143" t="s">
        <v>157</v>
      </c>
      <c r="F16" s="143" t="s">
        <v>157</v>
      </c>
      <c r="G16" s="143" t="s">
        <v>157</v>
      </c>
      <c r="H16" s="143" t="s">
        <v>157</v>
      </c>
      <c r="I16" s="143" t="s">
        <v>157</v>
      </c>
      <c r="J16" s="143" t="s">
        <v>157</v>
      </c>
      <c r="K16" s="143" t="s">
        <v>157</v>
      </c>
      <c r="L16" s="143" t="s">
        <v>157</v>
      </c>
      <c r="M16" s="130"/>
      <c r="N16" s="130"/>
      <c r="O16" s="130"/>
      <c r="P16" s="130"/>
      <c r="Q16" s="130"/>
      <c r="R16" s="130"/>
      <c r="S16" s="130"/>
      <c r="T16" s="130"/>
      <c r="U16" s="130"/>
      <c r="V16" s="130"/>
      <c r="W16" s="130"/>
      <c r="X16" s="130"/>
    </row>
    <row r="17">
      <c r="A17" s="131" t="s">
        <v>186</v>
      </c>
      <c r="B17" s="143"/>
      <c r="C17" s="165">
        <f>'Materia Prima'!E11</f>
        <v>11703657600</v>
      </c>
      <c r="D17" s="165">
        <f>C17+C17*'Materia Prima'!$E$12</f>
        <v>12874023360</v>
      </c>
      <c r="E17" s="165">
        <f>D17+D17*'Materia Prima'!$E$12</f>
        <v>14161425696</v>
      </c>
      <c r="F17" s="165">
        <f>E17+E17*'Materia Prima'!$E$12</f>
        <v>15577568266</v>
      </c>
      <c r="G17" s="165">
        <f>F17+F17*'Materia Prima'!$E$12</f>
        <v>17135325092</v>
      </c>
      <c r="H17" s="165">
        <f>G17+G17*'Materia Prima'!$E$12</f>
        <v>18848857601</v>
      </c>
      <c r="I17" s="165">
        <f>H17+H17*'Materia Prima'!$E$12</f>
        <v>20733743362</v>
      </c>
      <c r="J17" s="165">
        <f>I17+I17*'Materia Prima'!$E$12</f>
        <v>22807117698</v>
      </c>
      <c r="K17" s="165">
        <f>J17+J17*'Materia Prima'!$E$12</f>
        <v>25087829467</v>
      </c>
      <c r="L17" s="165">
        <f>K17+K17*'Materia Prima'!$E$12</f>
        <v>27596612414</v>
      </c>
      <c r="M17" s="130"/>
      <c r="N17" s="130"/>
      <c r="O17" s="130"/>
      <c r="P17" s="130"/>
      <c r="Q17" s="130"/>
      <c r="R17" s="130"/>
      <c r="S17" s="130"/>
      <c r="T17" s="130"/>
      <c r="U17" s="130"/>
      <c r="V17" s="130"/>
      <c r="W17" s="130"/>
      <c r="X17" s="130"/>
    </row>
    <row r="18">
      <c r="A18" s="131" t="s">
        <v>182</v>
      </c>
      <c r="B18" s="143" t="s">
        <v>157</v>
      </c>
      <c r="C18" s="133">
        <f>$I$8</f>
        <v>26605307520</v>
      </c>
      <c r="D18" s="133">
        <f>C18+C18*'Ingresos - Ventas de los produc'!$D$33</f>
        <v>29265838272</v>
      </c>
      <c r="E18" s="133">
        <f>D18+D18*'Ingresos - Ventas de los produc'!$D$33</f>
        <v>32192422099</v>
      </c>
      <c r="F18" s="133">
        <f>E18+E18*'Ingresos - Ventas de los produc'!$D$33</f>
        <v>35411664309</v>
      </c>
      <c r="G18" s="133">
        <f>F18+F18*'Ingresos - Ventas de los produc'!$D$33</f>
        <v>38952830740</v>
      </c>
      <c r="H18" s="133">
        <f>G18+G18*'Ingresos - Ventas de los produc'!$D$33</f>
        <v>42848113814</v>
      </c>
      <c r="I18" s="133">
        <f>H18+H18*'Ingresos - Ventas de los produc'!$D$33</f>
        <v>47132925195</v>
      </c>
      <c r="J18" s="133">
        <f>I18+I18*'Ingresos - Ventas de los produc'!$D$33</f>
        <v>51846217715</v>
      </c>
      <c r="K18" s="133">
        <f>J18+J18*'Ingresos - Ventas de los produc'!$D$33</f>
        <v>57030839486</v>
      </c>
      <c r="L18" s="133">
        <f>K18+K18*'Ingresos - Ventas de los produc'!$D$33</f>
        <v>62733923435</v>
      </c>
      <c r="M18" s="130"/>
      <c r="N18" s="130"/>
      <c r="O18" s="130"/>
      <c r="P18" s="130"/>
      <c r="Q18" s="130"/>
      <c r="R18" s="130"/>
      <c r="S18" s="130"/>
      <c r="T18" s="130"/>
      <c r="U18" s="130"/>
      <c r="V18" s="130"/>
      <c r="W18" s="130"/>
      <c r="X18" s="130"/>
    </row>
    <row r="19">
      <c r="A19" s="131" t="s">
        <v>145</v>
      </c>
      <c r="B19" s="133">
        <f>C6</f>
        <v>1557503757</v>
      </c>
      <c r="C19" s="133">
        <f>$F$6</f>
        <v>-1257366240</v>
      </c>
      <c r="D19" s="133">
        <f>C19*(1/'Nómina - Puesta en marcha'!C21)</f>
        <v>-1143060218</v>
      </c>
      <c r="E19" s="133">
        <f t="shared" ref="E19:L19" si="2">D19*0.91</f>
        <v>-1040184799</v>
      </c>
      <c r="F19" s="133">
        <f t="shared" si="2"/>
        <v>-946568166.7</v>
      </c>
      <c r="G19" s="133">
        <f t="shared" si="2"/>
        <v>-861377031.7</v>
      </c>
      <c r="H19" s="133">
        <f t="shared" si="2"/>
        <v>-783853098.8</v>
      </c>
      <c r="I19" s="133">
        <f t="shared" si="2"/>
        <v>-713306319.9</v>
      </c>
      <c r="J19" s="133">
        <f t="shared" si="2"/>
        <v>-649108751.1</v>
      </c>
      <c r="K19" s="133">
        <f t="shared" si="2"/>
        <v>-590688963.5</v>
      </c>
      <c r="L19" s="133">
        <f t="shared" si="2"/>
        <v>-537526956.8</v>
      </c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</row>
    <row r="20">
      <c r="A20" s="134" t="s">
        <v>159</v>
      </c>
      <c r="B20" s="135">
        <f t="shared" ref="B20:L20" si="3">SUM(B16:B19)</f>
        <v>5557503757</v>
      </c>
      <c r="C20" s="133">
        <f t="shared" si="3"/>
        <v>37051598880</v>
      </c>
      <c r="D20" s="133">
        <f t="shared" si="3"/>
        <v>40996801414</v>
      </c>
      <c r="E20" s="133">
        <f t="shared" si="3"/>
        <v>45313662997</v>
      </c>
      <c r="F20" s="133">
        <f t="shared" si="3"/>
        <v>50042664408</v>
      </c>
      <c r="G20" s="133">
        <f t="shared" si="3"/>
        <v>55226778801</v>
      </c>
      <c r="H20" s="133">
        <f t="shared" si="3"/>
        <v>60913118317</v>
      </c>
      <c r="I20" s="133">
        <f t="shared" si="3"/>
        <v>67153362237</v>
      </c>
      <c r="J20" s="133">
        <f t="shared" si="3"/>
        <v>74004226662</v>
      </c>
      <c r="K20" s="133">
        <f t="shared" si="3"/>
        <v>81527979990</v>
      </c>
      <c r="L20" s="133">
        <f t="shared" si="3"/>
        <v>89793008892</v>
      </c>
      <c r="M20" s="130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</row>
    <row r="21">
      <c r="A21" s="144" t="s">
        <v>160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130"/>
      <c r="N21" s="130"/>
      <c r="O21" s="130"/>
      <c r="P21" s="130"/>
      <c r="Q21" s="130"/>
      <c r="R21" s="130"/>
      <c r="S21" s="130"/>
      <c r="T21" s="130"/>
      <c r="U21" s="130"/>
      <c r="V21" s="130"/>
      <c r="W21" s="130"/>
      <c r="X21" s="130"/>
    </row>
    <row r="22">
      <c r="A22" s="131" t="s">
        <v>161</v>
      </c>
      <c r="B22" s="166">
        <f t="shared" ref="B22:L22" si="4">B14-B20</f>
        <v>-5557503757</v>
      </c>
      <c r="C22" s="135">
        <f t="shared" si="4"/>
        <v>3259473120</v>
      </c>
      <c r="D22" s="135">
        <f t="shared" si="4"/>
        <v>3345377786</v>
      </c>
      <c r="E22" s="135">
        <f t="shared" si="4"/>
        <v>3462734123</v>
      </c>
      <c r="F22" s="135">
        <f t="shared" si="4"/>
        <v>3611372424</v>
      </c>
      <c r="G22" s="135">
        <f t="shared" si="4"/>
        <v>3792661715</v>
      </c>
      <c r="H22" s="135">
        <f t="shared" si="4"/>
        <v>4008266250</v>
      </c>
      <c r="I22" s="135">
        <f t="shared" si="4"/>
        <v>4260160786</v>
      </c>
      <c r="J22" s="135">
        <f t="shared" si="4"/>
        <v>4550648664</v>
      </c>
      <c r="K22" s="135">
        <f t="shared" si="4"/>
        <v>4882382868</v>
      </c>
      <c r="L22" s="135">
        <f t="shared" si="4"/>
        <v>5258390252</v>
      </c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</row>
    <row r="23">
      <c r="A23" s="145" t="s">
        <v>162</v>
      </c>
      <c r="B23" s="166">
        <f t="shared" ref="B23:L23" si="5">(B22/(1+$B$36)^B11)</f>
        <v>-5557503757</v>
      </c>
      <c r="C23" s="135">
        <f t="shared" si="5"/>
        <v>3104260114</v>
      </c>
      <c r="D23" s="135">
        <f t="shared" si="5"/>
        <v>3034356269</v>
      </c>
      <c r="E23" s="135">
        <f t="shared" si="5"/>
        <v>2991239929</v>
      </c>
      <c r="F23" s="135">
        <f t="shared" si="5"/>
        <v>2971085031</v>
      </c>
      <c r="G23" s="135">
        <f t="shared" si="5"/>
        <v>2971649694</v>
      </c>
      <c r="H23" s="135">
        <f t="shared" si="5"/>
        <v>2991029990</v>
      </c>
      <c r="I23" s="135">
        <f t="shared" si="5"/>
        <v>3027616734</v>
      </c>
      <c r="J23" s="135">
        <f t="shared" si="5"/>
        <v>3080058139</v>
      </c>
      <c r="K23" s="135">
        <f t="shared" si="5"/>
        <v>3147227529</v>
      </c>
      <c r="L23" s="135">
        <f t="shared" si="5"/>
        <v>3228195468</v>
      </c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0"/>
      <c r="X23" s="130"/>
    </row>
    <row r="24">
      <c r="A24" s="145" t="s">
        <v>163</v>
      </c>
      <c r="B24" s="167">
        <f>B23</f>
        <v>-5557503757</v>
      </c>
      <c r="C24" s="147">
        <f t="shared" ref="C24:L24" si="6">C23+B24</f>
        <v>-2453243643</v>
      </c>
      <c r="D24" s="147">
        <f t="shared" si="6"/>
        <v>581112625.9</v>
      </c>
      <c r="E24" s="147">
        <f t="shared" si="6"/>
        <v>3572352555</v>
      </c>
      <c r="F24" s="147">
        <f t="shared" si="6"/>
        <v>6543437586</v>
      </c>
      <c r="G24" s="147">
        <f t="shared" si="6"/>
        <v>9515087280</v>
      </c>
      <c r="H24" s="147">
        <f t="shared" si="6"/>
        <v>12506117270</v>
      </c>
      <c r="I24" s="147">
        <f t="shared" si="6"/>
        <v>15533734004</v>
      </c>
      <c r="J24" s="147">
        <f t="shared" si="6"/>
        <v>18613792143</v>
      </c>
      <c r="K24" s="147">
        <f t="shared" si="6"/>
        <v>21761019672</v>
      </c>
      <c r="L24" s="147">
        <f t="shared" si="6"/>
        <v>24989215139</v>
      </c>
      <c r="M24" s="168">
        <f>SUM(B24:L24)</f>
        <v>105605120874</v>
      </c>
      <c r="N24" s="130"/>
      <c r="O24" s="130"/>
      <c r="P24" s="130"/>
      <c r="Q24" s="130"/>
      <c r="R24" s="130"/>
      <c r="S24" s="130"/>
      <c r="T24" s="130"/>
      <c r="U24" s="130"/>
      <c r="V24" s="130"/>
      <c r="W24" s="130"/>
      <c r="X24" s="130"/>
    </row>
    <row r="25">
      <c r="M25" s="130"/>
      <c r="N25" s="130"/>
      <c r="O25" s="130"/>
      <c r="P25" s="130"/>
      <c r="Q25" s="130"/>
      <c r="R25" s="130"/>
      <c r="S25" s="130"/>
      <c r="T25" s="130"/>
      <c r="U25" s="130"/>
      <c r="V25" s="130"/>
      <c r="W25" s="130"/>
      <c r="X25" s="130"/>
    </row>
    <row r="26">
      <c r="A26" s="131" t="s">
        <v>113</v>
      </c>
      <c r="B26" s="137">
        <v>0.0</v>
      </c>
      <c r="C26" s="167">
        <f t="shared" ref="C26:L26" si="7">C13</f>
        <v>40311072000</v>
      </c>
      <c r="D26" s="167">
        <f t="shared" si="7"/>
        <v>44342179200</v>
      </c>
      <c r="E26" s="167">
        <f t="shared" si="7"/>
        <v>48776397120</v>
      </c>
      <c r="F26" s="167">
        <f t="shared" si="7"/>
        <v>53654036832</v>
      </c>
      <c r="G26" s="167">
        <f t="shared" si="7"/>
        <v>59019440515</v>
      </c>
      <c r="H26" s="167">
        <f t="shared" si="7"/>
        <v>64921384567</v>
      </c>
      <c r="I26" s="167">
        <f t="shared" si="7"/>
        <v>71413523023</v>
      </c>
      <c r="J26" s="167">
        <f t="shared" si="7"/>
        <v>78554875326</v>
      </c>
      <c r="K26" s="167">
        <f t="shared" si="7"/>
        <v>86410362858</v>
      </c>
      <c r="L26" s="167">
        <f t="shared" si="7"/>
        <v>95051399144</v>
      </c>
      <c r="M26" s="130"/>
      <c r="N26" s="130"/>
      <c r="O26" s="130"/>
      <c r="P26" s="130"/>
      <c r="Q26" s="130"/>
      <c r="R26" s="130"/>
      <c r="S26" s="130"/>
      <c r="T26" s="130"/>
      <c r="U26" s="130"/>
      <c r="V26" s="130"/>
      <c r="W26" s="130"/>
      <c r="X26" s="130"/>
    </row>
    <row r="27">
      <c r="A27" s="131" t="s">
        <v>187</v>
      </c>
      <c r="B27" s="137">
        <v>0.0</v>
      </c>
      <c r="C27" s="167">
        <f t="shared" ref="C27:L27" si="8">C20</f>
        <v>37051598880</v>
      </c>
      <c r="D27" s="167">
        <f t="shared" si="8"/>
        <v>40996801414</v>
      </c>
      <c r="E27" s="167">
        <f t="shared" si="8"/>
        <v>45313662997</v>
      </c>
      <c r="F27" s="167">
        <f t="shared" si="8"/>
        <v>50042664408</v>
      </c>
      <c r="G27" s="167">
        <f t="shared" si="8"/>
        <v>55226778801</v>
      </c>
      <c r="H27" s="167">
        <f t="shared" si="8"/>
        <v>60913118317</v>
      </c>
      <c r="I27" s="167">
        <f t="shared" si="8"/>
        <v>67153362237</v>
      </c>
      <c r="J27" s="167">
        <f t="shared" si="8"/>
        <v>74004226662</v>
      </c>
      <c r="K27" s="167">
        <f t="shared" si="8"/>
        <v>81527979990</v>
      </c>
      <c r="L27" s="167">
        <f t="shared" si="8"/>
        <v>89793008892</v>
      </c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</row>
    <row r="28">
      <c r="A28" s="131" t="s">
        <v>188</v>
      </c>
      <c r="B28" s="137">
        <v>0.0</v>
      </c>
      <c r="C28" s="167">
        <f t="shared" ref="C28:L28" si="9">C26-C27</f>
        <v>3259473120</v>
      </c>
      <c r="D28" s="167">
        <f t="shared" si="9"/>
        <v>3345377786</v>
      </c>
      <c r="E28" s="167">
        <f t="shared" si="9"/>
        <v>3462734123</v>
      </c>
      <c r="F28" s="167">
        <f t="shared" si="9"/>
        <v>3611372424</v>
      </c>
      <c r="G28" s="167">
        <f t="shared" si="9"/>
        <v>3792661715</v>
      </c>
      <c r="H28" s="167">
        <f t="shared" si="9"/>
        <v>4008266250</v>
      </c>
      <c r="I28" s="167">
        <f t="shared" si="9"/>
        <v>4260160786</v>
      </c>
      <c r="J28" s="167">
        <f t="shared" si="9"/>
        <v>4550648664</v>
      </c>
      <c r="K28" s="167">
        <f t="shared" si="9"/>
        <v>4882382868</v>
      </c>
      <c r="L28" s="167">
        <f t="shared" si="9"/>
        <v>5258390252</v>
      </c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</row>
    <row r="29">
      <c r="A29" s="131" t="s">
        <v>189</v>
      </c>
      <c r="B29" s="137">
        <v>0.0</v>
      </c>
      <c r="C29" s="164">
        <v>0.0</v>
      </c>
      <c r="D29" s="164">
        <v>0.0</v>
      </c>
      <c r="E29" s="164">
        <v>0.0</v>
      </c>
      <c r="F29" s="164">
        <v>0.0</v>
      </c>
      <c r="G29" s="164">
        <v>0.0</v>
      </c>
      <c r="H29" s="164">
        <v>0.0</v>
      </c>
      <c r="I29" s="164">
        <v>0.0</v>
      </c>
      <c r="J29" s="164">
        <v>0.0</v>
      </c>
      <c r="K29" s="164">
        <v>0.0</v>
      </c>
      <c r="L29" s="164">
        <v>0.0</v>
      </c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</row>
    <row r="30">
      <c r="A30" s="131" t="s">
        <v>190</v>
      </c>
      <c r="B30" s="137">
        <v>0.0</v>
      </c>
      <c r="C30" s="167">
        <f t="shared" ref="C30:L30" si="10">C28-C29</f>
        <v>3259473120</v>
      </c>
      <c r="D30" s="167">
        <f t="shared" si="10"/>
        <v>3345377786</v>
      </c>
      <c r="E30" s="167">
        <f t="shared" si="10"/>
        <v>3462734123</v>
      </c>
      <c r="F30" s="167">
        <f t="shared" si="10"/>
        <v>3611372424</v>
      </c>
      <c r="G30" s="167">
        <f t="shared" si="10"/>
        <v>3792661715</v>
      </c>
      <c r="H30" s="167">
        <f t="shared" si="10"/>
        <v>4008266250</v>
      </c>
      <c r="I30" s="167">
        <f t="shared" si="10"/>
        <v>4260160786</v>
      </c>
      <c r="J30" s="167">
        <f t="shared" si="10"/>
        <v>4550648664</v>
      </c>
      <c r="K30" s="167">
        <f t="shared" si="10"/>
        <v>4882382868</v>
      </c>
      <c r="L30" s="167">
        <f t="shared" si="10"/>
        <v>5258390252</v>
      </c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</row>
    <row r="31">
      <c r="A31" s="131" t="s">
        <v>191</v>
      </c>
      <c r="B31" s="137">
        <v>0.0</v>
      </c>
      <c r="C31" s="167">
        <f t="shared" ref="C31:L31" si="11">C30*0.2</f>
        <v>651894624</v>
      </c>
      <c r="D31" s="167">
        <f t="shared" si="11"/>
        <v>669075557.2</v>
      </c>
      <c r="E31" s="167">
        <f t="shared" si="11"/>
        <v>692546824.7</v>
      </c>
      <c r="F31" s="167">
        <f t="shared" si="11"/>
        <v>722274484.8</v>
      </c>
      <c r="G31" s="167">
        <f t="shared" si="11"/>
        <v>758532342.9</v>
      </c>
      <c r="H31" s="167">
        <f t="shared" si="11"/>
        <v>801653250</v>
      </c>
      <c r="I31" s="167">
        <f t="shared" si="11"/>
        <v>852032157.3</v>
      </c>
      <c r="J31" s="167">
        <f t="shared" si="11"/>
        <v>910129732.8</v>
      </c>
      <c r="K31" s="167">
        <f t="shared" si="11"/>
        <v>976476573.6</v>
      </c>
      <c r="L31" s="167">
        <f t="shared" si="11"/>
        <v>1051678050</v>
      </c>
      <c r="M31" s="130"/>
      <c r="N31" s="130"/>
      <c r="O31" s="130"/>
      <c r="P31" s="130"/>
      <c r="Q31" s="130"/>
      <c r="R31" s="130"/>
      <c r="S31" s="130"/>
      <c r="T31" s="130"/>
      <c r="U31" s="130"/>
      <c r="V31" s="130"/>
      <c r="W31" s="130"/>
      <c r="X31" s="130"/>
    </row>
    <row r="32">
      <c r="A32" s="109" t="s">
        <v>192</v>
      </c>
      <c r="B32" s="137">
        <v>0.0</v>
      </c>
      <c r="C32" s="167">
        <f t="shared" ref="C32:L32" si="12">$E$39</f>
        <v>340000000</v>
      </c>
      <c r="D32" s="167">
        <f t="shared" si="12"/>
        <v>340000000</v>
      </c>
      <c r="E32" s="167">
        <f t="shared" si="12"/>
        <v>340000000</v>
      </c>
      <c r="F32" s="167">
        <f t="shared" si="12"/>
        <v>340000000</v>
      </c>
      <c r="G32" s="167">
        <f t="shared" si="12"/>
        <v>340000000</v>
      </c>
      <c r="H32" s="167">
        <f t="shared" si="12"/>
        <v>340000000</v>
      </c>
      <c r="I32" s="167">
        <f t="shared" si="12"/>
        <v>340000000</v>
      </c>
      <c r="J32" s="167">
        <f t="shared" si="12"/>
        <v>340000000</v>
      </c>
      <c r="K32" s="167">
        <f t="shared" si="12"/>
        <v>340000000</v>
      </c>
      <c r="L32" s="167">
        <f t="shared" si="12"/>
        <v>340000000</v>
      </c>
      <c r="M32" s="130"/>
      <c r="N32" s="130"/>
      <c r="O32" s="130"/>
      <c r="P32" s="130"/>
      <c r="Q32" s="130"/>
      <c r="R32" s="130"/>
      <c r="S32" s="130"/>
      <c r="T32" s="130"/>
      <c r="U32" s="130"/>
      <c r="V32" s="130"/>
      <c r="W32" s="130"/>
      <c r="X32" s="130"/>
    </row>
    <row r="33">
      <c r="A33" s="131" t="s">
        <v>193</v>
      </c>
      <c r="B33" s="136">
        <f>B24</f>
        <v>-5557503757</v>
      </c>
      <c r="C33" s="167">
        <f t="shared" ref="C33:L33" si="13">C30-C31-C32</f>
        <v>2267578496</v>
      </c>
      <c r="D33" s="167">
        <f t="shared" si="13"/>
        <v>2336302229</v>
      </c>
      <c r="E33" s="167">
        <f t="shared" si="13"/>
        <v>2430187299</v>
      </c>
      <c r="F33" s="167">
        <f t="shared" si="13"/>
        <v>2549097939</v>
      </c>
      <c r="G33" s="167">
        <f t="shared" si="13"/>
        <v>2694129372</v>
      </c>
      <c r="H33" s="167">
        <f t="shared" si="13"/>
        <v>2866613000</v>
      </c>
      <c r="I33" s="167">
        <f t="shared" si="13"/>
        <v>3068128629</v>
      </c>
      <c r="J33" s="167">
        <f t="shared" si="13"/>
        <v>3300518931</v>
      </c>
      <c r="K33" s="167">
        <f t="shared" si="13"/>
        <v>3565906294</v>
      </c>
      <c r="L33" s="167">
        <f t="shared" si="13"/>
        <v>3866712201</v>
      </c>
      <c r="M33" s="168">
        <f>SUM(B33:L33)</f>
        <v>23387670634</v>
      </c>
      <c r="N33" s="130"/>
      <c r="O33" s="130"/>
      <c r="P33" s="130"/>
      <c r="Q33" s="130"/>
      <c r="R33" s="130"/>
      <c r="S33" s="130"/>
      <c r="T33" s="130"/>
      <c r="U33" s="130"/>
      <c r="V33" s="130"/>
      <c r="W33" s="130"/>
      <c r="X33" s="130"/>
    </row>
    <row r="34">
      <c r="C34" s="130"/>
      <c r="D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</row>
    <row r="35">
      <c r="A35" s="148" t="s">
        <v>194</v>
      </c>
      <c r="B35" s="3"/>
      <c r="C35" s="130"/>
      <c r="D35" s="148" t="s">
        <v>68</v>
      </c>
      <c r="E35" s="3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  <c r="U35" s="130"/>
      <c r="V35" s="130"/>
      <c r="W35" s="130"/>
      <c r="X35" s="130"/>
    </row>
    <row r="36">
      <c r="A36" s="145" t="s">
        <v>164</v>
      </c>
      <c r="B36" s="149">
        <v>0.05</v>
      </c>
      <c r="C36" s="130"/>
      <c r="D36" s="109" t="s">
        <v>195</v>
      </c>
      <c r="E36" s="114">
        <f>C5</f>
        <v>4000000000</v>
      </c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  <c r="U36" s="130"/>
      <c r="V36" s="130"/>
      <c r="W36" s="130"/>
      <c r="X36" s="130"/>
    </row>
    <row r="37">
      <c r="A37" s="150" t="s">
        <v>196</v>
      </c>
      <c r="B37" s="151">
        <f t="array" ref="B37">NPV(B36,C22:L22)</f>
        <v>30546718896</v>
      </c>
      <c r="C37" s="130"/>
      <c r="D37" s="109" t="s">
        <v>197</v>
      </c>
      <c r="E37" s="111">
        <f>E36*15%</f>
        <v>600000000</v>
      </c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  <c r="U37" s="130"/>
      <c r="V37" s="130"/>
      <c r="W37" s="130"/>
      <c r="X37" s="130"/>
    </row>
    <row r="38">
      <c r="A38" s="150" t="s">
        <v>166</v>
      </c>
      <c r="B38" s="151">
        <f>C7</f>
        <v>5557503757</v>
      </c>
      <c r="C38" s="130"/>
      <c r="D38" s="109" t="s">
        <v>198</v>
      </c>
      <c r="E38" s="109">
        <v>10.0</v>
      </c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</row>
    <row r="39">
      <c r="A39" s="152" t="s">
        <v>199</v>
      </c>
      <c r="B39" s="153">
        <f>B37-B38</f>
        <v>24989215139</v>
      </c>
      <c r="C39" s="130"/>
      <c r="D39" s="109" t="s">
        <v>200</v>
      </c>
      <c r="E39" s="111">
        <f>(E36-E37)/E38</f>
        <v>340000000</v>
      </c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  <c r="U39" s="130"/>
      <c r="V39" s="130"/>
      <c r="W39" s="130"/>
      <c r="X39" s="130"/>
    </row>
    <row r="40">
      <c r="A40" s="169" t="s">
        <v>201</v>
      </c>
      <c r="B40" s="170">
        <f>IRR(B22:L22)</f>
        <v>0.6175001293</v>
      </c>
      <c r="C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</row>
    <row r="41">
      <c r="A41" s="171" t="s">
        <v>202</v>
      </c>
      <c r="B41" s="172">
        <v>2.0</v>
      </c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</row>
    <row r="42">
      <c r="A42" s="109" t="s">
        <v>203</v>
      </c>
      <c r="B42" s="123">
        <f>(SUM(C33:L33)-C7)/C7</f>
        <v>4.208304961</v>
      </c>
      <c r="L42" s="130"/>
      <c r="M42" s="130"/>
      <c r="N42" s="130"/>
      <c r="O42" s="130"/>
      <c r="P42" s="130"/>
      <c r="Q42" s="130"/>
      <c r="R42" s="130"/>
      <c r="S42" s="130"/>
      <c r="T42" s="130"/>
      <c r="U42" s="130"/>
      <c r="V42" s="130"/>
      <c r="W42" s="130"/>
    </row>
    <row r="43">
      <c r="A43" s="109" t="s">
        <v>204</v>
      </c>
      <c r="B43" s="173">
        <f>IRR(B33:L33)</f>
        <v>0.4367926953</v>
      </c>
      <c r="L43" s="130"/>
      <c r="M43" s="130"/>
      <c r="N43" s="130"/>
      <c r="O43" s="130"/>
      <c r="P43" s="130"/>
      <c r="Q43" s="130"/>
      <c r="R43" s="130"/>
      <c r="S43" s="130"/>
      <c r="T43" s="130"/>
      <c r="U43" s="130"/>
      <c r="V43" s="130"/>
      <c r="W43" s="130"/>
    </row>
    <row r="44"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</row>
    <row r="45"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  <c r="U45" s="130"/>
      <c r="V45" s="130"/>
      <c r="W45" s="130"/>
      <c r="X45" s="130"/>
    </row>
    <row r="46">
      <c r="A46" s="154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  <c r="U46" s="130"/>
      <c r="V46" s="130"/>
      <c r="W46" s="130"/>
      <c r="X46" s="130"/>
    </row>
    <row r="47">
      <c r="A47" s="154"/>
      <c r="B47" s="130"/>
      <c r="C47" s="130"/>
      <c r="D47" s="130"/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</row>
    <row r="48">
      <c r="A48" s="154"/>
      <c r="B48" s="130"/>
      <c r="C48" s="130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</row>
    <row r="69">
      <c r="B69" s="141" t="s">
        <v>181</v>
      </c>
      <c r="C69" s="3"/>
    </row>
    <row r="70">
      <c r="B70" s="108" t="s">
        <v>147</v>
      </c>
      <c r="C70" s="108" t="s">
        <v>46</v>
      </c>
    </row>
    <row r="71">
      <c r="B71" s="109" t="s">
        <v>152</v>
      </c>
      <c r="C71" s="137">
        <v>1.0E9</v>
      </c>
    </row>
    <row r="72">
      <c r="B72" s="109" t="s">
        <v>148</v>
      </c>
      <c r="C72" s="137">
        <v>1.5E9</v>
      </c>
    </row>
    <row r="73">
      <c r="B73" s="109" t="s">
        <v>150</v>
      </c>
      <c r="C73" s="137">
        <v>5.0E8</v>
      </c>
    </row>
    <row r="74">
      <c r="B74" s="109" t="s">
        <v>205</v>
      </c>
      <c r="C74" s="137">
        <v>1.0E9</v>
      </c>
    </row>
    <row r="75">
      <c r="B75" s="174" t="s">
        <v>166</v>
      </c>
      <c r="C75" s="175">
        <f>SUM(C71:C74)</f>
        <v>4000000000</v>
      </c>
    </row>
    <row r="76">
      <c r="B76" s="174" t="s">
        <v>184</v>
      </c>
      <c r="C76" s="175">
        <v>1.8056748028871696E9</v>
      </c>
    </row>
    <row r="77">
      <c r="B77" s="108" t="s">
        <v>56</v>
      </c>
      <c r="C77" s="114">
        <f>SUM(C75:C76)</f>
        <v>5805674803</v>
      </c>
    </row>
  </sheetData>
  <mergeCells count="12">
    <mergeCell ref="A21:L21"/>
    <mergeCell ref="A25:L25"/>
    <mergeCell ref="A35:B35"/>
    <mergeCell ref="D35:E35"/>
    <mergeCell ref="B69:C69"/>
    <mergeCell ref="B3:C3"/>
    <mergeCell ref="E3:F3"/>
    <mergeCell ref="H3:I3"/>
    <mergeCell ref="K3:L3"/>
    <mergeCell ref="N3:O3"/>
    <mergeCell ref="A12:L12"/>
    <mergeCell ref="A15:L15"/>
  </mergeCells>
  <drawing r:id="rId1"/>
</worksheet>
</file>