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alas/Desktop/Personal/F1/"/>
    </mc:Choice>
  </mc:AlternateContent>
  <xr:revisionPtr revIDLastSave="0" documentId="13_ncr:1_{995B64EB-F589-754B-9318-798B3F4985CC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2021" sheetId="1" r:id="rId1"/>
    <sheet name="2022" sheetId="3" r:id="rId2"/>
    <sheet name="Dashboard 2022" sheetId="4" r:id="rId3"/>
  </sheets>
  <definedNames>
    <definedName name="_xlnm._FilterDatabase" localSheetId="0" hidden="1">'2021'!#REF!</definedName>
    <definedName name="_xlnm._FilterDatabase" localSheetId="1" hidden="1">'2022'!#REF!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3" l="1"/>
  <c r="I10" i="3"/>
  <c r="I16" i="3"/>
  <c r="I14" i="3"/>
  <c r="I8" i="3"/>
  <c r="I17" i="3"/>
  <c r="I12" i="3"/>
  <c r="I13" i="3"/>
  <c r="I5" i="3"/>
  <c r="I22" i="3"/>
  <c r="I19" i="3"/>
  <c r="I6" i="3"/>
  <c r="I7" i="3"/>
  <c r="I4" i="3"/>
  <c r="I15" i="3"/>
  <c r="I11" i="3"/>
  <c r="I18" i="3"/>
  <c r="I9" i="3"/>
  <c r="I23" i="3"/>
  <c r="I20" i="3"/>
  <c r="F16" i="4"/>
  <c r="F21" i="4"/>
  <c r="F20" i="4"/>
  <c r="F19" i="4"/>
  <c r="F18" i="4"/>
  <c r="F17" i="4"/>
  <c r="Q21" i="4"/>
  <c r="L21" i="4"/>
  <c r="K21" i="4"/>
  <c r="L20" i="4"/>
  <c r="K20" i="4"/>
  <c r="L19" i="4"/>
  <c r="K19" i="4"/>
  <c r="L18" i="4"/>
  <c r="K18" i="4"/>
  <c r="L17" i="4"/>
  <c r="K17" i="4"/>
  <c r="L16" i="4"/>
  <c r="K16" i="4"/>
  <c r="N10" i="4"/>
  <c r="N8" i="4"/>
  <c r="N9" i="4"/>
  <c r="J8" i="4"/>
  <c r="X9" i="3"/>
  <c r="X10" i="3" s="1"/>
  <c r="K21" i="3" s="1"/>
  <c r="X11" i="3"/>
  <c r="X12" i="3" s="1"/>
  <c r="K14" i="3" s="1"/>
  <c r="X13" i="3"/>
  <c r="X14" i="3" s="1"/>
  <c r="K12" i="3" s="1"/>
  <c r="N6" i="4" s="1"/>
  <c r="X15" i="3"/>
  <c r="X16" i="3" s="1"/>
  <c r="K15" i="3" s="1"/>
  <c r="X17" i="3"/>
  <c r="X18" i="3" s="1"/>
  <c r="K17" i="3" s="1"/>
  <c r="N7" i="4" s="1"/>
  <c r="X19" i="3"/>
  <c r="X20" i="3" s="1"/>
  <c r="K10" i="3" s="1"/>
  <c r="X21" i="3"/>
  <c r="X22" i="3" s="1"/>
  <c r="K13" i="3" s="1"/>
  <c r="X23" i="3"/>
  <c r="X24" i="3" s="1"/>
  <c r="K5" i="3" s="1"/>
  <c r="N5" i="4" s="1"/>
  <c r="X25" i="3"/>
  <c r="X26" i="3" s="1"/>
  <c r="K19" i="3" s="1"/>
  <c r="X27" i="3"/>
  <c r="X28" i="3" s="1"/>
  <c r="K22" i="3" s="1"/>
  <c r="X29" i="3"/>
  <c r="X30" i="3" s="1"/>
  <c r="K23" i="3" s="1"/>
  <c r="X31" i="3"/>
  <c r="X32" i="3" s="1"/>
  <c r="K6" i="3" s="1"/>
  <c r="X33" i="3"/>
  <c r="X34" i="3" s="1"/>
  <c r="K7" i="3" s="1"/>
  <c r="X35" i="3"/>
  <c r="X36" i="3" s="1"/>
  <c r="K20" i="3" s="1"/>
  <c r="X37" i="3"/>
  <c r="X38" i="3" s="1"/>
  <c r="K4" i="3" s="1"/>
  <c r="X39" i="3"/>
  <c r="X40" i="3" s="1"/>
  <c r="K9" i="3" s="1"/>
  <c r="X41" i="3"/>
  <c r="X42" i="3" s="1"/>
  <c r="K18" i="3" s="1"/>
  <c r="X43" i="3"/>
  <c r="X44" i="3" s="1"/>
  <c r="K11" i="3" s="1"/>
  <c r="X7" i="3"/>
  <c r="X8" i="3" s="1"/>
  <c r="K16" i="3" s="1"/>
  <c r="X5" i="3"/>
  <c r="X6" i="3" s="1"/>
  <c r="K8" i="3" s="1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I24" i="4"/>
  <c r="V25" i="3"/>
  <c r="V43" i="3"/>
  <c r="V41" i="3"/>
  <c r="V39" i="3"/>
  <c r="V37" i="3"/>
  <c r="V35" i="3"/>
  <c r="V33" i="3"/>
  <c r="V31" i="3"/>
  <c r="V29" i="3"/>
  <c r="V27" i="3"/>
  <c r="V23" i="3"/>
  <c r="V21" i="3"/>
  <c r="V19" i="3"/>
  <c r="V17" i="3"/>
  <c r="V15" i="3"/>
  <c r="V13" i="3"/>
  <c r="V11" i="3"/>
  <c r="V9" i="3"/>
  <c r="V7" i="3"/>
  <c r="V5" i="3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29" i="4" a="1"/>
  <c r="I29" i="4" s="1"/>
  <c r="H28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Q10" i="4"/>
  <c r="L10" i="4"/>
  <c r="K10" i="4"/>
  <c r="L9" i="4"/>
  <c r="K9" i="4"/>
  <c r="L8" i="4"/>
  <c r="K8" i="4"/>
  <c r="L7" i="4"/>
  <c r="K7" i="4"/>
  <c r="L6" i="4"/>
  <c r="K6" i="4"/>
  <c r="L5" i="4"/>
  <c r="K5" i="4"/>
  <c r="I28" i="3"/>
  <c r="I32" i="3"/>
  <c r="I30" i="3"/>
  <c r="I33" i="3"/>
  <c r="I31" i="3"/>
  <c r="I36" i="3"/>
  <c r="I34" i="3"/>
  <c r="I37" i="3"/>
  <c r="I35" i="3"/>
  <c r="I29" i="3"/>
  <c r="Z4" i="3"/>
  <c r="F28" i="3" s="1"/>
  <c r="G28" i="3" s="1"/>
  <c r="H28" i="3" s="1"/>
  <c r="N17" i="4" l="1"/>
  <c r="F11" i="4"/>
  <c r="N18" i="4"/>
  <c r="N20" i="4"/>
  <c r="N16" i="4"/>
  <c r="N11" i="4"/>
  <c r="K28" i="3"/>
  <c r="K33" i="3"/>
  <c r="K30" i="3"/>
  <c r="K22" i="4"/>
  <c r="L24" i="4" s="1"/>
  <c r="P24" i="4" s="1"/>
  <c r="N19" i="4"/>
  <c r="L22" i="4"/>
  <c r="K29" i="3"/>
  <c r="K37" i="3"/>
  <c r="K31" i="3"/>
  <c r="K32" i="3"/>
  <c r="K35" i="3"/>
  <c r="K36" i="3"/>
  <c r="K34" i="3"/>
  <c r="J10" i="4"/>
  <c r="L11" i="4"/>
  <c r="K11" i="4"/>
  <c r="F13" i="3"/>
  <c r="Z5" i="3"/>
  <c r="F9" i="3"/>
  <c r="F6" i="3"/>
  <c r="F5" i="3"/>
  <c r="F15" i="3"/>
  <c r="F16" i="3"/>
  <c r="F34" i="3"/>
  <c r="G34" i="3" s="1"/>
  <c r="H34" i="3" s="1"/>
  <c r="F30" i="3"/>
  <c r="G30" i="3" s="1"/>
  <c r="H30" i="3" s="1"/>
  <c r="F7" i="3"/>
  <c r="F8" i="3"/>
  <c r="G8" i="3" s="1"/>
  <c r="F4" i="3"/>
  <c r="F23" i="3"/>
  <c r="F12" i="3"/>
  <c r="F29" i="3"/>
  <c r="G29" i="3" s="1"/>
  <c r="H29" i="3" s="1"/>
  <c r="F36" i="3"/>
  <c r="G36" i="3" s="1"/>
  <c r="H36" i="3" s="1"/>
  <c r="F32" i="3"/>
  <c r="G32" i="3" s="1"/>
  <c r="H32" i="3" s="1"/>
  <c r="F18" i="3"/>
  <c r="F19" i="3"/>
  <c r="F17" i="3"/>
  <c r="F21" i="3"/>
  <c r="F37" i="3"/>
  <c r="G37" i="3" s="1"/>
  <c r="H37" i="3" s="1"/>
  <c r="F33" i="3"/>
  <c r="G33" i="3" s="1"/>
  <c r="H33" i="3" s="1"/>
  <c r="F11" i="3"/>
  <c r="F20" i="3"/>
  <c r="F22" i="3"/>
  <c r="F10" i="3"/>
  <c r="F14" i="3"/>
  <c r="F35" i="3"/>
  <c r="G35" i="3" s="1"/>
  <c r="H35" i="3" s="1"/>
  <c r="F31" i="3"/>
  <c r="G31" i="3" s="1"/>
  <c r="H31" i="3" s="1"/>
  <c r="J21" i="4" l="1"/>
  <c r="N21" i="4"/>
  <c r="N22" i="4" s="1"/>
  <c r="L13" i="4"/>
  <c r="P13" i="4" s="1"/>
  <c r="H8" i="3"/>
  <c r="N27" i="1"/>
  <c r="O50" i="1" a="1"/>
  <c r="O50" i="1" s="1"/>
  <c r="O49" i="1" a="1"/>
  <c r="O49" i="1" s="1"/>
  <c r="R8" i="3"/>
  <c r="M16" i="3" s="1"/>
  <c r="R10" i="3"/>
  <c r="R12" i="3"/>
  <c r="R14" i="3"/>
  <c r="R16" i="3"/>
  <c r="R18" i="3"/>
  <c r="R20" i="3"/>
  <c r="M10" i="3" s="1"/>
  <c r="R22" i="3"/>
  <c r="R24" i="3"/>
  <c r="M5" i="3" s="1"/>
  <c r="R26" i="3"/>
  <c r="R28" i="3"/>
  <c r="R30" i="3"/>
  <c r="R32" i="3"/>
  <c r="M6" i="3" s="1"/>
  <c r="R34" i="3"/>
  <c r="R36" i="3"/>
  <c r="R38" i="3"/>
  <c r="R40" i="3"/>
  <c r="R42" i="3"/>
  <c r="R44" i="3"/>
  <c r="M11" i="3" s="1"/>
  <c r="R6" i="3"/>
  <c r="Y13" i="3"/>
  <c r="Y14" i="3" s="1"/>
  <c r="L12" i="3" s="1"/>
  <c r="Y15" i="3"/>
  <c r="Y16" i="3" s="1"/>
  <c r="L15" i="3" s="1"/>
  <c r="Y17" i="3"/>
  <c r="Y18" i="3" s="1"/>
  <c r="L17" i="3" s="1"/>
  <c r="Y19" i="3"/>
  <c r="Y20" i="3" s="1"/>
  <c r="L10" i="3" s="1"/>
  <c r="Y21" i="3"/>
  <c r="Y22" i="3" s="1"/>
  <c r="L13" i="3" s="1"/>
  <c r="Y23" i="3"/>
  <c r="Y24" i="3" s="1"/>
  <c r="L5" i="3" s="1"/>
  <c r="Y25" i="3"/>
  <c r="Y26" i="3" s="1"/>
  <c r="L19" i="3" s="1"/>
  <c r="Y27" i="3"/>
  <c r="Y28" i="3" s="1"/>
  <c r="L22" i="3" s="1"/>
  <c r="Y29" i="3"/>
  <c r="Y30" i="3" s="1"/>
  <c r="L23" i="3" s="1"/>
  <c r="Y31" i="3"/>
  <c r="Y32" i="3" s="1"/>
  <c r="L6" i="3" s="1"/>
  <c r="Y33" i="3"/>
  <c r="Y34" i="3" s="1"/>
  <c r="L7" i="3" s="1"/>
  <c r="Y35" i="3"/>
  <c r="Y36" i="3" s="1"/>
  <c r="L20" i="3" s="1"/>
  <c r="Y37" i="3"/>
  <c r="Y38" i="3" s="1"/>
  <c r="L4" i="3" s="1"/>
  <c r="Y39" i="3"/>
  <c r="Y40" i="3" s="1"/>
  <c r="L9" i="3" s="1"/>
  <c r="Y41" i="3"/>
  <c r="Y42" i="3" s="1"/>
  <c r="L18" i="3" s="1"/>
  <c r="Y43" i="3"/>
  <c r="Y44" i="3" s="1"/>
  <c r="L11" i="3" s="1"/>
  <c r="Y11" i="3"/>
  <c r="Y12" i="3" s="1"/>
  <c r="L14" i="3" s="1"/>
  <c r="M17" i="4" s="1"/>
  <c r="Y9" i="3"/>
  <c r="Y10" i="3" s="1"/>
  <c r="L21" i="3" s="1"/>
  <c r="Y7" i="3"/>
  <c r="Y8" i="3" s="1"/>
  <c r="L16" i="3" s="1"/>
  <c r="Y5" i="3"/>
  <c r="Y6" i="3" s="1"/>
  <c r="L8" i="3" s="1"/>
  <c r="Z29" i="3"/>
  <c r="V11" i="4" l="1"/>
  <c r="V5" i="4"/>
  <c r="M19" i="4"/>
  <c r="M16" i="4"/>
  <c r="M20" i="4"/>
  <c r="M18" i="4"/>
  <c r="L28" i="3"/>
  <c r="L34" i="3"/>
  <c r="L29" i="3"/>
  <c r="L36" i="3"/>
  <c r="L37" i="3"/>
  <c r="L31" i="3"/>
  <c r="L32" i="3"/>
  <c r="L35" i="3"/>
  <c r="L33" i="3"/>
  <c r="L30" i="3"/>
  <c r="M8" i="4"/>
  <c r="M5" i="4"/>
  <c r="M7" i="4"/>
  <c r="M6" i="4"/>
  <c r="M9" i="4"/>
  <c r="V17" i="4"/>
  <c r="AA12" i="4"/>
  <c r="AA8" i="4"/>
  <c r="AA7" i="4"/>
  <c r="V21" i="4"/>
  <c r="V14" i="4"/>
  <c r="V6" i="4"/>
  <c r="V13" i="4"/>
  <c r="V10" i="4"/>
  <c r="V9" i="4"/>
  <c r="V20" i="4"/>
  <c r="V15" i="4"/>
  <c r="V12" i="4"/>
  <c r="V8" i="4"/>
  <c r="V18" i="4"/>
  <c r="V19" i="4"/>
  <c r="AA11" i="4"/>
  <c r="V23" i="4"/>
  <c r="V7" i="4"/>
  <c r="AA13" i="4"/>
  <c r="AA10" i="4"/>
  <c r="AA5" i="4"/>
  <c r="AA9" i="4"/>
  <c r="V16" i="4"/>
  <c r="V22" i="4"/>
  <c r="V24" i="4"/>
  <c r="AA14" i="4"/>
  <c r="AA6" i="4"/>
  <c r="M14" i="3"/>
  <c r="Q17" i="4" s="1"/>
  <c r="M8" i="3"/>
  <c r="M13" i="3"/>
  <c r="M12" i="3"/>
  <c r="R27" i="3"/>
  <c r="M22" i="3"/>
  <c r="Q19" i="4" s="1"/>
  <c r="R41" i="3"/>
  <c r="M18" i="3"/>
  <c r="R33" i="3"/>
  <c r="M7" i="3"/>
  <c r="R25" i="3"/>
  <c r="M19" i="3"/>
  <c r="R17" i="3"/>
  <c r="M17" i="3"/>
  <c r="R9" i="3"/>
  <c r="M21" i="3"/>
  <c r="R35" i="3"/>
  <c r="M20" i="3"/>
  <c r="R39" i="3"/>
  <c r="M9" i="3"/>
  <c r="R15" i="3"/>
  <c r="M15" i="3"/>
  <c r="R37" i="3"/>
  <c r="M4" i="3"/>
  <c r="R29" i="3"/>
  <c r="M23" i="3"/>
  <c r="R31" i="3"/>
  <c r="R23" i="3"/>
  <c r="R21" i="3"/>
  <c r="R19" i="3"/>
  <c r="R11" i="3"/>
  <c r="R7" i="3"/>
  <c r="R43" i="3"/>
  <c r="R13" i="3"/>
  <c r="R5" i="3"/>
  <c r="Z30" i="3"/>
  <c r="J23" i="3" s="1"/>
  <c r="Z38" i="3"/>
  <c r="J4" i="3" s="1"/>
  <c r="Z37" i="3"/>
  <c r="D18" i="1"/>
  <c r="D17" i="1"/>
  <c r="D16" i="1"/>
  <c r="Q20" i="4" l="1"/>
  <c r="Q18" i="4"/>
  <c r="Q16" i="4"/>
  <c r="AB8" i="4" a="1"/>
  <c r="AB8" i="4" s="1"/>
  <c r="Z8" i="4" s="1"/>
  <c r="AB6" i="4" a="1"/>
  <c r="AB6" i="4" s="1"/>
  <c r="Z6" i="4" s="1"/>
  <c r="AB5" i="4" a="1"/>
  <c r="AB5" i="4" s="1"/>
  <c r="Z5" i="4" s="1"/>
  <c r="AB9" i="4" a="1"/>
  <c r="AB9" i="4" s="1"/>
  <c r="Z9" i="4" s="1"/>
  <c r="AB14" i="4" a="1"/>
  <c r="AB14" i="4" s="1"/>
  <c r="Z14" i="4" s="1"/>
  <c r="M22" i="4"/>
  <c r="AB10" i="4" a="1"/>
  <c r="AB10" i="4" s="1"/>
  <c r="Z10" i="4" s="1"/>
  <c r="AB11" i="4" a="1"/>
  <c r="AB11" i="4" s="1"/>
  <c r="Z11" i="4" s="1"/>
  <c r="AB7" i="4" a="1"/>
  <c r="AB7" i="4" s="1"/>
  <c r="Z7" i="4" s="1"/>
  <c r="AB12" i="4" a="1"/>
  <c r="AB12" i="4" s="1"/>
  <c r="AB13" i="4" a="1"/>
  <c r="AB13" i="4" s="1"/>
  <c r="M11" i="4"/>
  <c r="Q5" i="4"/>
  <c r="Q8" i="4"/>
  <c r="Q6" i="4"/>
  <c r="Q9" i="4"/>
  <c r="Q7" i="4"/>
  <c r="H19" i="1"/>
  <c r="AL27" i="1"/>
  <c r="Q22" i="4" l="1"/>
  <c r="AC11" i="4"/>
  <c r="AC13" i="4"/>
  <c r="AC5" i="4"/>
  <c r="AC6" i="4"/>
  <c r="AC7" i="4"/>
  <c r="AC14" i="4"/>
  <c r="AC10" i="4"/>
  <c r="Z12" i="4"/>
  <c r="AC12" i="4"/>
  <c r="AC9" i="4"/>
  <c r="AC8" i="4"/>
  <c r="Z13" i="4"/>
  <c r="Q11" i="4"/>
  <c r="AL29" i="1" a="1"/>
  <c r="AL29" i="1" s="1"/>
  <c r="N29" i="1" s="1" a="1"/>
  <c r="N29" i="1" s="1"/>
  <c r="AL47" i="1" a="1"/>
  <c r="AL47" i="1" s="1"/>
  <c r="N47" i="1" s="1" a="1"/>
  <c r="N47" i="1" s="1"/>
  <c r="AL32" i="1" a="1"/>
  <c r="AL32" i="1" s="1"/>
  <c r="N32" i="1" s="1" a="1"/>
  <c r="N32" i="1" s="1"/>
  <c r="AL31" i="1" a="1"/>
  <c r="AL31" i="1" s="1"/>
  <c r="N31" i="1" s="1" a="1"/>
  <c r="N31" i="1" s="1"/>
  <c r="AL40" i="1" a="1"/>
  <c r="AL40" i="1" s="1"/>
  <c r="N40" i="1" s="1" a="1"/>
  <c r="N40" i="1" s="1"/>
  <c r="AL28" i="1" a="1"/>
  <c r="AL28" i="1" s="1"/>
  <c r="N28" i="1" s="1" a="1"/>
  <c r="N28" i="1" s="1"/>
  <c r="AL39" i="1" a="1"/>
  <c r="AL39" i="1" s="1"/>
  <c r="N39" i="1" s="1" a="1"/>
  <c r="N39" i="1" s="1"/>
  <c r="AL46" i="1" a="1"/>
  <c r="AL46" i="1" s="1"/>
  <c r="N46" i="1" s="1" a="1"/>
  <c r="N46" i="1" s="1"/>
  <c r="AL42" i="1" a="1"/>
  <c r="AL42" i="1" s="1"/>
  <c r="N42" i="1" s="1" a="1"/>
  <c r="N42" i="1" s="1"/>
  <c r="AL38" i="1" a="1"/>
  <c r="AL38" i="1" s="1"/>
  <c r="N38" i="1" s="1" a="1"/>
  <c r="N38" i="1" s="1"/>
  <c r="AL34" i="1" a="1"/>
  <c r="AL34" i="1" s="1"/>
  <c r="N34" i="1" s="1" a="1"/>
  <c r="N34" i="1" s="1"/>
  <c r="AL30" i="1" a="1"/>
  <c r="AL30" i="1" s="1"/>
  <c r="N30" i="1" s="1" a="1"/>
  <c r="N30" i="1" s="1"/>
  <c r="AL44" i="1" a="1"/>
  <c r="AL44" i="1" s="1"/>
  <c r="N44" i="1" s="1" a="1"/>
  <c r="N44" i="1" s="1"/>
  <c r="AL36" i="1" a="1"/>
  <c r="AL36" i="1" s="1"/>
  <c r="N36" i="1" s="1" a="1"/>
  <c r="N36" i="1" s="1"/>
  <c r="AL43" i="1" a="1"/>
  <c r="AL43" i="1" s="1"/>
  <c r="N43" i="1" s="1" a="1"/>
  <c r="N43" i="1" s="1"/>
  <c r="AL35" i="1" a="1"/>
  <c r="AL35" i="1" s="1"/>
  <c r="N35" i="1" s="1" a="1"/>
  <c r="N35" i="1" s="1"/>
  <c r="AL45" i="1" a="1"/>
  <c r="AL45" i="1" s="1"/>
  <c r="N45" i="1" s="1" a="1"/>
  <c r="N45" i="1" s="1"/>
  <c r="AL41" i="1" a="1"/>
  <c r="AL41" i="1" s="1"/>
  <c r="N41" i="1" s="1" a="1"/>
  <c r="N41" i="1" s="1"/>
  <c r="AL37" i="1" a="1"/>
  <c r="AL37" i="1" s="1"/>
  <c r="N37" i="1" s="1" a="1"/>
  <c r="N37" i="1" s="1"/>
  <c r="AL33" i="1" a="1"/>
  <c r="AL33" i="1" s="1"/>
  <c r="N33" i="1" s="1" a="1"/>
  <c r="N33" i="1" s="1"/>
  <c r="L29" i="1" l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8" i="1"/>
  <c r="W13" i="3"/>
  <c r="W5" i="3"/>
  <c r="Z3" i="1"/>
  <c r="Z4" i="1"/>
  <c r="Z5" i="1"/>
  <c r="Z6" i="1"/>
  <c r="Z7" i="1"/>
  <c r="Z8" i="1"/>
  <c r="Z9" i="1"/>
  <c r="G17" i="1" s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AE3" i="1"/>
  <c r="AE4" i="1"/>
  <c r="AE5" i="1"/>
  <c r="AE6" i="1"/>
  <c r="AE7" i="1"/>
  <c r="AE8" i="1"/>
  <c r="AE9" i="1"/>
  <c r="AE10" i="1"/>
  <c r="AE11" i="1"/>
  <c r="W21" i="3" l="1"/>
  <c r="W22" i="3" s="1"/>
  <c r="V22" i="3"/>
  <c r="N13" i="3" s="1"/>
  <c r="W39" i="3"/>
  <c r="W40" i="3" s="1"/>
  <c r="V40" i="3"/>
  <c r="N9" i="3" s="1"/>
  <c r="W37" i="3"/>
  <c r="W38" i="3" s="1"/>
  <c r="V38" i="3"/>
  <c r="N4" i="3" s="1"/>
  <c r="O4" i="3" s="1"/>
  <c r="W29" i="3"/>
  <c r="W30" i="3" s="1"/>
  <c r="V30" i="3"/>
  <c r="N23" i="3" s="1"/>
  <c r="W43" i="3"/>
  <c r="W44" i="3" s="1"/>
  <c r="V44" i="3"/>
  <c r="N11" i="3" s="1"/>
  <c r="W41" i="3"/>
  <c r="W42" i="3" s="1"/>
  <c r="V42" i="3"/>
  <c r="N18" i="3" s="1"/>
  <c r="W15" i="3"/>
  <c r="W16" i="3" s="1"/>
  <c r="V16" i="3"/>
  <c r="N15" i="3" s="1"/>
  <c r="W27" i="3"/>
  <c r="W28" i="3" s="1"/>
  <c r="V28" i="3"/>
  <c r="N22" i="3" s="1"/>
  <c r="W7" i="3"/>
  <c r="W8" i="3" s="1"/>
  <c r="V8" i="3"/>
  <c r="N16" i="3" s="1"/>
  <c r="W23" i="3"/>
  <c r="W24" i="3" s="1"/>
  <c r="V24" i="3"/>
  <c r="N5" i="3" s="1"/>
  <c r="W25" i="3"/>
  <c r="W26" i="3" s="1"/>
  <c r="V26" i="3"/>
  <c r="N19" i="3" s="1"/>
  <c r="W35" i="3"/>
  <c r="W36" i="3" s="1"/>
  <c r="V36" i="3"/>
  <c r="N20" i="3" s="1"/>
  <c r="W14" i="3"/>
  <c r="V14" i="3"/>
  <c r="N12" i="3" s="1"/>
  <c r="W33" i="3"/>
  <c r="W34" i="3" s="1"/>
  <c r="V34" i="3"/>
  <c r="N7" i="3" s="1"/>
  <c r="W6" i="3"/>
  <c r="V6" i="3"/>
  <c r="N8" i="3" s="1"/>
  <c r="W31" i="3"/>
  <c r="W32" i="3" s="1"/>
  <c r="V32" i="3"/>
  <c r="N6" i="3" s="1"/>
  <c r="W11" i="3"/>
  <c r="W12" i="3" s="1"/>
  <c r="V12" i="3"/>
  <c r="N14" i="3" s="1"/>
  <c r="W9" i="3"/>
  <c r="W10" i="3" s="1"/>
  <c r="V10" i="3"/>
  <c r="N21" i="3" s="1"/>
  <c r="W17" i="3"/>
  <c r="W18" i="3" s="1"/>
  <c r="O16" i="4" s="1"/>
  <c r="V18" i="3"/>
  <c r="N17" i="3" s="1"/>
  <c r="W19" i="3"/>
  <c r="W20" i="3" s="1"/>
  <c r="V20" i="3"/>
  <c r="N10" i="3" s="1"/>
  <c r="G19" i="1"/>
  <c r="G18" i="1"/>
  <c r="G16" i="1"/>
  <c r="G15" i="1"/>
  <c r="G5" i="1"/>
  <c r="G8" i="1"/>
  <c r="G7" i="1"/>
  <c r="G3" i="1"/>
  <c r="G4" i="1"/>
  <c r="G6" i="1"/>
  <c r="G14" i="1"/>
  <c r="O17" i="4" l="1"/>
  <c r="O20" i="4"/>
  <c r="O5" i="4"/>
  <c r="O19" i="4"/>
  <c r="O18" i="4"/>
  <c r="O6" i="3"/>
  <c r="O7" i="3"/>
  <c r="O5" i="3"/>
  <c r="O18" i="3"/>
  <c r="O23" i="3"/>
  <c r="O9" i="3"/>
  <c r="O10" i="3"/>
  <c r="O21" i="3"/>
  <c r="O20" i="3"/>
  <c r="O22" i="3"/>
  <c r="O17" i="3"/>
  <c r="O14" i="3"/>
  <c r="O19" i="3"/>
  <c r="O15" i="3"/>
  <c r="O16" i="3"/>
  <c r="O11" i="3"/>
  <c r="O13" i="3"/>
  <c r="O7" i="4"/>
  <c r="O6" i="4"/>
  <c r="O9" i="4"/>
  <c r="O8" i="4"/>
  <c r="O12" i="3"/>
  <c r="O8" i="3"/>
  <c r="G20" i="1"/>
  <c r="G9" i="1"/>
  <c r="J47" i="1"/>
  <c r="J45" i="1"/>
  <c r="J43" i="1"/>
  <c r="J41" i="1"/>
  <c r="J39" i="1"/>
  <c r="J37" i="1"/>
  <c r="J35" i="1"/>
  <c r="J33" i="1"/>
  <c r="J31" i="1"/>
  <c r="J29" i="1"/>
  <c r="J46" i="1"/>
  <c r="J44" i="1"/>
  <c r="J42" i="1"/>
  <c r="J40" i="1"/>
  <c r="J38" i="1"/>
  <c r="J36" i="1"/>
  <c r="J34" i="1"/>
  <c r="J32" i="1"/>
  <c r="J30" i="1"/>
  <c r="J28" i="1"/>
  <c r="N16" i="1"/>
  <c r="N17" i="1"/>
  <c r="N1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  <c r="L4" i="1"/>
  <c r="L5" i="1"/>
  <c r="L6" i="1"/>
  <c r="L7" i="1"/>
  <c r="L8" i="1"/>
  <c r="L9" i="1"/>
  <c r="L10" i="1"/>
  <c r="L11" i="1"/>
  <c r="L12" i="1"/>
  <c r="L3" i="1"/>
  <c r="O22" i="4" l="1"/>
  <c r="O11" i="4"/>
  <c r="Z32" i="3"/>
  <c r="J6" i="3" s="1"/>
  <c r="J34" i="3" s="1"/>
  <c r="Z31" i="3"/>
  <c r="H4" i="1"/>
  <c r="H3" i="1"/>
  <c r="H6" i="1"/>
  <c r="N11" i="1" a="1"/>
  <c r="N11" i="1" s="1"/>
  <c r="H5" i="1"/>
  <c r="H7" i="1"/>
  <c r="E8" i="1"/>
  <c r="E19" i="1"/>
  <c r="N7" i="1" a="1"/>
  <c r="N7" i="1" s="1"/>
  <c r="N3" i="1" a="1"/>
  <c r="N3" i="1" s="1"/>
  <c r="N12" i="1" a="1"/>
  <c r="N12" i="1" s="1"/>
  <c r="N9" i="1" a="1"/>
  <c r="N9" i="1" s="1"/>
  <c r="N6" i="1" a="1"/>
  <c r="N6" i="1" s="1"/>
  <c r="N8" i="1" a="1"/>
  <c r="N8" i="1" s="1"/>
  <c r="N5" i="1" a="1"/>
  <c r="N5" i="1" s="1"/>
  <c r="N10" i="1" a="1"/>
  <c r="N10" i="1" s="1"/>
  <c r="N4" i="1" a="1"/>
  <c r="N4" i="1" s="1"/>
  <c r="E5" i="1"/>
  <c r="E7" i="1"/>
  <c r="K22" i="1"/>
  <c r="K21" i="1"/>
  <c r="K20" i="1"/>
  <c r="K19" i="1"/>
  <c r="E18" i="1" s="1"/>
  <c r="K18" i="1"/>
  <c r="E17" i="1" s="1"/>
  <c r="K17" i="1"/>
  <c r="E16" i="1" s="1"/>
  <c r="K16" i="1"/>
  <c r="E15" i="1" s="1"/>
  <c r="K15" i="1"/>
  <c r="H14" i="1" s="1"/>
  <c r="AE12" i="1"/>
  <c r="Z16" i="3" l="1"/>
  <c r="J15" i="3" s="1"/>
  <c r="Z15" i="3"/>
  <c r="G22" i="3" s="1"/>
  <c r="Z18" i="3"/>
  <c r="J17" i="3" s="1"/>
  <c r="Z17" i="3"/>
  <c r="G6" i="3" s="1"/>
  <c r="Z6" i="3"/>
  <c r="G16" i="3"/>
  <c r="Z28" i="3"/>
  <c r="J22" i="3" s="1"/>
  <c r="Z27" i="3"/>
  <c r="Z42" i="3"/>
  <c r="J18" i="3" s="1"/>
  <c r="Z41" i="3"/>
  <c r="Z24" i="3"/>
  <c r="J5" i="3" s="1"/>
  <c r="Z23" i="3"/>
  <c r="G11" i="3" s="1"/>
  <c r="Z14" i="3"/>
  <c r="J12" i="3" s="1"/>
  <c r="Z13" i="3"/>
  <c r="G5" i="3" s="1"/>
  <c r="Z8" i="3"/>
  <c r="J16" i="3" s="1"/>
  <c r="Z7" i="3"/>
  <c r="G14" i="3" s="1"/>
  <c r="Z40" i="3"/>
  <c r="J9" i="3" s="1"/>
  <c r="J37" i="3" s="1"/>
  <c r="Z39" i="3"/>
  <c r="Z26" i="3"/>
  <c r="J19" i="3" s="1"/>
  <c r="Z25" i="3"/>
  <c r="Z22" i="3"/>
  <c r="J13" i="3" s="1"/>
  <c r="Z21" i="3"/>
  <c r="G9" i="3" s="1"/>
  <c r="Z12" i="3"/>
  <c r="J14" i="3" s="1"/>
  <c r="Z11" i="3"/>
  <c r="G10" i="3" s="1"/>
  <c r="Z44" i="3"/>
  <c r="J11" i="3" s="1"/>
  <c r="J35" i="3" s="1"/>
  <c r="Z43" i="3"/>
  <c r="Z34" i="3"/>
  <c r="J7" i="3" s="1"/>
  <c r="Z33" i="3"/>
  <c r="Z10" i="3"/>
  <c r="J21" i="3" s="1"/>
  <c r="Z9" i="3"/>
  <c r="G15" i="3" s="1"/>
  <c r="Z36" i="3"/>
  <c r="J20" i="3" s="1"/>
  <c r="Z35" i="3"/>
  <c r="Z20" i="3"/>
  <c r="J10" i="3" s="1"/>
  <c r="Z19" i="3"/>
  <c r="G20" i="3" s="1"/>
  <c r="H9" i="1"/>
  <c r="E14" i="1"/>
  <c r="E20" i="1" s="1"/>
  <c r="F22" i="1" s="1"/>
  <c r="I22" i="1" s="1"/>
  <c r="H17" i="1"/>
  <c r="H15" i="1"/>
  <c r="H18" i="1"/>
  <c r="H16" i="1"/>
  <c r="X3" i="1"/>
  <c r="AL3" i="1" s="1" a="1"/>
  <c r="AL3" i="1" s="1"/>
  <c r="E6" i="1"/>
  <c r="E3" i="1"/>
  <c r="E4" i="1"/>
  <c r="T4" i="1" a="1"/>
  <c r="T4" i="1" s="1"/>
  <c r="T7" i="1" a="1"/>
  <c r="T7" i="1" s="1"/>
  <c r="T12" i="1" a="1"/>
  <c r="T12" i="1" s="1"/>
  <c r="T15" i="1" a="1"/>
  <c r="T15" i="1" s="1"/>
  <c r="S15" i="1" s="1"/>
  <c r="T18" i="1" a="1"/>
  <c r="T18" i="1" s="1"/>
  <c r="T22" i="1" a="1"/>
  <c r="T22" i="1" s="1"/>
  <c r="T14" i="1" a="1"/>
  <c r="T14" i="1" s="1"/>
  <c r="T5" i="1" a="1"/>
  <c r="T5" i="1" s="1"/>
  <c r="T10" i="1" a="1"/>
  <c r="T10" i="1" s="1"/>
  <c r="T13" i="1" a="1"/>
  <c r="T13" i="1" s="1"/>
  <c r="T19" i="1" a="1"/>
  <c r="T19" i="1" s="1"/>
  <c r="T3" i="1" a="1"/>
  <c r="T3" i="1" s="1"/>
  <c r="T6" i="1" a="1"/>
  <c r="T6" i="1" s="1"/>
  <c r="T17" i="1" a="1"/>
  <c r="T17" i="1" s="1"/>
  <c r="T8" i="1" a="1"/>
  <c r="T8" i="1" s="1"/>
  <c r="T11" i="1" a="1"/>
  <c r="T11" i="1" s="1"/>
  <c r="T16" i="1" a="1"/>
  <c r="T16" i="1" s="1"/>
  <c r="S16" i="1" s="1"/>
  <c r="T20" i="1" a="1"/>
  <c r="T20" i="1" s="1"/>
  <c r="T9" i="1" a="1"/>
  <c r="T9" i="1" s="1"/>
  <c r="T21" i="1" a="1"/>
  <c r="T21" i="1" s="1"/>
  <c r="M5" i="1"/>
  <c r="M7" i="1"/>
  <c r="M9" i="1"/>
  <c r="M11" i="1"/>
  <c r="M4" i="1"/>
  <c r="M3" i="1"/>
  <c r="M6" i="1"/>
  <c r="M8" i="1"/>
  <c r="M10" i="1"/>
  <c r="M12" i="1"/>
  <c r="X15" i="1"/>
  <c r="AL17" i="1" s="1" a="1"/>
  <c r="AL17" i="1" s="1"/>
  <c r="X19" i="1"/>
  <c r="AL19" i="1" s="1" a="1"/>
  <c r="AL19" i="1" s="1"/>
  <c r="X11" i="1"/>
  <c r="AL11" i="1" s="1" a="1"/>
  <c r="AL11" i="1" s="1"/>
  <c r="X7" i="1"/>
  <c r="AL7" i="1" s="1" a="1"/>
  <c r="AL7" i="1" s="1"/>
  <c r="W10" i="4" l="1" a="1"/>
  <c r="W10" i="4" s="1"/>
  <c r="J5" i="4"/>
  <c r="H31" i="4"/>
  <c r="J17" i="4"/>
  <c r="P17" i="4"/>
  <c r="J19" i="4"/>
  <c r="P16" i="4"/>
  <c r="P20" i="4"/>
  <c r="P19" i="4"/>
  <c r="J28" i="3"/>
  <c r="J30" i="3"/>
  <c r="J31" i="3"/>
  <c r="J32" i="3"/>
  <c r="J36" i="3"/>
  <c r="J33" i="3"/>
  <c r="G21" i="3"/>
  <c r="J18" i="4" s="1"/>
  <c r="J8" i="3"/>
  <c r="T22" i="4"/>
  <c r="H11" i="3"/>
  <c r="W13" i="4" s="1" a="1"/>
  <c r="W13" i="4" s="1"/>
  <c r="H6" i="3"/>
  <c r="H14" i="3"/>
  <c r="H20" i="3"/>
  <c r="W22" i="4" s="1" a="1"/>
  <c r="W22" i="4" s="1"/>
  <c r="H15" i="3"/>
  <c r="H9" i="3"/>
  <c r="H5" i="3"/>
  <c r="H16" i="3"/>
  <c r="H22" i="3"/>
  <c r="H10" i="3"/>
  <c r="G13" i="3"/>
  <c r="G12" i="3"/>
  <c r="G7" i="3"/>
  <c r="G4" i="3"/>
  <c r="G17" i="3"/>
  <c r="G18" i="3"/>
  <c r="G19" i="3"/>
  <c r="G23" i="3"/>
  <c r="S20" i="1"/>
  <c r="S22" i="1"/>
  <c r="U22" i="1" s="1"/>
  <c r="S6" i="1"/>
  <c r="S18" i="1"/>
  <c r="S21" i="1"/>
  <c r="S3" i="1"/>
  <c r="U3" i="1" s="1"/>
  <c r="S17" i="1"/>
  <c r="S7" i="1"/>
  <c r="I3" i="1" s="1"/>
  <c r="S10" i="1"/>
  <c r="S4" i="1"/>
  <c r="I14" i="1" s="1"/>
  <c r="S11" i="1"/>
  <c r="S5" i="1"/>
  <c r="S9" i="1"/>
  <c r="S8" i="1"/>
  <c r="S19" i="1"/>
  <c r="I17" i="1" s="1"/>
  <c r="S14" i="1"/>
  <c r="U14" i="1" s="1"/>
  <c r="S12" i="1"/>
  <c r="U12" i="1" s="1"/>
  <c r="S13" i="1"/>
  <c r="H20" i="1"/>
  <c r="I15" i="1"/>
  <c r="I18" i="1"/>
  <c r="I19" i="1"/>
  <c r="I8" i="1"/>
  <c r="I4" i="1"/>
  <c r="I7" i="1"/>
  <c r="X13" i="1"/>
  <c r="AL15" i="1" s="1" a="1"/>
  <c r="AL15" i="1" s="1"/>
  <c r="X10" i="1"/>
  <c r="AL10" i="1" s="1" a="1"/>
  <c r="AL10" i="1" s="1"/>
  <c r="X12" i="1"/>
  <c r="AL12" i="1" s="1" a="1"/>
  <c r="AL12" i="1" s="1"/>
  <c r="AJ11" i="1" s="1"/>
  <c r="U16" i="1"/>
  <c r="X17" i="1"/>
  <c r="AL13" i="1" s="1" a="1"/>
  <c r="AL13" i="1" s="1"/>
  <c r="X14" i="1"/>
  <c r="AL16" i="1" s="1" a="1"/>
  <c r="AL16" i="1" s="1"/>
  <c r="X16" i="1"/>
  <c r="AL18" i="1" s="1" a="1"/>
  <c r="AL18" i="1" s="1"/>
  <c r="AJ17" i="1" s="1"/>
  <c r="X5" i="1"/>
  <c r="AL5" i="1" s="1" a="1"/>
  <c r="AL5" i="1" s="1"/>
  <c r="X21" i="1"/>
  <c r="AL21" i="1" s="1" a="1"/>
  <c r="AL21" i="1" s="1"/>
  <c r="X18" i="1"/>
  <c r="AL14" i="1" s="1" a="1"/>
  <c r="AL14" i="1" s="1"/>
  <c r="X4" i="1"/>
  <c r="AL4" i="1" s="1" a="1"/>
  <c r="AL4" i="1" s="1"/>
  <c r="X20" i="1"/>
  <c r="AL20" i="1" s="1" a="1"/>
  <c r="AL20" i="1" s="1"/>
  <c r="AJ19" i="1" s="1"/>
  <c r="X9" i="1"/>
  <c r="AL9" i="1" s="1" a="1"/>
  <c r="AL9" i="1" s="1"/>
  <c r="X6" i="1"/>
  <c r="AL6" i="1" s="1" a="1"/>
  <c r="AL6" i="1" s="1"/>
  <c r="X22" i="1"/>
  <c r="AL22" i="1" s="1" a="1"/>
  <c r="AL22" i="1" s="1"/>
  <c r="X8" i="1"/>
  <c r="AL8" i="1" s="1" a="1"/>
  <c r="AL8" i="1" s="1"/>
  <c r="U5" i="1"/>
  <c r="C51" i="1" s="1"/>
  <c r="O11" i="1"/>
  <c r="F55" i="1" s="1"/>
  <c r="U20" i="1"/>
  <c r="O7" i="1"/>
  <c r="F59" i="1" s="1"/>
  <c r="O3" i="1"/>
  <c r="F54" i="1" s="1"/>
  <c r="U15" i="1"/>
  <c r="O10" i="1"/>
  <c r="F56" i="1" s="1"/>
  <c r="O4" i="1"/>
  <c r="F52" i="1" s="1"/>
  <c r="O9" i="1"/>
  <c r="F57" i="1" s="1"/>
  <c r="U9" i="1"/>
  <c r="O6" i="1"/>
  <c r="F50" i="1" s="1"/>
  <c r="U18" i="1"/>
  <c r="O12" i="1"/>
  <c r="F58" i="1" s="1"/>
  <c r="U21" i="1"/>
  <c r="C58" i="1" s="1"/>
  <c r="U17" i="1"/>
  <c r="O8" i="1"/>
  <c r="F51" i="1" s="1"/>
  <c r="U7" i="1"/>
  <c r="U10" i="1"/>
  <c r="C53" i="1" s="1"/>
  <c r="C69" i="1"/>
  <c r="U11" i="1"/>
  <c r="U13" i="1"/>
  <c r="U6" i="1"/>
  <c r="C54" i="1" s="1"/>
  <c r="E9" i="1"/>
  <c r="F11" i="1" s="1"/>
  <c r="I11" i="1" s="1"/>
  <c r="C57" i="1"/>
  <c r="T5" i="4" l="1"/>
  <c r="T24" i="4"/>
  <c r="T7" i="4"/>
  <c r="T14" i="4"/>
  <c r="J6" i="4"/>
  <c r="T8" i="4"/>
  <c r="J7" i="4"/>
  <c r="J20" i="4"/>
  <c r="J16" i="4"/>
  <c r="J22" i="4" s="1"/>
  <c r="J29" i="3"/>
  <c r="P18" i="4"/>
  <c r="W20" i="4" a="1"/>
  <c r="W20" i="4" s="1"/>
  <c r="U10" i="4"/>
  <c r="W12" i="4" a="1"/>
  <c r="W12" i="4" s="1"/>
  <c r="W15" i="4" a="1"/>
  <c r="W15" i="4" s="1"/>
  <c r="T6" i="4"/>
  <c r="W8" i="4" a="1"/>
  <c r="W8" i="4" s="1"/>
  <c r="H21" i="3"/>
  <c r="P8" i="4"/>
  <c r="T16" i="4"/>
  <c r="T10" i="4"/>
  <c r="T20" i="4"/>
  <c r="T18" i="4"/>
  <c r="T12" i="4"/>
  <c r="J9" i="4"/>
  <c r="H30" i="4"/>
  <c r="T15" i="4"/>
  <c r="T11" i="4"/>
  <c r="T19" i="4"/>
  <c r="T13" i="4"/>
  <c r="U22" i="4"/>
  <c r="T17" i="4"/>
  <c r="T23" i="4"/>
  <c r="T21" i="4"/>
  <c r="T9" i="4"/>
  <c r="H23" i="3"/>
  <c r="W24" i="4" s="1" a="1"/>
  <c r="W24" i="4" s="1"/>
  <c r="H18" i="3"/>
  <c r="W14" i="4" s="1" a="1"/>
  <c r="W14" i="4" s="1"/>
  <c r="H19" i="3"/>
  <c r="W18" i="4" s="1" a="1"/>
  <c r="W18" i="4" s="1"/>
  <c r="H17" i="3"/>
  <c r="H7" i="3"/>
  <c r="W21" i="4" s="1" a="1"/>
  <c r="W21" i="4" s="1"/>
  <c r="H4" i="3"/>
  <c r="W23" i="4" s="1" a="1"/>
  <c r="W23" i="4" s="1"/>
  <c r="H12" i="3"/>
  <c r="W11" i="4" s="1" a="1"/>
  <c r="W11" i="4" s="1"/>
  <c r="H13" i="3"/>
  <c r="W19" i="4" s="1" a="1"/>
  <c r="W19" i="4" s="1"/>
  <c r="U19" i="1"/>
  <c r="L17" i="1" s="1" a="1"/>
  <c r="L17" i="1" s="1"/>
  <c r="I16" i="1"/>
  <c r="I5" i="1"/>
  <c r="U4" i="1"/>
  <c r="C60" i="1" s="1"/>
  <c r="I6" i="1"/>
  <c r="L15" i="1" a="1"/>
  <c r="L15" i="1" s="1"/>
  <c r="F3" i="1"/>
  <c r="F5" i="1"/>
  <c r="F14" i="1"/>
  <c r="O15" i="1" a="1"/>
  <c r="O15" i="1" s="1"/>
  <c r="F4" i="1"/>
  <c r="AJ9" i="1"/>
  <c r="AJ21" i="1"/>
  <c r="AJ15" i="1"/>
  <c r="AJ3" i="1"/>
  <c r="F18" i="1"/>
  <c r="AJ13" i="1"/>
  <c r="F15" i="1"/>
  <c r="AJ7" i="1"/>
  <c r="AJ5" i="1"/>
  <c r="F6" i="1"/>
  <c r="F16" i="1"/>
  <c r="F17" i="1"/>
  <c r="F7" i="1"/>
  <c r="I20" i="1"/>
  <c r="L19" i="1" a="1"/>
  <c r="L19" i="1" s="1"/>
  <c r="C63" i="1"/>
  <c r="L22" i="1" a="1"/>
  <c r="L22" i="1" s="1"/>
  <c r="C65" i="1"/>
  <c r="C59" i="1"/>
  <c r="C62" i="1"/>
  <c r="C67" i="1"/>
  <c r="C66" i="1"/>
  <c r="C68" i="1"/>
  <c r="C64" i="1"/>
  <c r="C55" i="1"/>
  <c r="C56" i="1"/>
  <c r="L18" i="1" a="1"/>
  <c r="L18" i="1" s="1"/>
  <c r="L20" i="1" a="1"/>
  <c r="L20" i="1" s="1"/>
  <c r="L16" i="1" a="1"/>
  <c r="L16" i="1" s="1"/>
  <c r="U8" i="1"/>
  <c r="C50" i="1" s="1"/>
  <c r="O5" i="1"/>
  <c r="O17" i="1" s="1" a="1"/>
  <c r="O17" i="1" s="1"/>
  <c r="J11" i="4" l="1"/>
  <c r="P21" i="4"/>
  <c r="P22" i="4" s="1"/>
  <c r="U12" i="4"/>
  <c r="U14" i="4"/>
  <c r="U8" i="4"/>
  <c r="U24" i="4"/>
  <c r="W9" i="4" a="1"/>
  <c r="W9" i="4" s="1"/>
  <c r="W17" i="4" a="1"/>
  <c r="W17" i="4" s="1"/>
  <c r="W16" i="4" a="1"/>
  <c r="W16" i="4" s="1"/>
  <c r="W6" i="4" a="1"/>
  <c r="W6" i="4" s="1"/>
  <c r="W7" i="4" a="1"/>
  <c r="W7" i="4" s="1"/>
  <c r="U18" i="4"/>
  <c r="W5" i="4" a="1"/>
  <c r="W5" i="4" s="1"/>
  <c r="U20" i="4"/>
  <c r="H29" i="4"/>
  <c r="P9" i="4"/>
  <c r="P5" i="4"/>
  <c r="P7" i="4"/>
  <c r="P6" i="4"/>
  <c r="U21" i="4"/>
  <c r="U13" i="4"/>
  <c r="U23" i="4"/>
  <c r="U11" i="4"/>
  <c r="U19" i="4"/>
  <c r="U15" i="4"/>
  <c r="C52" i="1"/>
  <c r="I9" i="1"/>
  <c r="L21" i="1" a="1"/>
  <c r="L21" i="1" s="1"/>
  <c r="F53" i="1"/>
  <c r="O16" i="1" a="1"/>
  <c r="O16" i="1" s="1"/>
  <c r="F8" i="1"/>
  <c r="F9" i="1" s="1"/>
  <c r="F19" i="1"/>
  <c r="F20" i="1" s="1"/>
  <c r="C61" i="1"/>
  <c r="X11" i="4" l="1"/>
  <c r="X5" i="4"/>
  <c r="X10" i="4"/>
  <c r="X13" i="4"/>
  <c r="X22" i="4"/>
  <c r="X17" i="4"/>
  <c r="X21" i="4"/>
  <c r="X12" i="4"/>
  <c r="X7" i="4"/>
  <c r="X9" i="4"/>
  <c r="X8" i="4"/>
  <c r="X18" i="4"/>
  <c r="X6" i="4"/>
  <c r="X20" i="4"/>
  <c r="X14" i="4"/>
  <c r="X15" i="4"/>
  <c r="X16" i="4"/>
  <c r="X24" i="4"/>
  <c r="X23" i="4"/>
  <c r="X19" i="4"/>
  <c r="U9" i="4"/>
  <c r="U6" i="4"/>
  <c r="U5" i="4"/>
  <c r="U16" i="4"/>
  <c r="U7" i="4"/>
  <c r="U17" i="4"/>
  <c r="P10" i="4"/>
  <c r="P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<sst xmlns="http://schemas.openxmlformats.org/spreadsheetml/2006/main" count="541" uniqueCount="151">
  <si>
    <t>Turbo / Mega</t>
  </si>
  <si>
    <t>Price</t>
  </si>
  <si>
    <t>Avg</t>
  </si>
  <si>
    <t>Driver</t>
  </si>
  <si>
    <t>Sum Points</t>
  </si>
  <si>
    <t>Points/M</t>
  </si>
  <si>
    <t>Avg Points</t>
  </si>
  <si>
    <t>Constructor</t>
  </si>
  <si>
    <t>Posibles</t>
  </si>
  <si>
    <t>Q(5)</t>
  </si>
  <si>
    <t>R(10)</t>
  </si>
  <si>
    <t>Const.</t>
  </si>
  <si>
    <t xml:space="preserve">Posibles </t>
  </si>
  <si>
    <t>Hamilton</t>
  </si>
  <si>
    <t>Mercedes</t>
  </si>
  <si>
    <t xml:space="preserve">Driver 2 </t>
  </si>
  <si>
    <t>Verstappen</t>
  </si>
  <si>
    <t>Bottas</t>
  </si>
  <si>
    <t>Red Bull</t>
  </si>
  <si>
    <t xml:space="preserve">Driver 3 </t>
  </si>
  <si>
    <t>McLaren</t>
  </si>
  <si>
    <t>Driver 4</t>
  </si>
  <si>
    <t>Perez</t>
  </si>
  <si>
    <t>Ferrari</t>
  </si>
  <si>
    <t>Driver 5</t>
  </si>
  <si>
    <t>Ricciardo</t>
  </si>
  <si>
    <t>Aston Martin</t>
  </si>
  <si>
    <t>Norris</t>
  </si>
  <si>
    <t>Alpine</t>
  </si>
  <si>
    <t>Total</t>
  </si>
  <si>
    <t>Leclerc</t>
  </si>
  <si>
    <t>Alpha Tauri</t>
  </si>
  <si>
    <t>Sainz</t>
  </si>
  <si>
    <t>Alfa Romeo</t>
  </si>
  <si>
    <t>Budget</t>
  </si>
  <si>
    <t>Ocupado</t>
  </si>
  <si>
    <t>Restante</t>
  </si>
  <si>
    <t>Vettel</t>
  </si>
  <si>
    <t>Williams</t>
  </si>
  <si>
    <t>Stroll</t>
  </si>
  <si>
    <t>Haas</t>
  </si>
  <si>
    <t>Alonso</t>
  </si>
  <si>
    <t>Ocon</t>
  </si>
  <si>
    <t>Gasly</t>
  </si>
  <si>
    <t>Tsunoda</t>
  </si>
  <si>
    <t>Raikkonen</t>
  </si>
  <si>
    <t>Giovinazzi</t>
  </si>
  <si>
    <t>Latifi</t>
  </si>
  <si>
    <t>Russell</t>
  </si>
  <si>
    <t>Schumacher</t>
  </si>
  <si>
    <t>Mazepin</t>
  </si>
  <si>
    <t>Nn</t>
  </si>
  <si>
    <t>Drivers</t>
  </si>
  <si>
    <t>Constructors</t>
  </si>
  <si>
    <t>Column1</t>
  </si>
  <si>
    <t>Bahrein</t>
  </si>
  <si>
    <t>Imola</t>
  </si>
  <si>
    <t>Portugal</t>
  </si>
  <si>
    <t>España</t>
  </si>
  <si>
    <t>Monaco</t>
  </si>
  <si>
    <t>Azerbaiyan</t>
  </si>
  <si>
    <t>Francia</t>
  </si>
  <si>
    <t>Steiermark</t>
  </si>
  <si>
    <t>Austria</t>
  </si>
  <si>
    <t>Gran Bretana</t>
  </si>
  <si>
    <t>Hungary</t>
  </si>
  <si>
    <t>Belgica</t>
  </si>
  <si>
    <t>netherland</t>
  </si>
  <si>
    <t>Italia</t>
  </si>
  <si>
    <t>USA</t>
  </si>
  <si>
    <t>Mexico</t>
  </si>
  <si>
    <t>Brasil</t>
  </si>
  <si>
    <t>Arabia S</t>
  </si>
  <si>
    <t>Carreras -&gt;</t>
  </si>
  <si>
    <t>avg pos</t>
  </si>
  <si>
    <t>price</t>
  </si>
  <si>
    <t>leclerc</t>
  </si>
  <si>
    <t>Season Points</t>
  </si>
  <si>
    <t xml:space="preserve">Team </t>
  </si>
  <si>
    <t>Avg points</t>
  </si>
  <si>
    <t>Winner</t>
  </si>
  <si>
    <t>Driver 1</t>
  </si>
  <si>
    <t>Team avg Pos</t>
  </si>
  <si>
    <t>bottas</t>
  </si>
  <si>
    <t>ferrari</t>
  </si>
  <si>
    <t>sum points</t>
  </si>
  <si>
    <t>norris</t>
  </si>
  <si>
    <t>Sochi</t>
  </si>
  <si>
    <t>Albon</t>
  </si>
  <si>
    <t>sainz</t>
  </si>
  <si>
    <t>Turkey</t>
  </si>
  <si>
    <t>Streak</t>
  </si>
  <si>
    <t xml:space="preserve"> </t>
  </si>
  <si>
    <t>Race</t>
  </si>
  <si>
    <t>Winn over tm8</t>
  </si>
  <si>
    <t>DNF</t>
  </si>
  <si>
    <t>Second half</t>
  </si>
  <si>
    <t>Qatar</t>
  </si>
  <si>
    <t>Positions G&amp;L</t>
  </si>
  <si>
    <t>Avg Positions G&amp;L</t>
  </si>
  <si>
    <t>Column2</t>
  </si>
  <si>
    <t>Zhou</t>
  </si>
  <si>
    <t>mclaren</t>
  </si>
  <si>
    <t>gasly</t>
  </si>
  <si>
    <t>Magnussen</t>
  </si>
  <si>
    <t>DNFs</t>
  </si>
  <si>
    <t>Arabia Saudi</t>
  </si>
  <si>
    <t>Australia</t>
  </si>
  <si>
    <t>Emilia-Ro</t>
  </si>
  <si>
    <t>Miami</t>
  </si>
  <si>
    <t>Barcelona</t>
  </si>
  <si>
    <t>Azerbaijan</t>
  </si>
  <si>
    <t>Canada</t>
  </si>
  <si>
    <t>Silverstone</t>
  </si>
  <si>
    <t>perez</t>
  </si>
  <si>
    <t>France</t>
  </si>
  <si>
    <t>Belgium</t>
  </si>
  <si>
    <t>Starting G.</t>
  </si>
  <si>
    <t>Netherlands</t>
  </si>
  <si>
    <t>.</t>
  </si>
  <si>
    <t>Italy</t>
  </si>
  <si>
    <t>Singapore</t>
  </si>
  <si>
    <t>Japan</t>
  </si>
  <si>
    <t>Brazil</t>
  </si>
  <si>
    <t>Abu Dhabi</t>
  </si>
  <si>
    <t>Cambios</t>
  </si>
  <si>
    <t>TD</t>
  </si>
  <si>
    <t>&gt;</t>
  </si>
  <si>
    <t>Driver:</t>
  </si>
  <si>
    <t>WOT</t>
  </si>
  <si>
    <t>Rank Price</t>
  </si>
  <si>
    <t>Avg Pos. G | L</t>
  </si>
  <si>
    <t>Avg. Pos.</t>
  </si>
  <si>
    <t>Avg Pos. G|L</t>
  </si>
  <si>
    <t>Avg pos</t>
  </si>
  <si>
    <t>Total Points</t>
  </si>
  <si>
    <t>Points</t>
  </si>
  <si>
    <t>Contructor</t>
  </si>
  <si>
    <t>alonso</t>
  </si>
  <si>
    <t>Rank</t>
  </si>
  <si>
    <t>Pos. G | L</t>
  </si>
  <si>
    <t>Creado por:</t>
  </si>
  <si>
    <t>Daiel Alas</t>
  </si>
  <si>
    <t>verstappen</t>
  </si>
  <si>
    <t>Last Week</t>
  </si>
  <si>
    <t>Team</t>
  </si>
  <si>
    <t>Wins</t>
  </si>
  <si>
    <t>ricciardo</t>
  </si>
  <si>
    <t>mercedes</t>
  </si>
  <si>
    <t>ocon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</si>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</sst>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;\-0;;@"/>
    <numFmt numFmtId="166" formatCode="0.0;\-0.0;;@"/>
    <numFmt numFmtId="167" formatCode="0.00;\-0.00;;@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rgb="FF000000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249977111117893"/>
      </left>
      <right/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 style="thin">
        <color theme="0" tint="-0.249977111117893"/>
      </left>
      <right/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theme="0" tint="-0.249977111117893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249977111117893"/>
      </left>
      <right style="thin">
        <color rgb="FF000000"/>
      </right>
      <top/>
      <bottom style="medium">
        <color theme="1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3" xfId="0" applyFont="1" applyBorder="1"/>
    <xf numFmtId="164" fontId="0" fillId="0" borderId="0" xfId="0" applyNumberFormat="1"/>
    <xf numFmtId="0" fontId="0" fillId="0" borderId="6" xfId="0" applyBorder="1"/>
    <xf numFmtId="0" fontId="0" fillId="0" borderId="22" xfId="0" applyBorder="1"/>
    <xf numFmtId="0" fontId="0" fillId="0" borderId="14" xfId="0" applyBorder="1"/>
    <xf numFmtId="0" fontId="0" fillId="0" borderId="2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3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9" fillId="0" borderId="20" xfId="0" applyFont="1" applyBorder="1"/>
    <xf numFmtId="0" fontId="9" fillId="0" borderId="7" xfId="0" applyFont="1" applyBorder="1"/>
    <xf numFmtId="0" fontId="0" fillId="0" borderId="11" xfId="0" applyBorder="1"/>
    <xf numFmtId="0" fontId="0" fillId="0" borderId="24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21" xfId="0" applyBorder="1"/>
    <xf numFmtId="0" fontId="0" fillId="0" borderId="25" xfId="0" applyBorder="1"/>
    <xf numFmtId="0" fontId="1" fillId="0" borderId="4" xfId="0" applyFont="1" applyBorder="1"/>
    <xf numFmtId="0" fontId="2" fillId="0" borderId="27" xfId="0" applyFont="1" applyBorder="1"/>
    <xf numFmtId="0" fontId="2" fillId="0" borderId="31" xfId="0" applyFont="1" applyBorder="1"/>
    <xf numFmtId="0" fontId="10" fillId="0" borderId="1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6" xfId="0" applyFont="1" applyBorder="1"/>
    <xf numFmtId="0" fontId="1" fillId="0" borderId="37" xfId="0" applyFont="1" applyBorder="1"/>
    <xf numFmtId="0" fontId="9" fillId="0" borderId="38" xfId="0" applyFont="1" applyBorder="1"/>
    <xf numFmtId="0" fontId="1" fillId="0" borderId="25" xfId="0" applyFont="1" applyBorder="1"/>
    <xf numFmtId="0" fontId="1" fillId="0" borderId="30" xfId="0" applyFont="1" applyBorder="1"/>
    <xf numFmtId="2" fontId="1" fillId="0" borderId="26" xfId="0" applyNumberFormat="1" applyFont="1" applyBorder="1"/>
    <xf numFmtId="0" fontId="1" fillId="0" borderId="35" xfId="0" applyFont="1" applyBorder="1"/>
    <xf numFmtId="0" fontId="1" fillId="0" borderId="39" xfId="0" applyFont="1" applyBorder="1"/>
    <xf numFmtId="0" fontId="1" fillId="0" borderId="40" xfId="0" applyFont="1" applyBorder="1"/>
    <xf numFmtId="0" fontId="2" fillId="0" borderId="0" xfId="0" applyFont="1" applyAlignment="1">
      <alignment horizontal="center"/>
    </xf>
    <xf numFmtId="0" fontId="2" fillId="0" borderId="28" xfId="0" applyFont="1" applyBorder="1"/>
    <xf numFmtId="2" fontId="1" fillId="0" borderId="2" xfId="0" applyNumberFormat="1" applyFont="1" applyBorder="1"/>
    <xf numFmtId="2" fontId="1" fillId="0" borderId="5" xfId="0" applyNumberFormat="1" applyFont="1" applyBorder="1"/>
    <xf numFmtId="2" fontId="1" fillId="0" borderId="29" xfId="0" applyNumberFormat="1" applyFont="1" applyBorder="1"/>
    <xf numFmtId="164" fontId="6" fillId="0" borderId="0" xfId="0" applyNumberFormat="1" applyFont="1" applyAlignment="1">
      <alignment vertical="center" wrapText="1"/>
    </xf>
    <xf numFmtId="164" fontId="6" fillId="0" borderId="0" xfId="0" applyNumberFormat="1" applyFont="1"/>
    <xf numFmtId="0" fontId="1" fillId="0" borderId="2" xfId="0" applyFont="1" applyBorder="1"/>
    <xf numFmtId="0" fontId="1" fillId="0" borderId="5" xfId="0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4" xfId="0" applyBorder="1"/>
    <xf numFmtId="0" fontId="11" fillId="0" borderId="0" xfId="0" applyFont="1"/>
    <xf numFmtId="2" fontId="1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0" borderId="41" xfId="0" applyFont="1" applyBorder="1"/>
    <xf numFmtId="0" fontId="1" fillId="0" borderId="42" xfId="0" applyFont="1" applyBorder="1"/>
    <xf numFmtId="0" fontId="1" fillId="0" borderId="26" xfId="0" applyFont="1" applyBorder="1"/>
    <xf numFmtId="0" fontId="8" fillId="0" borderId="27" xfId="0" applyFont="1" applyBorder="1"/>
    <xf numFmtId="0" fontId="8" fillId="0" borderId="31" xfId="0" applyFont="1" applyBorder="1"/>
    <xf numFmtId="0" fontId="8" fillId="0" borderId="28" xfId="0" applyFont="1" applyBorder="1"/>
    <xf numFmtId="0" fontId="13" fillId="0" borderId="31" xfId="0" applyFont="1" applyBorder="1"/>
    <xf numFmtId="164" fontId="2" fillId="0" borderId="0" xfId="0" applyNumberFormat="1" applyFont="1"/>
    <xf numFmtId="0" fontId="4" fillId="0" borderId="0" xfId="0" applyFont="1"/>
    <xf numFmtId="1" fontId="1" fillId="0" borderId="0" xfId="0" applyNumberFormat="1" applyFont="1"/>
    <xf numFmtId="164" fontId="1" fillId="0" borderId="47" xfId="0" applyNumberFormat="1" applyFont="1" applyBorder="1"/>
    <xf numFmtId="0" fontId="2" fillId="0" borderId="52" xfId="0" applyFont="1" applyBorder="1"/>
    <xf numFmtId="0" fontId="2" fillId="0" borderId="53" xfId="0" applyFont="1" applyBorder="1"/>
    <xf numFmtId="0" fontId="2" fillId="0" borderId="54" xfId="0" applyFont="1" applyBorder="1"/>
    <xf numFmtId="0" fontId="1" fillId="0" borderId="55" xfId="0" applyFont="1" applyBorder="1"/>
    <xf numFmtId="0" fontId="2" fillId="0" borderId="55" xfId="0" applyFont="1" applyBorder="1"/>
    <xf numFmtId="164" fontId="1" fillId="0" borderId="55" xfId="0" applyNumberFormat="1" applyFont="1" applyBorder="1"/>
    <xf numFmtId="1" fontId="1" fillId="0" borderId="55" xfId="0" applyNumberFormat="1" applyFont="1" applyBorder="1"/>
    <xf numFmtId="164" fontId="2" fillId="0" borderId="56" xfId="0" applyNumberFormat="1" applyFont="1" applyBorder="1"/>
    <xf numFmtId="0" fontId="0" fillId="0" borderId="44" xfId="0" applyBorder="1"/>
    <xf numFmtId="0" fontId="0" fillId="0" borderId="45" xfId="0" applyBorder="1"/>
    <xf numFmtId="0" fontId="0" fillId="0" borderId="49" xfId="0" applyBorder="1"/>
    <xf numFmtId="1" fontId="2" fillId="0" borderId="0" xfId="0" applyNumberFormat="1" applyFont="1" applyAlignment="1">
      <alignment horizontal="right"/>
    </xf>
    <xf numFmtId="0" fontId="0" fillId="0" borderId="43" xfId="0" applyBorder="1"/>
    <xf numFmtId="0" fontId="0" fillId="0" borderId="46" xfId="0" applyBorder="1"/>
    <xf numFmtId="0" fontId="0" fillId="0" borderId="48" xfId="0" applyBorder="1"/>
    <xf numFmtId="0" fontId="12" fillId="0" borderId="57" xfId="0" applyFont="1" applyBorder="1"/>
    <xf numFmtId="0" fontId="12" fillId="0" borderId="58" xfId="0" applyFont="1" applyBorder="1"/>
    <xf numFmtId="0" fontId="12" fillId="0" borderId="60" xfId="0" applyFont="1" applyBorder="1"/>
    <xf numFmtId="164" fontId="0" fillId="0" borderId="44" xfId="0" applyNumberFormat="1" applyBorder="1"/>
    <xf numFmtId="0" fontId="0" fillId="0" borderId="62" xfId="0" applyBorder="1"/>
    <xf numFmtId="0" fontId="12" fillId="0" borderId="63" xfId="0" applyFont="1" applyBorder="1"/>
    <xf numFmtId="0" fontId="0" fillId="0" borderId="64" xfId="0" applyBorder="1"/>
    <xf numFmtId="0" fontId="12" fillId="0" borderId="65" xfId="0" applyFont="1" applyBorder="1"/>
    <xf numFmtId="0" fontId="12" fillId="0" borderId="66" xfId="0" applyFont="1" applyBorder="1"/>
    <xf numFmtId="0" fontId="12" fillId="0" borderId="67" xfId="0" applyFont="1" applyBorder="1"/>
    <xf numFmtId="0" fontId="9" fillId="0" borderId="68" xfId="0" applyFont="1" applyBorder="1"/>
    <xf numFmtId="0" fontId="0" fillId="0" borderId="69" xfId="0" applyBorder="1"/>
    <xf numFmtId="0" fontId="14" fillId="0" borderId="0" xfId="0" applyFont="1"/>
    <xf numFmtId="0" fontId="0" fillId="0" borderId="26" xfId="0" applyBorder="1"/>
    <xf numFmtId="0" fontId="1" fillId="0" borderId="70" xfId="0" applyFont="1" applyBorder="1"/>
    <xf numFmtId="0" fontId="1" fillId="0" borderId="45" xfId="0" applyFont="1" applyBorder="1"/>
    <xf numFmtId="0" fontId="1" fillId="0" borderId="67" xfId="0" applyFont="1" applyBorder="1"/>
    <xf numFmtId="0" fontId="1" fillId="0" borderId="50" xfId="0" applyFont="1" applyBorder="1"/>
    <xf numFmtId="0" fontId="1" fillId="0" borderId="49" xfId="0" applyFont="1" applyBorder="1"/>
    <xf numFmtId="0" fontId="1" fillId="0" borderId="3" xfId="0" applyFont="1" applyBorder="1"/>
    <xf numFmtId="0" fontId="1" fillId="0" borderId="1" xfId="0" applyFont="1" applyBorder="1"/>
    <xf numFmtId="0" fontId="2" fillId="0" borderId="25" xfId="0" applyFont="1" applyBorder="1"/>
    <xf numFmtId="0" fontId="2" fillId="0" borderId="30" xfId="0" applyFont="1" applyBorder="1"/>
    <xf numFmtId="0" fontId="0" fillId="0" borderId="30" xfId="0" applyBorder="1"/>
    <xf numFmtId="0" fontId="1" fillId="0" borderId="44" xfId="0" applyFont="1" applyBorder="1"/>
    <xf numFmtId="164" fontId="1" fillId="0" borderId="44" xfId="0" applyNumberFormat="1" applyFont="1" applyBorder="1"/>
    <xf numFmtId="164" fontId="1" fillId="0" borderId="49" xfId="0" applyNumberFormat="1" applyFont="1" applyBorder="1"/>
    <xf numFmtId="0" fontId="1" fillId="0" borderId="43" xfId="0" applyFont="1" applyBorder="1"/>
    <xf numFmtId="0" fontId="1" fillId="0" borderId="48" xfId="0" applyFont="1" applyBorder="1"/>
    <xf numFmtId="0" fontId="0" fillId="3" borderId="14" xfId="0" applyFill="1" applyBorder="1"/>
    <xf numFmtId="0" fontId="0" fillId="3" borderId="0" xfId="0" applyFill="1"/>
    <xf numFmtId="0" fontId="0" fillId="3" borderId="8" xfId="0" applyFill="1" applyBorder="1"/>
    <xf numFmtId="164" fontId="1" fillId="0" borderId="4" xfId="0" applyNumberFormat="1" applyFont="1" applyBorder="1"/>
    <xf numFmtId="0" fontId="15" fillId="0" borderId="46" xfId="0" applyFont="1" applyBorder="1"/>
    <xf numFmtId="0" fontId="16" fillId="0" borderId="46" xfId="0" applyFont="1" applyBorder="1"/>
    <xf numFmtId="0" fontId="0" fillId="4" borderId="25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7" fillId="0" borderId="0" xfId="0" applyFont="1"/>
    <xf numFmtId="164" fontId="0" fillId="0" borderId="27" xfId="0" applyNumberFormat="1" applyBorder="1" applyAlignment="1">
      <alignment horizontal="center" vertical="center"/>
    </xf>
    <xf numFmtId="164" fontId="0" fillId="0" borderId="77" xfId="0" applyNumberFormat="1" applyBorder="1" applyAlignment="1">
      <alignment horizontal="center" vertical="center"/>
    </xf>
    <xf numFmtId="164" fontId="0" fillId="0" borderId="72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5" borderId="73" xfId="0" applyNumberFormat="1" applyFill="1" applyBorder="1" applyAlignment="1">
      <alignment horizontal="center" vertical="center"/>
    </xf>
    <xf numFmtId="164" fontId="0" fillId="5" borderId="74" xfId="0" applyNumberFormat="1" applyFill="1" applyBorder="1" applyAlignment="1">
      <alignment horizontal="center" vertical="center"/>
    </xf>
    <xf numFmtId="164" fontId="0" fillId="0" borderId="73" xfId="0" applyNumberFormat="1" applyBorder="1" applyAlignment="1">
      <alignment horizontal="center" vertical="center"/>
    </xf>
    <xf numFmtId="164" fontId="0" fillId="0" borderId="74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64" fontId="0" fillId="5" borderId="71" xfId="0" applyNumberFormat="1" applyFill="1" applyBorder="1" applyAlignment="1">
      <alignment vertical="center"/>
    </xf>
    <xf numFmtId="164" fontId="0" fillId="5" borderId="33" xfId="0" applyNumberFormat="1" applyFill="1" applyBorder="1" applyAlignment="1">
      <alignment vertical="center"/>
    </xf>
    <xf numFmtId="164" fontId="0" fillId="0" borderId="33" xfId="0" applyNumberFormat="1" applyBorder="1" applyAlignment="1">
      <alignment vertical="center"/>
    </xf>
    <xf numFmtId="1" fontId="0" fillId="5" borderId="30" xfId="0" applyNumberFormat="1" applyFill="1" applyBorder="1" applyAlignment="1">
      <alignment horizontal="center" vertical="center"/>
    </xf>
    <xf numFmtId="1" fontId="0" fillId="5" borderId="26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8" fillId="0" borderId="80" xfId="0" applyFont="1" applyBorder="1"/>
    <xf numFmtId="0" fontId="18" fillId="0" borderId="0" xfId="0" applyFont="1"/>
    <xf numFmtId="0" fontId="19" fillId="0" borderId="80" xfId="0" applyFont="1" applyBorder="1"/>
    <xf numFmtId="164" fontId="17" fillId="0" borderId="0" xfId="0" applyNumberFormat="1" applyFont="1"/>
    <xf numFmtId="1" fontId="0" fillId="6" borderId="30" xfId="0" applyNumberForma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164" fontId="0" fillId="0" borderId="81" xfId="0" applyNumberFormat="1" applyBorder="1" applyAlignment="1">
      <alignment horizontal="center" vertical="center"/>
    </xf>
    <xf numFmtId="1" fontId="0" fillId="0" borderId="81" xfId="0" applyNumberFormat="1" applyBorder="1" applyAlignment="1">
      <alignment horizontal="center" vertical="center"/>
    </xf>
    <xf numFmtId="164" fontId="0" fillId="5" borderId="75" xfId="0" applyNumberFormat="1" applyFill="1" applyBorder="1" applyAlignment="1">
      <alignment horizontal="center" vertical="center"/>
    </xf>
    <xf numFmtId="164" fontId="0" fillId="5" borderId="76" xfId="0" applyNumberFormat="1" applyFill="1" applyBorder="1" applyAlignment="1">
      <alignment horizontal="center" vertical="center"/>
    </xf>
    <xf numFmtId="164" fontId="0" fillId="0" borderId="79" xfId="0" applyNumberFormat="1" applyBorder="1" applyAlignment="1">
      <alignment horizontal="center" vertical="center"/>
    </xf>
    <xf numFmtId="164" fontId="0" fillId="0" borderId="76" xfId="0" applyNumberFormat="1" applyBorder="1" applyAlignment="1">
      <alignment horizontal="center" vertical="center"/>
    </xf>
    <xf numFmtId="164" fontId="0" fillId="5" borderId="79" xfId="0" applyNumberFormat="1" applyFill="1" applyBorder="1" applyAlignment="1">
      <alignment horizontal="center" vertical="center"/>
    </xf>
    <xf numFmtId="164" fontId="0" fillId="0" borderId="75" xfId="0" applyNumberForma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0" fillId="0" borderId="78" xfId="0" applyNumberFormat="1" applyBorder="1" applyAlignment="1">
      <alignment vertical="center"/>
    </xf>
    <xf numFmtId="1" fontId="0" fillId="5" borderId="78" xfId="0" applyNumberFormat="1" applyFill="1" applyBorder="1" applyAlignment="1">
      <alignment vertical="center"/>
    </xf>
    <xf numFmtId="1" fontId="0" fillId="0" borderId="74" xfId="0" applyNumberFormat="1" applyBorder="1" applyAlignment="1">
      <alignment vertical="center"/>
    </xf>
    <xf numFmtId="1" fontId="0" fillId="5" borderId="73" xfId="0" applyNumberFormat="1" applyFill="1" applyBorder="1" applyAlignment="1">
      <alignment vertical="center"/>
    </xf>
    <xf numFmtId="1" fontId="20" fillId="5" borderId="74" xfId="0" applyNumberFormat="1" applyFont="1" applyFill="1" applyBorder="1" applyAlignment="1">
      <alignment vertical="center"/>
    </xf>
    <xf numFmtId="1" fontId="14" fillId="0" borderId="74" xfId="0" applyNumberFormat="1" applyFont="1" applyBorder="1" applyAlignment="1">
      <alignment vertical="center"/>
    </xf>
    <xf numFmtId="1" fontId="0" fillId="5" borderId="78" xfId="0" applyNumberFormat="1" applyFill="1" applyBorder="1" applyAlignment="1">
      <alignment horizontal="center" vertical="center"/>
    </xf>
    <xf numFmtId="1" fontId="20" fillId="5" borderId="74" xfId="0" applyNumberFormat="1" applyFont="1" applyFill="1" applyBorder="1" applyAlignment="1">
      <alignment horizontal="center" vertical="center"/>
    </xf>
    <xf numFmtId="1" fontId="0" fillId="0" borderId="78" xfId="0" applyNumberFormat="1" applyBorder="1" applyAlignment="1">
      <alignment horizontal="center" vertical="center"/>
    </xf>
    <xf numFmtId="1" fontId="14" fillId="0" borderId="74" xfId="0" applyNumberFormat="1" applyFont="1" applyBorder="1" applyAlignment="1">
      <alignment horizontal="center" vertical="center"/>
    </xf>
    <xf numFmtId="1" fontId="0" fillId="0" borderId="74" xfId="0" applyNumberFormat="1" applyBorder="1" applyAlignment="1">
      <alignment horizontal="center" vertical="center"/>
    </xf>
    <xf numFmtId="164" fontId="0" fillId="0" borderId="71" xfId="0" applyNumberFormat="1" applyBorder="1" applyAlignment="1">
      <alignment vertical="center"/>
    </xf>
    <xf numFmtId="1" fontId="0" fillId="10" borderId="4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8" xfId="0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12" borderId="91" xfId="0" applyFont="1" applyFill="1" applyBorder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164" fontId="1" fillId="12" borderId="0" xfId="0" applyNumberFormat="1" applyFont="1" applyFill="1" applyAlignment="1">
      <alignment horizontal="center" vertical="center"/>
    </xf>
    <xf numFmtId="2" fontId="1" fillId="12" borderId="0" xfId="0" applyNumberFormat="1" applyFont="1" applyFill="1" applyAlignment="1">
      <alignment horizontal="center" vertical="center"/>
    </xf>
    <xf numFmtId="164" fontId="1" fillId="12" borderId="0" xfId="0" applyNumberFormat="1" applyFont="1" applyFill="1" applyAlignment="1">
      <alignment horizontal="right" vertical="center"/>
    </xf>
    <xf numFmtId="0" fontId="1" fillId="12" borderId="0" xfId="0" applyFont="1" applyFill="1" applyAlignment="1">
      <alignment horizontal="right" vertical="center"/>
    </xf>
    <xf numFmtId="1" fontId="1" fillId="12" borderId="0" xfId="0" applyNumberFormat="1" applyFont="1" applyFill="1" applyAlignment="1">
      <alignment horizontal="right" vertical="center"/>
    </xf>
    <xf numFmtId="0" fontId="1" fillId="12" borderId="92" xfId="0" applyFont="1" applyFill="1" applyBorder="1" applyAlignment="1">
      <alignment horizontal="center" vertical="center"/>
    </xf>
    <xf numFmtId="164" fontId="0" fillId="12" borderId="49" xfId="0" applyNumberFormat="1" applyFill="1" applyBorder="1" applyAlignment="1">
      <alignment horizontal="center" vertical="center"/>
    </xf>
    <xf numFmtId="0" fontId="1" fillId="12" borderId="49" xfId="0" applyFont="1" applyFill="1" applyBorder="1" applyAlignment="1">
      <alignment horizontal="center" vertical="center"/>
    </xf>
    <xf numFmtId="0" fontId="1" fillId="12" borderId="50" xfId="0" applyFont="1" applyFill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2" fontId="1" fillId="12" borderId="4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" fontId="0" fillId="0" borderId="0" xfId="0" applyNumberFormat="1" applyAlignment="1">
      <alignment horizontal="center" vertical="center"/>
    </xf>
    <xf numFmtId="165" fontId="0" fillId="12" borderId="0" xfId="0" applyNumberFormat="1" applyFill="1" applyProtection="1">
      <protection locked="0"/>
    </xf>
    <xf numFmtId="165" fontId="0" fillId="11" borderId="43" xfId="0" applyNumberFormat="1" applyFill="1" applyBorder="1" applyProtection="1">
      <protection locked="0"/>
    </xf>
    <xf numFmtId="165" fontId="0" fillId="11" borderId="44" xfId="0" applyNumberFormat="1" applyFill="1" applyBorder="1" applyProtection="1">
      <protection locked="0"/>
    </xf>
    <xf numFmtId="165" fontId="0" fillId="11" borderId="44" xfId="0" applyNumberFormat="1" applyFill="1" applyBorder="1" applyAlignment="1" applyProtection="1">
      <alignment horizontal="center" vertical="center"/>
      <protection locked="0"/>
    </xf>
    <xf numFmtId="165" fontId="0" fillId="11" borderId="45" xfId="0" applyNumberFormat="1" applyFill="1" applyBorder="1" applyProtection="1">
      <protection locked="0"/>
    </xf>
    <xf numFmtId="165" fontId="0" fillId="11" borderId="46" xfId="0" applyNumberFormat="1" applyFill="1" applyBorder="1" applyProtection="1">
      <protection locked="0"/>
    </xf>
    <xf numFmtId="165" fontId="0" fillId="11" borderId="0" xfId="0" applyNumberFormat="1" applyFill="1" applyProtection="1">
      <protection locked="0"/>
    </xf>
    <xf numFmtId="165" fontId="0" fillId="11" borderId="0" xfId="0" applyNumberFormat="1" applyFill="1" applyAlignment="1" applyProtection="1">
      <alignment horizontal="center" vertical="center"/>
      <protection locked="0"/>
    </xf>
    <xf numFmtId="167" fontId="0" fillId="11" borderId="51" xfId="0" applyNumberFormat="1" applyFill="1" applyBorder="1" applyAlignment="1" applyProtection="1">
      <alignment horizontal="center" vertical="center"/>
      <protection locked="0"/>
    </xf>
    <xf numFmtId="165" fontId="18" fillId="11" borderId="61" xfId="0" applyNumberFormat="1" applyFont="1" applyFill="1" applyBorder="1" applyAlignment="1" applyProtection="1">
      <alignment horizontal="center" vertical="center"/>
      <protection locked="0"/>
    </xf>
    <xf numFmtId="165" fontId="18" fillId="11" borderId="52" xfId="0" applyNumberFormat="1" applyFont="1" applyFill="1" applyBorder="1" applyAlignment="1" applyProtection="1">
      <alignment horizontal="center" vertical="center"/>
      <protection locked="0"/>
    </xf>
    <xf numFmtId="165" fontId="18" fillId="11" borderId="93" xfId="0" applyNumberFormat="1" applyFont="1" applyFill="1" applyBorder="1" applyAlignment="1" applyProtection="1">
      <alignment horizontal="center" vertical="center"/>
      <protection locked="0"/>
    </xf>
    <xf numFmtId="165" fontId="18" fillId="11" borderId="51" xfId="0" applyNumberFormat="1" applyFont="1" applyFill="1" applyBorder="1" applyAlignment="1" applyProtection="1">
      <alignment horizontal="center" vertical="center"/>
      <protection locked="0"/>
    </xf>
    <xf numFmtId="165" fontId="0" fillId="11" borderId="47" xfId="0" applyNumberFormat="1" applyFill="1" applyBorder="1" applyProtection="1">
      <protection locked="0"/>
    </xf>
    <xf numFmtId="165" fontId="14" fillId="12" borderId="0" xfId="0" applyNumberFormat="1" applyFont="1" applyFill="1" applyProtection="1">
      <protection locked="0"/>
    </xf>
    <xf numFmtId="165" fontId="21" fillId="11" borderId="87" xfId="0" applyNumberFormat="1" applyFont="1" applyFill="1" applyBorder="1" applyAlignment="1" applyProtection="1">
      <alignment horizontal="center" vertical="center"/>
      <protection locked="0"/>
    </xf>
    <xf numFmtId="165" fontId="0" fillId="11" borderId="97" xfId="0" applyNumberFormat="1" applyFill="1" applyBorder="1" applyAlignment="1" applyProtection="1">
      <alignment horizontal="center" vertical="center"/>
      <protection locked="0"/>
    </xf>
    <xf numFmtId="165" fontId="9" fillId="29" borderId="98" xfId="0" applyNumberFormat="1" applyFont="1" applyFill="1" applyBorder="1" applyAlignment="1" applyProtection="1">
      <alignment horizontal="center" vertical="center"/>
      <protection locked="0"/>
    </xf>
    <xf numFmtId="166" fontId="0" fillId="11" borderId="86" xfId="0" applyNumberFormat="1" applyFill="1" applyBorder="1" applyAlignment="1" applyProtection="1">
      <alignment horizontal="center" vertical="center"/>
      <protection locked="0"/>
    </xf>
    <xf numFmtId="166" fontId="0" fillId="11" borderId="94" xfId="0" applyNumberFormat="1" applyFill="1" applyBorder="1" applyAlignment="1" applyProtection="1">
      <alignment horizontal="center" vertical="center"/>
      <protection locked="0"/>
    </xf>
    <xf numFmtId="165" fontId="0" fillId="11" borderId="94" xfId="0" applyNumberFormat="1" applyFill="1" applyBorder="1" applyAlignment="1" applyProtection="1">
      <alignment horizontal="center" vertical="center"/>
      <protection locked="0"/>
    </xf>
    <xf numFmtId="165" fontId="23" fillId="11" borderId="79" xfId="0" applyNumberFormat="1" applyFont="1" applyFill="1" applyBorder="1" applyAlignment="1" applyProtection="1">
      <alignment horizontal="center" vertical="center"/>
      <protection locked="0"/>
    </xf>
    <xf numFmtId="165" fontId="0" fillId="11" borderId="90" xfId="0" applyNumberFormat="1" applyFill="1" applyBorder="1" applyAlignment="1" applyProtection="1">
      <alignment horizontal="center" vertical="center"/>
      <protection locked="0"/>
    </xf>
    <xf numFmtId="166" fontId="0" fillId="11" borderId="85" xfId="0" applyNumberFormat="1" applyFill="1" applyBorder="1" applyAlignment="1" applyProtection="1">
      <alignment horizontal="center" vertical="center"/>
      <protection locked="0"/>
    </xf>
    <xf numFmtId="166" fontId="0" fillId="11" borderId="95" xfId="0" applyNumberFormat="1" applyFill="1" applyBorder="1" applyAlignment="1" applyProtection="1">
      <alignment horizontal="center" vertical="center"/>
      <protection locked="0"/>
    </xf>
    <xf numFmtId="165" fontId="0" fillId="11" borderId="95" xfId="0" applyNumberFormat="1" applyFill="1" applyBorder="1" applyAlignment="1" applyProtection="1">
      <alignment horizontal="center" vertical="center"/>
      <protection locked="0"/>
    </xf>
    <xf numFmtId="165" fontId="0" fillId="12" borderId="47" xfId="0" applyNumberFormat="1" applyFill="1" applyBorder="1" applyProtection="1">
      <protection locked="0"/>
    </xf>
    <xf numFmtId="165" fontId="0" fillId="11" borderId="46" xfId="0" applyNumberFormat="1" applyFill="1" applyBorder="1" applyAlignment="1" applyProtection="1">
      <alignment horizontal="center"/>
      <protection locked="0"/>
    </xf>
    <xf numFmtId="167" fontId="0" fillId="11" borderId="46" xfId="0" applyNumberFormat="1" applyFill="1" applyBorder="1" applyAlignment="1" applyProtection="1">
      <alignment horizontal="center"/>
      <protection locked="0"/>
    </xf>
    <xf numFmtId="165" fontId="0" fillId="11" borderId="54" xfId="0" applyNumberFormat="1" applyFill="1" applyBorder="1" applyAlignment="1" applyProtection="1">
      <alignment horizontal="center" vertical="center"/>
      <protection locked="0"/>
    </xf>
    <xf numFmtId="165" fontId="9" fillId="29" borderId="99" xfId="0" applyNumberFormat="1" applyFont="1" applyFill="1" applyBorder="1" applyAlignment="1" applyProtection="1">
      <alignment horizontal="center" vertical="center"/>
      <protection locked="0"/>
    </xf>
    <xf numFmtId="166" fontId="0" fillId="11" borderId="80" xfId="0" applyNumberFormat="1" applyFill="1" applyBorder="1" applyAlignment="1" applyProtection="1">
      <alignment horizontal="center" vertical="center"/>
      <protection locked="0"/>
    </xf>
    <xf numFmtId="166" fontId="0" fillId="11" borderId="96" xfId="0" applyNumberFormat="1" applyFill="1" applyBorder="1" applyAlignment="1" applyProtection="1">
      <alignment horizontal="center" vertical="center"/>
      <protection locked="0"/>
    </xf>
    <xf numFmtId="165" fontId="0" fillId="11" borderId="96" xfId="0" applyNumberFormat="1" applyFill="1" applyBorder="1" applyAlignment="1" applyProtection="1">
      <alignment horizontal="center" vertical="center"/>
      <protection locked="0"/>
    </xf>
    <xf numFmtId="165" fontId="0" fillId="11" borderId="61" xfId="0" applyNumberFormat="1" applyFill="1" applyBorder="1" applyAlignment="1" applyProtection="1">
      <alignment horizontal="center" vertical="center"/>
      <protection locked="0"/>
    </xf>
    <xf numFmtId="166" fontId="18" fillId="11" borderId="52" xfId="0" applyNumberFormat="1" applyFont="1" applyFill="1" applyBorder="1" applyAlignment="1" applyProtection="1">
      <alignment horizontal="center" vertical="center"/>
      <protection locked="0"/>
    </xf>
    <xf numFmtId="166" fontId="0" fillId="11" borderId="93" xfId="0" applyNumberFormat="1" applyFill="1" applyBorder="1" applyAlignment="1" applyProtection="1">
      <alignment horizontal="center" vertical="center"/>
      <protection locked="0"/>
    </xf>
    <xf numFmtId="165" fontId="0" fillId="11" borderId="93" xfId="0" applyNumberFormat="1" applyFill="1" applyBorder="1" applyAlignment="1" applyProtection="1">
      <alignment horizontal="center" vertical="center"/>
      <protection locked="0"/>
    </xf>
    <xf numFmtId="165" fontId="24" fillId="11" borderId="47" xfId="0" applyNumberFormat="1" applyFont="1" applyFill="1" applyBorder="1" applyAlignment="1" applyProtection="1">
      <alignment horizontal="center" vertical="center"/>
      <protection locked="0"/>
    </xf>
    <xf numFmtId="165" fontId="23" fillId="11" borderId="47" xfId="0" applyNumberFormat="1" applyFont="1" applyFill="1" applyBorder="1" applyAlignment="1" applyProtection="1">
      <alignment horizontal="center" vertical="center"/>
      <protection locked="0"/>
    </xf>
    <xf numFmtId="165" fontId="18" fillId="11" borderId="82" xfId="0" applyNumberFormat="1" applyFont="1" applyFill="1" applyBorder="1" applyAlignment="1" applyProtection="1">
      <alignment horizontal="center" vertical="center"/>
      <protection locked="0"/>
    </xf>
    <xf numFmtId="166" fontId="0" fillId="11" borderId="83" xfId="0" applyNumberFormat="1" applyFill="1" applyBorder="1" applyAlignment="1" applyProtection="1">
      <alignment horizontal="center" vertical="center"/>
      <protection locked="0"/>
    </xf>
    <xf numFmtId="165" fontId="0" fillId="11" borderId="83" xfId="0" applyNumberFormat="1" applyFill="1" applyBorder="1" applyAlignment="1" applyProtection="1">
      <alignment horizontal="center" vertical="center"/>
      <protection locked="0"/>
    </xf>
    <xf numFmtId="165" fontId="18" fillId="11" borderId="83" xfId="0" applyNumberFormat="1" applyFont="1" applyFill="1" applyBorder="1" applyAlignment="1" applyProtection="1">
      <alignment horizontal="center" vertical="center"/>
      <protection locked="0"/>
    </xf>
    <xf numFmtId="165" fontId="0" fillId="11" borderId="84" xfId="0" applyNumberFormat="1" applyFill="1" applyBorder="1" applyAlignment="1" applyProtection="1">
      <alignment horizontal="center" vertical="center"/>
      <protection locked="0"/>
    </xf>
    <xf numFmtId="165" fontId="1" fillId="11" borderId="0" xfId="0" applyNumberFormat="1" applyFont="1" applyFill="1" applyAlignment="1" applyProtection="1">
      <alignment horizontal="center" vertical="center"/>
      <protection locked="0"/>
    </xf>
    <xf numFmtId="165" fontId="0" fillId="11" borderId="0" xfId="0" applyNumberFormat="1" applyFill="1" applyAlignment="1" applyProtection="1">
      <alignment horizontal="left"/>
      <protection locked="0"/>
    </xf>
    <xf numFmtId="165" fontId="2" fillId="11" borderId="0" xfId="0" applyNumberFormat="1" applyFont="1" applyFill="1" applyAlignment="1" applyProtection="1">
      <alignment horizontal="center" vertical="center"/>
      <protection locked="0"/>
    </xf>
    <xf numFmtId="165" fontId="0" fillId="11" borderId="44" xfId="0" applyNumberFormat="1" applyFill="1" applyBorder="1" applyAlignment="1" applyProtection="1">
      <alignment horizontal="center"/>
      <protection locked="0"/>
    </xf>
    <xf numFmtId="165" fontId="23" fillId="11" borderId="44" xfId="0" applyNumberFormat="1" applyFont="1" applyFill="1" applyBorder="1" applyProtection="1">
      <protection locked="0"/>
    </xf>
    <xf numFmtId="165" fontId="13" fillId="11" borderId="0" xfId="0" applyNumberFormat="1" applyFont="1" applyFill="1" applyAlignment="1" applyProtection="1">
      <alignment horizontal="center" vertical="center"/>
      <protection locked="0"/>
    </xf>
    <xf numFmtId="165" fontId="23" fillId="11" borderId="47" xfId="0" applyNumberFormat="1" applyFont="1" applyFill="1" applyBorder="1" applyProtection="1">
      <protection locked="0"/>
    </xf>
    <xf numFmtId="165" fontId="0" fillId="7" borderId="89" xfId="0" applyNumberFormat="1" applyFill="1" applyBorder="1" applyAlignment="1" applyProtection="1">
      <alignment horizontal="center" vertical="center"/>
      <protection locked="0"/>
    </xf>
    <xf numFmtId="165" fontId="0" fillId="11" borderId="104" xfId="0" applyNumberFormat="1" applyFill="1" applyBorder="1" applyAlignment="1" applyProtection="1">
      <alignment horizontal="left" vertical="center"/>
      <protection locked="0"/>
    </xf>
    <xf numFmtId="166" fontId="13" fillId="11" borderId="105" xfId="0" applyNumberFormat="1" applyFont="1" applyFill="1" applyBorder="1" applyAlignment="1" applyProtection="1">
      <alignment horizontal="center" vertical="center"/>
      <protection locked="0"/>
    </xf>
    <xf numFmtId="165" fontId="23" fillId="11" borderId="0" xfId="0" applyNumberFormat="1" applyFont="1" applyFill="1" applyAlignment="1" applyProtection="1">
      <alignment horizontal="center" vertical="center"/>
      <protection locked="0"/>
    </xf>
    <xf numFmtId="165" fontId="23" fillId="11" borderId="0" xfId="0" applyNumberFormat="1" applyFont="1" applyFill="1" applyProtection="1">
      <protection locked="0"/>
    </xf>
    <xf numFmtId="165" fontId="14" fillId="12" borderId="0" xfId="0" applyNumberFormat="1" applyFont="1" applyFill="1" applyAlignment="1" applyProtection="1">
      <alignment horizontal="center" vertical="center"/>
      <protection locked="0"/>
    </xf>
    <xf numFmtId="165" fontId="1" fillId="8" borderId="89" xfId="0" applyNumberFormat="1" applyFont="1" applyFill="1" applyBorder="1" applyAlignment="1" applyProtection="1">
      <alignment horizontal="center" vertical="center"/>
      <protection locked="0"/>
    </xf>
    <xf numFmtId="165" fontId="0" fillId="9" borderId="89" xfId="0" applyNumberFormat="1" applyFill="1" applyBorder="1" applyAlignment="1" applyProtection="1">
      <alignment horizontal="center" vertical="center"/>
      <protection locked="0"/>
    </xf>
    <xf numFmtId="165" fontId="0" fillId="13" borderId="89" xfId="0" applyNumberFormat="1" applyFill="1" applyBorder="1" applyAlignment="1" applyProtection="1">
      <alignment horizontal="center" vertical="center"/>
      <protection locked="0"/>
    </xf>
    <xf numFmtId="165" fontId="1" fillId="15" borderId="89" xfId="0" applyNumberFormat="1" applyFont="1" applyFill="1" applyBorder="1" applyAlignment="1" applyProtection="1">
      <alignment horizontal="center" vertical="center"/>
      <protection locked="0"/>
    </xf>
    <xf numFmtId="165" fontId="0" fillId="14" borderId="89" xfId="0" applyNumberFormat="1" applyFill="1" applyBorder="1" applyAlignment="1" applyProtection="1">
      <alignment horizontal="center" vertical="center"/>
      <protection locked="0"/>
    </xf>
    <xf numFmtId="165" fontId="0" fillId="16" borderId="89" xfId="0" applyNumberFormat="1" applyFill="1" applyBorder="1" applyAlignment="1" applyProtection="1">
      <alignment horizontal="center" vertical="center"/>
      <protection locked="0"/>
    </xf>
    <xf numFmtId="165" fontId="1" fillId="17" borderId="89" xfId="0" applyNumberFormat="1" applyFont="1" applyFill="1" applyBorder="1" applyAlignment="1" applyProtection="1">
      <alignment horizontal="center" vertical="center"/>
      <protection locked="0"/>
    </xf>
    <xf numFmtId="165" fontId="0" fillId="18" borderId="89" xfId="0" applyNumberFormat="1" applyFill="1" applyBorder="1" applyAlignment="1" applyProtection="1">
      <alignment horizontal="center" vertical="center"/>
      <protection locked="0"/>
    </xf>
    <xf numFmtId="165" fontId="0" fillId="19" borderId="89" xfId="0" applyNumberFormat="1" applyFill="1" applyBorder="1" applyAlignment="1" applyProtection="1">
      <alignment horizontal="center" vertical="center"/>
      <protection locked="0"/>
    </xf>
    <xf numFmtId="165" fontId="1" fillId="20" borderId="89" xfId="0" applyNumberFormat="1" applyFont="1" applyFill="1" applyBorder="1" applyAlignment="1" applyProtection="1">
      <alignment horizontal="center" vertical="center"/>
      <protection locked="0"/>
    </xf>
    <xf numFmtId="165" fontId="0" fillId="21" borderId="89" xfId="0" applyNumberFormat="1" applyFill="1" applyBorder="1" applyAlignment="1" applyProtection="1">
      <alignment horizontal="center" vertical="center"/>
      <protection locked="0"/>
    </xf>
    <xf numFmtId="165" fontId="0" fillId="22" borderId="89" xfId="0" applyNumberFormat="1" applyFill="1" applyBorder="1" applyAlignment="1" applyProtection="1">
      <alignment horizontal="center" vertical="center"/>
      <protection locked="0"/>
    </xf>
    <xf numFmtId="165" fontId="0" fillId="11" borderId="100" xfId="0" applyNumberFormat="1" applyFill="1" applyBorder="1" applyAlignment="1" applyProtection="1">
      <alignment horizontal="left" vertical="center"/>
      <protection locked="0"/>
    </xf>
    <xf numFmtId="166" fontId="13" fillId="11" borderId="101" xfId="0" applyNumberFormat="1" applyFont="1" applyFill="1" applyBorder="1" applyAlignment="1" applyProtection="1">
      <alignment horizontal="center" vertical="center"/>
      <protection locked="0"/>
    </xf>
    <xf numFmtId="165" fontId="1" fillId="2" borderId="89" xfId="0" applyNumberFormat="1" applyFont="1" applyFill="1" applyBorder="1" applyAlignment="1" applyProtection="1">
      <alignment horizontal="center" vertical="center"/>
      <protection locked="0"/>
    </xf>
    <xf numFmtId="165" fontId="22" fillId="12" borderId="0" xfId="0" applyNumberFormat="1" applyFont="1" applyFill="1" applyAlignment="1" applyProtection="1">
      <alignment horizontal="center" vertical="center"/>
      <protection locked="0"/>
    </xf>
    <xf numFmtId="165" fontId="0" fillId="23" borderId="89" xfId="0" applyNumberFormat="1" applyFill="1" applyBorder="1" applyAlignment="1" applyProtection="1">
      <alignment horizontal="center" vertical="center"/>
      <protection locked="0"/>
    </xf>
    <xf numFmtId="165" fontId="0" fillId="24" borderId="89" xfId="0" applyNumberFormat="1" applyFill="1" applyBorder="1" applyAlignment="1" applyProtection="1">
      <alignment horizontal="center" vertical="center"/>
      <protection locked="0"/>
    </xf>
    <xf numFmtId="165" fontId="1" fillId="25" borderId="89" xfId="0" applyNumberFormat="1" applyFont="1" applyFill="1" applyBorder="1" applyAlignment="1" applyProtection="1">
      <alignment horizontal="center" vertical="center"/>
      <protection locked="0"/>
    </xf>
    <xf numFmtId="165" fontId="0" fillId="26" borderId="89" xfId="0" applyNumberFormat="1" applyFill="1" applyBorder="1" applyAlignment="1" applyProtection="1">
      <alignment horizontal="center" vertical="center"/>
      <protection locked="0"/>
    </xf>
    <xf numFmtId="165" fontId="0" fillId="27" borderId="89" xfId="0" applyNumberFormat="1" applyFill="1" applyBorder="1" applyAlignment="1" applyProtection="1">
      <alignment horizontal="center" vertical="center"/>
      <protection locked="0"/>
    </xf>
    <xf numFmtId="165" fontId="1" fillId="28" borderId="89" xfId="0" applyNumberFormat="1" applyFont="1" applyFill="1" applyBorder="1" applyAlignment="1" applyProtection="1">
      <alignment horizontal="center" vertical="center"/>
      <protection locked="0"/>
    </xf>
    <xf numFmtId="165" fontId="0" fillId="11" borderId="102" xfId="0" applyNumberFormat="1" applyFill="1" applyBorder="1" applyAlignment="1" applyProtection="1">
      <alignment horizontal="left" vertical="center"/>
      <protection locked="0"/>
    </xf>
    <xf numFmtId="166" fontId="13" fillId="11" borderId="103" xfId="0" applyNumberFormat="1" applyFont="1" applyFill="1" applyBorder="1" applyAlignment="1" applyProtection="1">
      <alignment horizontal="center" vertical="center"/>
      <protection locked="0"/>
    </xf>
    <xf numFmtId="165" fontId="0" fillId="11" borderId="48" xfId="0" applyNumberFormat="1" applyFill="1" applyBorder="1" applyProtection="1">
      <protection locked="0"/>
    </xf>
    <xf numFmtId="165" fontId="0" fillId="11" borderId="49" xfId="0" applyNumberFormat="1" applyFill="1" applyBorder="1" applyProtection="1">
      <protection locked="0"/>
    </xf>
    <xf numFmtId="165" fontId="23" fillId="11" borderId="49" xfId="0" applyNumberFormat="1" applyFont="1" applyFill="1" applyBorder="1" applyProtection="1">
      <protection locked="0"/>
    </xf>
    <xf numFmtId="165" fontId="23" fillId="11" borderId="50" xfId="0" applyNumberFormat="1" applyFont="1" applyFill="1" applyBorder="1" applyProtection="1">
      <protection locked="0"/>
    </xf>
    <xf numFmtId="165" fontId="14" fillId="11" borderId="49" xfId="0" applyNumberFormat="1" applyFont="1" applyFill="1" applyBorder="1" applyProtection="1">
      <protection locked="0"/>
    </xf>
    <xf numFmtId="165" fontId="14" fillId="11" borderId="50" xfId="0" applyNumberFormat="1" applyFont="1" applyFill="1" applyBorder="1" applyProtection="1">
      <protection locked="0"/>
    </xf>
    <xf numFmtId="165" fontId="0" fillId="12" borderId="0" xfId="0" applyNumberFormat="1" applyFill="1"/>
    <xf numFmtId="165" fontId="18" fillId="11" borderId="0" xfId="0" applyNumberFormat="1" applyFont="1" applyFill="1" applyAlignment="1" applyProtection="1">
      <alignment horizontal="center" vertical="center"/>
      <protection locked="0"/>
    </xf>
    <xf numFmtId="165" fontId="18" fillId="11" borderId="46" xfId="0" applyNumberFormat="1" applyFont="1" applyFill="1" applyBorder="1" applyAlignment="1" applyProtection="1">
      <alignment vertical="center"/>
      <protection locked="0"/>
    </xf>
    <xf numFmtId="165" fontId="18" fillId="11" borderId="0" xfId="0" applyNumberFormat="1" applyFont="1" applyFill="1" applyAlignment="1" applyProtection="1">
      <alignment vertical="center"/>
      <protection locked="0"/>
    </xf>
    <xf numFmtId="165" fontId="0" fillId="11" borderId="46" xfId="0" applyNumberFormat="1" applyFill="1" applyBorder="1" applyAlignment="1" applyProtection="1">
      <alignment horizontal="left" vertical="top"/>
      <protection locked="0"/>
    </xf>
    <xf numFmtId="167" fontId="0" fillId="11" borderId="46" xfId="0" applyNumberFormat="1" applyFill="1" applyBorder="1" applyAlignment="1" applyProtection="1">
      <alignment horizontal="left" vertical="top"/>
      <protection locked="0"/>
    </xf>
    <xf numFmtId="165" fontId="18" fillId="11" borderId="106" xfId="0" applyNumberFormat="1" applyFont="1" applyFill="1" applyBorder="1" applyAlignment="1" applyProtection="1">
      <alignment horizontal="center" vertical="center"/>
      <protection locked="0"/>
    </xf>
    <xf numFmtId="165" fontId="23" fillId="11" borderId="1" xfId="0" applyNumberFormat="1" applyFont="1" applyFill="1" applyBorder="1" applyAlignment="1" applyProtection="1">
      <alignment horizontal="center" vertical="center"/>
      <protection locked="0"/>
    </xf>
    <xf numFmtId="165" fontId="23" fillId="11" borderId="3" xfId="0" applyNumberFormat="1" applyFont="1" applyFill="1" applyBorder="1" applyAlignment="1" applyProtection="1">
      <alignment horizontal="center" vertical="center"/>
      <protection locked="0"/>
    </xf>
    <xf numFmtId="165" fontId="23" fillId="11" borderId="76" xfId="0" applyNumberFormat="1" applyFont="1" applyFill="1" applyBorder="1" applyAlignment="1" applyProtection="1">
      <alignment horizontal="center" vertical="center"/>
      <protection locked="0"/>
    </xf>
    <xf numFmtId="165" fontId="0" fillId="11" borderId="94" xfId="0" applyNumberFormat="1" applyFill="1" applyBorder="1" applyAlignment="1">
      <alignment horizontal="center" vertical="center"/>
    </xf>
    <xf numFmtId="165" fontId="0" fillId="11" borderId="96" xfId="0" applyNumberFormat="1" applyFill="1" applyBorder="1" applyAlignment="1">
      <alignment horizontal="center" vertical="center"/>
    </xf>
    <xf numFmtId="166" fontId="0" fillId="11" borderId="86" xfId="0" applyNumberFormat="1" applyFill="1" applyBorder="1" applyAlignment="1">
      <alignment horizontal="center" vertical="center"/>
    </xf>
    <xf numFmtId="166" fontId="0" fillId="11" borderId="94" xfId="0" applyNumberFormat="1" applyFill="1" applyBorder="1" applyAlignment="1">
      <alignment horizontal="center" vertical="center"/>
    </xf>
    <xf numFmtId="166" fontId="0" fillId="11" borderId="85" xfId="0" applyNumberFormat="1" applyFill="1" applyBorder="1" applyAlignment="1">
      <alignment horizontal="center" vertical="center"/>
    </xf>
    <xf numFmtId="166" fontId="0" fillId="11" borderId="95" xfId="0" applyNumberFormat="1" applyFill="1" applyBorder="1" applyAlignment="1">
      <alignment horizontal="center" vertical="center"/>
    </xf>
    <xf numFmtId="165" fontId="0" fillId="11" borderId="95" xfId="0" applyNumberFormat="1" applyFill="1" applyBorder="1" applyAlignment="1">
      <alignment horizontal="center" vertical="center"/>
    </xf>
    <xf numFmtId="166" fontId="0" fillId="11" borderId="80" xfId="0" applyNumberFormat="1" applyFill="1" applyBorder="1" applyAlignment="1">
      <alignment horizontal="center" vertical="center"/>
    </xf>
    <xf numFmtId="166" fontId="0" fillId="11" borderId="96" xfId="0" applyNumberFormat="1" applyFill="1" applyBorder="1" applyAlignment="1">
      <alignment horizontal="center" vertical="center"/>
    </xf>
    <xf numFmtId="166" fontId="18" fillId="11" borderId="52" xfId="0" applyNumberFormat="1" applyFont="1" applyFill="1" applyBorder="1" applyAlignment="1">
      <alignment horizontal="center" vertical="center"/>
    </xf>
    <xf numFmtId="166" fontId="0" fillId="11" borderId="93" xfId="0" applyNumberFormat="1" applyFill="1" applyBorder="1" applyAlignment="1">
      <alignment horizontal="center" vertical="center"/>
    </xf>
    <xf numFmtId="165" fontId="0" fillId="11" borderId="93" xfId="0" applyNumberFormat="1" applyFill="1" applyBorder="1" applyAlignment="1">
      <alignment horizontal="center" vertical="center"/>
    </xf>
    <xf numFmtId="165" fontId="0" fillId="11" borderId="87" xfId="0" applyNumberFormat="1" applyFill="1" applyBorder="1" applyAlignment="1">
      <alignment horizontal="center" vertical="center"/>
    </xf>
    <xf numFmtId="0" fontId="8" fillId="30" borderId="0" xfId="0" applyFont="1" applyFill="1" applyAlignment="1">
      <alignment vertical="center"/>
    </xf>
    <xf numFmtId="0" fontId="1" fillId="30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8" fillId="32" borderId="0" xfId="0" applyFont="1" applyFill="1" applyAlignment="1">
      <alignment vertical="center"/>
    </xf>
    <xf numFmtId="167" fontId="1" fillId="11" borderId="107" xfId="0" applyNumberFormat="1" applyFont="1" applyFill="1" applyBorder="1" applyAlignment="1">
      <alignment horizontal="center" vertical="center"/>
    </xf>
    <xf numFmtId="167" fontId="1" fillId="11" borderId="108" xfId="0" applyNumberFormat="1" applyFont="1" applyFill="1" applyBorder="1" applyAlignment="1">
      <alignment horizontal="center" vertical="center"/>
    </xf>
    <xf numFmtId="166" fontId="0" fillId="11" borderId="0" xfId="0" applyNumberFormat="1" applyFill="1" applyAlignment="1" applyProtection="1">
      <alignment horizontal="center" vertical="center"/>
      <protection locked="0"/>
    </xf>
    <xf numFmtId="166" fontId="18" fillId="11" borderId="83" xfId="0" applyNumberFormat="1" applyFont="1" applyFill="1" applyBorder="1" applyAlignment="1" applyProtection="1">
      <alignment horizontal="center" vertical="center"/>
      <protection locked="0"/>
    </xf>
    <xf numFmtId="166" fontId="18" fillId="11" borderId="93" xfId="0" applyNumberFormat="1" applyFont="1" applyFill="1" applyBorder="1" applyAlignment="1" applyProtection="1">
      <alignment horizontal="center" vertical="center"/>
      <protection locked="0"/>
    </xf>
    <xf numFmtId="164" fontId="0" fillId="5" borderId="78" xfId="0" applyNumberFormat="1" applyFill="1" applyBorder="1" applyAlignment="1">
      <alignment vertical="center"/>
    </xf>
    <xf numFmtId="164" fontId="20" fillId="5" borderId="74" xfId="0" applyNumberFormat="1" applyFont="1" applyFill="1" applyBorder="1" applyAlignment="1">
      <alignment vertical="center"/>
    </xf>
    <xf numFmtId="164" fontId="0" fillId="0" borderId="78" xfId="0" applyNumberFormat="1" applyBorder="1" applyAlignment="1">
      <alignment vertical="center"/>
    </xf>
    <xf numFmtId="164" fontId="14" fillId="0" borderId="74" xfId="0" applyNumberFormat="1" applyFont="1" applyBorder="1" applyAlignment="1">
      <alignment vertical="center"/>
    </xf>
    <xf numFmtId="164" fontId="0" fillId="0" borderId="74" xfId="0" applyNumberFormat="1" applyBorder="1" applyAlignment="1">
      <alignment vertical="center"/>
    </xf>
    <xf numFmtId="165" fontId="0" fillId="11" borderId="2" xfId="0" applyNumberFormat="1" applyFill="1" applyBorder="1" applyAlignment="1" applyProtection="1">
      <alignment horizontal="center" vertical="center"/>
      <protection locked="0"/>
    </xf>
    <xf numFmtId="165" fontId="18" fillId="11" borderId="109" xfId="0" applyNumberFormat="1" applyFont="1" applyFill="1" applyBorder="1" applyAlignment="1" applyProtection="1">
      <alignment horizontal="center" vertical="center"/>
      <protection locked="0"/>
    </xf>
    <xf numFmtId="165" fontId="0" fillId="11" borderId="41" xfId="0" applyNumberFormat="1" applyFill="1" applyBorder="1" applyAlignment="1" applyProtection="1">
      <alignment horizontal="center" vertical="center"/>
      <protection locked="0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165" fontId="0" fillId="11" borderId="41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>
      <alignment horizontal="center" vertical="center"/>
    </xf>
    <xf numFmtId="165" fontId="18" fillId="11" borderId="25" xfId="0" applyNumberFormat="1" applyFont="1" applyFill="1" applyBorder="1" applyAlignment="1" applyProtection="1">
      <alignment horizontal="center" vertical="center"/>
      <protection locked="0"/>
    </xf>
    <xf numFmtId="165" fontId="18" fillId="11" borderId="75" xfId="0" applyNumberFormat="1" applyFont="1" applyFill="1" applyBorder="1" applyAlignment="1" applyProtection="1">
      <alignment horizontal="center" vertical="center"/>
      <protection locked="0"/>
    </xf>
    <xf numFmtId="165" fontId="25" fillId="29" borderId="111" xfId="0" applyNumberFormat="1" applyFont="1" applyFill="1" applyBorder="1" applyAlignment="1" applyProtection="1">
      <alignment horizontal="center" vertical="center"/>
      <protection locked="0"/>
    </xf>
    <xf numFmtId="165" fontId="18" fillId="11" borderId="112" xfId="0" applyNumberFormat="1" applyFont="1" applyFill="1" applyBorder="1" applyAlignment="1" applyProtection="1">
      <alignment horizontal="center" vertical="center"/>
      <protection locked="0"/>
    </xf>
    <xf numFmtId="165" fontId="23" fillId="11" borderId="25" xfId="0" applyNumberFormat="1" applyFont="1" applyFill="1" applyBorder="1" applyAlignment="1" applyProtection="1">
      <alignment horizontal="center" vertical="center"/>
      <protection locked="0"/>
    </xf>
    <xf numFmtId="165" fontId="23" fillId="11" borderId="75" xfId="0" applyNumberFormat="1" applyFont="1" applyFill="1" applyBorder="1" applyAlignment="1" applyProtection="1">
      <alignment horizontal="center" vertical="center"/>
      <protection locked="0"/>
    </xf>
    <xf numFmtId="167" fontId="1" fillId="11" borderId="111" xfId="0" applyNumberFormat="1" applyFont="1" applyFill="1" applyBorder="1" applyAlignment="1">
      <alignment horizontal="center" vertical="center"/>
    </xf>
    <xf numFmtId="165" fontId="1" fillId="11" borderId="25" xfId="0" applyNumberFormat="1" applyFont="1" applyFill="1" applyBorder="1" applyAlignment="1" applyProtection="1">
      <alignment horizontal="center" vertical="center"/>
      <protection locked="0"/>
    </xf>
    <xf numFmtId="165" fontId="0" fillId="11" borderId="113" xfId="0" applyNumberFormat="1" applyFill="1" applyBorder="1" applyAlignment="1" applyProtection="1">
      <alignment horizontal="center"/>
      <protection locked="0"/>
    </xf>
    <xf numFmtId="165" fontId="1" fillId="11" borderId="114" xfId="0" applyNumberFormat="1" applyFont="1" applyFill="1" applyBorder="1" applyAlignment="1" applyProtection="1">
      <alignment horizontal="center" vertical="center"/>
      <protection locked="0"/>
    </xf>
    <xf numFmtId="165" fontId="0" fillId="11" borderId="115" xfId="0" applyNumberFormat="1" applyFill="1" applyBorder="1" applyAlignment="1" applyProtection="1">
      <alignment horizontal="center"/>
      <protection locked="0"/>
    </xf>
    <xf numFmtId="165" fontId="1" fillId="11" borderId="1" xfId="0" applyNumberFormat="1" applyFont="1" applyFill="1" applyBorder="1" applyAlignment="1" applyProtection="1">
      <alignment horizontal="center" vertical="center"/>
      <protection locked="0"/>
    </xf>
    <xf numFmtId="165" fontId="1" fillId="11" borderId="3" xfId="0" applyNumberFormat="1" applyFont="1" applyFill="1" applyBorder="1" applyAlignment="1" applyProtection="1">
      <alignment horizontal="center" vertical="center"/>
      <protection locked="0"/>
    </xf>
    <xf numFmtId="165" fontId="0" fillId="11" borderId="116" xfId="0" applyNumberFormat="1" applyFill="1" applyBorder="1" applyAlignment="1" applyProtection="1">
      <alignment horizontal="center"/>
      <protection locked="0"/>
    </xf>
    <xf numFmtId="165" fontId="18" fillId="11" borderId="110" xfId="0" applyNumberFormat="1" applyFont="1" applyFill="1" applyBorder="1" applyAlignment="1" applyProtection="1">
      <alignment horizontal="center" vertical="center"/>
      <protection locked="0"/>
    </xf>
    <xf numFmtId="165" fontId="0" fillId="12" borderId="0" xfId="0" applyNumberFormat="1" applyFill="1" applyAlignment="1" applyProtection="1">
      <alignment horizontal="left"/>
      <protection locked="0"/>
    </xf>
    <xf numFmtId="0" fontId="0" fillId="12" borderId="0" xfId="0" applyFill="1" applyAlignment="1">
      <alignment horizontal="center" vertic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2" fontId="1" fillId="0" borderId="44" xfId="0" applyNumberFormat="1" applyFont="1" applyBorder="1" applyAlignment="1">
      <alignment horizontal="center"/>
    </xf>
    <xf numFmtId="2" fontId="1" fillId="0" borderId="45" xfId="0" applyNumberFormat="1" applyFont="1" applyBorder="1" applyAlignment="1">
      <alignment horizontal="center"/>
    </xf>
    <xf numFmtId="2" fontId="1" fillId="0" borderId="49" xfId="0" applyNumberFormat="1" applyFont="1" applyBorder="1" applyAlignment="1">
      <alignment horizontal="center"/>
    </xf>
    <xf numFmtId="2" fontId="1" fillId="0" borderId="50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0" fillId="0" borderId="73" xfId="0" applyNumberFormat="1" applyBorder="1" applyAlignment="1">
      <alignment horizontal="center" vertical="center"/>
    </xf>
    <xf numFmtId="1" fontId="0" fillId="0" borderId="74" xfId="0" applyNumberFormat="1" applyBorder="1" applyAlignment="1">
      <alignment horizontal="center" vertical="center"/>
    </xf>
    <xf numFmtId="1" fontId="0" fillId="5" borderId="73" xfId="0" applyNumberFormat="1" applyFill="1" applyBorder="1" applyAlignment="1">
      <alignment horizontal="center" vertical="center"/>
    </xf>
    <xf numFmtId="1" fontId="0" fillId="5" borderId="74" xfId="0" applyNumberFormat="1" applyFill="1" applyBorder="1" applyAlignment="1">
      <alignment horizontal="center" vertical="center"/>
    </xf>
  </cellXfs>
  <cellStyles count="1">
    <cellStyle name="Normal" xfId="0" builtinId="0"/>
  </cellStyles>
  <dxfs count="1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fgColor rgb="FF0070C0"/>
          <bgColor theme="2" tint="-0.749961851863155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7"/>
        </patternFill>
      </fill>
    </dxf>
    <dxf>
      <fill>
        <patternFill>
          <bgColor theme="8" tint="0.59996337778862885"/>
        </patternFill>
      </fill>
    </dxf>
    <dxf>
      <font>
        <color rgb="FF002060"/>
      </font>
      <fill>
        <patternFill>
          <fgColor auto="1"/>
          <bgColor rgb="FF002060"/>
        </patternFill>
      </fill>
    </dxf>
    <dxf>
      <font>
        <color theme="7"/>
      </font>
      <fill>
        <patternFill>
          <bgColor theme="7"/>
        </patternFill>
      </fill>
    </dxf>
    <dxf>
      <font>
        <color theme="2" tint="-0.749961851863155"/>
      </font>
      <fill>
        <patternFill>
          <fgColor rgb="FF0070C0"/>
          <bgColor theme="2" tint="-0.74996185186315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1"/>
        </right>
        <top/>
        <bottom/>
      </border>
    </dxf>
    <dxf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border>
        <left style="medium">
          <color rgb="FF000000"/>
        </left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none"/>
      </fill>
    </dxf>
    <dxf>
      <fill>
        <patternFill patternType="none"/>
      </fill>
    </dxf>
    <dxf>
      <numFmt numFmtId="164" formatCode="0.0"/>
      <fill>
        <patternFill patternType="none"/>
      </fill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</dxf>
    <dxf>
      <border outline="0">
        <left style="medium">
          <color indexed="64"/>
        </left>
      </border>
    </dxf>
    <dxf>
      <fill>
        <patternFill patternType="none"/>
      </fill>
    </dxf>
    <dxf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8"/>
      </font>
    </dxf>
    <dxf>
      <font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</dxf>
  </dxfs>
  <tableStyles count="0" defaultTableStyle="TableStyleMedium2" defaultPivotStyle="PivotStyleLight16"/>
  <colors>
    <mruColors>
      <color rgb="FFFFB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'2021'!$N$49</c:f>
              <c:strCache>
                <c:ptCount val="1"/>
                <c:pt idx="0">
                  <c:v>perez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'2021'!$O$49:$AJ$49</c:f>
              <c:numCache>
                <c:formatCode>General</c:formatCode>
                <c:ptCount val="22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16</c:v>
                </c:pt>
                <c:pt idx="10">
                  <c:v>21</c:v>
                </c:pt>
                <c:pt idx="11">
                  <c:v>19</c:v>
                </c:pt>
                <c:pt idx="12">
                  <c:v>8</c:v>
                </c:pt>
                <c:pt idx="13">
                  <c:v>5</c:v>
                </c:pt>
                <c:pt idx="14">
                  <c:v>9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21</c:v>
                </c:pt>
                <c:pt idx="2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3-D142-880E-87CD6C14576A}"/>
            </c:ext>
          </c:extLst>
        </c:ser>
        <c:ser>
          <c:idx val="1"/>
          <c:order val="1"/>
          <c:tx>
            <c:strRef>
              <c:f>'2021'!$N$50</c:f>
              <c:strCache>
                <c:ptCount val="1"/>
                <c:pt idx="0">
                  <c:v>leclerc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'2021'!$O$50:$AJ$50</c:f>
              <c:numCache>
                <c:formatCode>General</c:formatCode>
                <c:ptCount val="22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21</c:v>
                </c:pt>
                <c:pt idx="5">
                  <c:v>4</c:v>
                </c:pt>
                <c:pt idx="6">
                  <c:v>16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  <c:pt idx="10">
                  <c:v>21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15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7</c:v>
                </c:pt>
                <c:pt idx="2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3-D142-880E-87CD6C14576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49930191"/>
        <c:axId val="831398767"/>
      </c:lineChart>
      <c:catAx>
        <c:axId val="7499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V"/>
          </a:p>
        </c:txPr>
        <c:crossAx val="831398767"/>
        <c:crosses val="autoZero"/>
        <c:auto val="1"/>
        <c:lblAlgn val="ctr"/>
        <c:lblOffset val="100"/>
        <c:noMultiLvlLbl val="0"/>
      </c:catAx>
      <c:valAx>
        <c:axId val="831398767"/>
        <c:scaling>
          <c:orientation val="minMax"/>
          <c:max val="2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V"/>
          </a:p>
        </c:txPr>
        <c:crossAx val="74993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V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Race Finish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V"/>
        </a:p>
      </c:txPr>
    </c:title>
    <c:autoTitleDeleted val="0"/>
    <c:plotArea>
      <c:layout>
        <c:manualLayout>
          <c:layoutTarget val="inner"/>
          <c:xMode val="edge"/>
          <c:yMode val="edge"/>
          <c:x val="1.0421229453407739E-2"/>
          <c:y val="0.10097838513216938"/>
          <c:w val="0.98067689777727973"/>
          <c:h val="0.83474921218643083"/>
        </c:manualLayout>
      </c:layout>
      <c:lineChart>
        <c:grouping val="standard"/>
        <c:varyColors val="0"/>
        <c:ser>
          <c:idx val="0"/>
          <c:order val="0"/>
          <c:tx>
            <c:strRef>
              <c:f>'Dashboard 2022'!$G$29</c:f>
              <c:strCache>
                <c:ptCount val="1"/>
                <c:pt idx="0">
                  <c:v>alonso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2022'!$I$29:$AE$29</c:f>
              <c:numCache>
                <c:formatCode>0;\-0;;@</c:formatCode>
                <c:ptCount val="23"/>
                <c:pt idx="0">
                  <c:v>9</c:v>
                </c:pt>
                <c:pt idx="1">
                  <c:v>20.100000000000001</c:v>
                </c:pt>
                <c:pt idx="2">
                  <c:v>17</c:v>
                </c:pt>
                <c:pt idx="3">
                  <c:v>20.100000000000001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5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5</c:v>
                </c:pt>
                <c:pt idx="14">
                  <c:v>6</c:v>
                </c:pt>
                <c:pt idx="15">
                  <c:v>20.100000000000001</c:v>
                </c:pt>
                <c:pt idx="16">
                  <c:v>20.100000000000001</c:v>
                </c:pt>
                <c:pt idx="17">
                  <c:v>7</c:v>
                </c:pt>
                <c:pt idx="18">
                  <c:v>15</c:v>
                </c:pt>
                <c:pt idx="19">
                  <c:v>20.100000000000001</c:v>
                </c:pt>
                <c:pt idx="20">
                  <c:v>5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9-F944-BF5A-0895DACFAA55}"/>
            </c:ext>
          </c:extLst>
        </c:ser>
        <c:ser>
          <c:idx val="1"/>
          <c:order val="1"/>
          <c:tx>
            <c:strRef>
              <c:f>'Dashboard 2022'!$G$30</c:f>
              <c:strCache>
                <c:ptCount val="1"/>
                <c:pt idx="0">
                  <c:v>ocon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2022'!$I$30:$AE$30</c:f>
              <c:numCache>
                <c:formatCode>0;\-0;;@</c:formatCode>
                <c:ptCount val="23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14</c:v>
                </c:pt>
                <c:pt idx="4">
                  <c:v>8</c:v>
                </c:pt>
                <c:pt idx="5">
                  <c:v>7</c:v>
                </c:pt>
                <c:pt idx="6">
                  <c:v>12</c:v>
                </c:pt>
                <c:pt idx="7">
                  <c:v>10</c:v>
                </c:pt>
                <c:pt idx="8">
                  <c:v>6</c:v>
                </c:pt>
                <c:pt idx="9">
                  <c:v>20.100000000000001</c:v>
                </c:pt>
                <c:pt idx="10">
                  <c:v>5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11</c:v>
                </c:pt>
                <c:pt idx="16">
                  <c:v>20.100000000000001</c:v>
                </c:pt>
                <c:pt idx="17">
                  <c:v>4</c:v>
                </c:pt>
                <c:pt idx="18">
                  <c:v>10</c:v>
                </c:pt>
                <c:pt idx="19">
                  <c:v>8</c:v>
                </c:pt>
                <c:pt idx="20">
                  <c:v>8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9-F944-BF5A-0895DACFAA55}"/>
            </c:ext>
          </c:extLst>
        </c:ser>
        <c:ser>
          <c:idx val="2"/>
          <c:order val="2"/>
          <c:tx>
            <c:strRef>
              <c:f>'Dashboard 2022'!$G$31</c:f>
              <c:strCache>
                <c:ptCount val="1"/>
                <c:pt idx="0">
                  <c:v>russell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2022'!$I$31:$AE$31</c:f>
              <c:numCache>
                <c:formatCode>0;\-0;;@</c:formatCode>
                <c:ptCount val="23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20.100000000000001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9-F944-BF5A-0895DACFAA55}"/>
            </c:ext>
          </c:extLst>
        </c:ser>
        <c:ser>
          <c:idx val="3"/>
          <c:order val="3"/>
          <c:tx>
            <c:strRef>
              <c:f>'Dashboard 2022'!$G$32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2022'!$I$32:$AE$32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9-F944-BF5A-0895DACFAA55}"/>
            </c:ext>
          </c:extLst>
        </c:ser>
        <c:ser>
          <c:idx val="4"/>
          <c:order val="4"/>
          <c:tx>
            <c:strRef>
              <c:f>'Dashboard 2022'!$G$33</c:f>
              <c:strCache>
                <c:ptCount val="1"/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2022'!$I$33:$AE$33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89-F944-BF5A-0895DACFAA55}"/>
            </c:ext>
          </c:extLst>
        </c:ser>
        <c:ser>
          <c:idx val="5"/>
          <c:order val="5"/>
          <c:tx>
            <c:strRef>
              <c:f>'Dashboard 2022'!$G$34</c:f>
              <c:strCache>
                <c:ptCount val="1"/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2022'!$I$34:$AE$34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89-F944-BF5A-0895DACFAA55}"/>
            </c:ext>
          </c:extLst>
        </c:ser>
        <c:ser>
          <c:idx val="6"/>
          <c:order val="6"/>
          <c:tx>
            <c:strRef>
              <c:f>'Dashboard 2022'!$G$35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2022'!$I$35:$AE$35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89-F944-BF5A-0895DACFAA55}"/>
            </c:ext>
          </c:extLst>
        </c:ser>
        <c:ser>
          <c:idx val="7"/>
          <c:order val="7"/>
          <c:tx>
            <c:strRef>
              <c:f>'Dashboard 2022'!$G$36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2022'!$I$36:$AE$36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89-F944-BF5A-0895DACFAA55}"/>
            </c:ext>
          </c:extLst>
        </c:ser>
        <c:ser>
          <c:idx val="8"/>
          <c:order val="8"/>
          <c:tx>
            <c:strRef>
              <c:f>'Dashboard 2022'!$G$37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2022'!$I$37:$AE$37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89-F944-BF5A-0895DACFAA55}"/>
            </c:ext>
          </c:extLst>
        </c:ser>
        <c:ser>
          <c:idx val="9"/>
          <c:order val="9"/>
          <c:tx>
            <c:strRef>
              <c:f>'Dashboard 2022'!$G$38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2022'!$I$38:$AE$38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89-F944-BF5A-0895DACFAA55}"/>
            </c:ext>
          </c:extLst>
        </c:ser>
        <c:ser>
          <c:idx val="10"/>
          <c:order val="10"/>
          <c:tx>
            <c:strRef>
              <c:f>'Dashboard 2022'!$G$39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2022'!$I$39:$AE$39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89-F944-BF5A-0895DACFAA55}"/>
            </c:ext>
          </c:extLst>
        </c:ser>
        <c:ser>
          <c:idx val="11"/>
          <c:order val="11"/>
          <c:tx>
            <c:strRef>
              <c:f>'Dashboard 2022'!$G$40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2022'!$I$40:$AE$40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89-F944-BF5A-0895DACFAA55}"/>
            </c:ext>
          </c:extLst>
        </c:ser>
        <c:ser>
          <c:idx val="12"/>
          <c:order val="12"/>
          <c:tx>
            <c:strRef>
              <c:f>'Dashboard 2022'!$G$41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2022'!$I$41:$AE$41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289-F944-BF5A-0895DACFAA55}"/>
            </c:ext>
          </c:extLst>
        </c:ser>
        <c:ser>
          <c:idx val="13"/>
          <c:order val="13"/>
          <c:tx>
            <c:strRef>
              <c:f>'Dashboard 2022'!$G$42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2022'!$I$42:$AE$42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89-F944-BF5A-0895DACFAA55}"/>
            </c:ext>
          </c:extLst>
        </c:ser>
        <c:ser>
          <c:idx val="14"/>
          <c:order val="14"/>
          <c:tx>
            <c:strRef>
              <c:f>'Dashboard 2022'!$G$43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2022'!$I$43:$AE$43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89-F944-BF5A-0895DACFAA55}"/>
            </c:ext>
          </c:extLst>
        </c:ser>
        <c:ser>
          <c:idx val="15"/>
          <c:order val="15"/>
          <c:tx>
            <c:strRef>
              <c:f>'Dashboard 2022'!$G$44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2022'!$I$44:$AE$44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289-F944-BF5A-0895DACFAA55}"/>
            </c:ext>
          </c:extLst>
        </c:ser>
        <c:ser>
          <c:idx val="16"/>
          <c:order val="16"/>
          <c:tx>
            <c:strRef>
              <c:f>'Dashboard 2022'!$G$45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2022'!$I$45:$AE$45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289-F944-BF5A-0895DACFAA55}"/>
            </c:ext>
          </c:extLst>
        </c:ser>
        <c:ser>
          <c:idx val="17"/>
          <c:order val="17"/>
          <c:tx>
            <c:strRef>
              <c:f>'Dashboard 2022'!$G$46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2022'!$I$46:$AE$46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289-F944-BF5A-0895DACFAA55}"/>
            </c:ext>
          </c:extLst>
        </c:ser>
        <c:ser>
          <c:idx val="18"/>
          <c:order val="18"/>
          <c:tx>
            <c:strRef>
              <c:f>'Dashboard 2022'!$G$47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2022'!$I$47:$AE$47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289-F944-BF5A-0895DACFAA55}"/>
            </c:ext>
          </c:extLst>
        </c:ser>
        <c:ser>
          <c:idx val="19"/>
          <c:order val="19"/>
          <c:tx>
            <c:strRef>
              <c:f>'Dashboard 2022'!$G$48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V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'2022'!$AA$3:$AV$3</c:f>
              <c:strCache>
                <c:ptCount val="22"/>
                <c:pt idx="0">
                  <c:v>Bahrein</c:v>
                </c:pt>
                <c:pt idx="1">
                  <c:v>Arabia Saudi</c:v>
                </c:pt>
                <c:pt idx="2">
                  <c:v>Australia</c:v>
                </c:pt>
                <c:pt idx="3">
                  <c:v>Emilia-Ro</c:v>
                </c:pt>
                <c:pt idx="4">
                  <c:v>Miami</c:v>
                </c:pt>
                <c:pt idx="5">
                  <c:v>Barcelona</c:v>
                </c:pt>
                <c:pt idx="6">
                  <c:v>Monaco</c:v>
                </c:pt>
                <c:pt idx="7">
                  <c:v>Azerbaijan</c:v>
                </c:pt>
                <c:pt idx="8">
                  <c:v>Canada</c:v>
                </c:pt>
                <c:pt idx="9">
                  <c:v>Silverstone</c:v>
                </c:pt>
                <c:pt idx="10">
                  <c:v>Austria</c:v>
                </c:pt>
                <c:pt idx="11">
                  <c:v>France</c:v>
                </c:pt>
                <c:pt idx="12">
                  <c:v>Hungary</c:v>
                </c:pt>
                <c:pt idx="13">
                  <c:v>Belgium</c:v>
                </c:pt>
                <c:pt idx="14">
                  <c:v>Netherlands</c:v>
                </c:pt>
                <c:pt idx="15">
                  <c:v>Italy</c:v>
                </c:pt>
                <c:pt idx="16">
                  <c:v>Singapore</c:v>
                </c:pt>
                <c:pt idx="17">
                  <c:v>Japan</c:v>
                </c:pt>
                <c:pt idx="18">
                  <c:v>USA</c:v>
                </c:pt>
                <c:pt idx="19">
                  <c:v>Mexico</c:v>
                </c:pt>
                <c:pt idx="20">
                  <c:v>Brazil</c:v>
                </c:pt>
                <c:pt idx="21">
                  <c:v>Abu Dhabi</c:v>
                </c:pt>
              </c:strCache>
            </c:strRef>
          </c:cat>
          <c:val>
            <c:numRef>
              <c:f>'Dashboard 2022'!$I$48:$AE$48</c:f>
              <c:numCache>
                <c:formatCode>0;\-0;;@</c:formatCode>
                <c:ptCount val="23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289-F944-BF5A-0895DACFA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114992"/>
        <c:axId val="1772117680"/>
      </c:lineChart>
      <c:catAx>
        <c:axId val="177211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V"/>
          </a:p>
        </c:txPr>
        <c:crossAx val="1772117680"/>
        <c:crosses val="autoZero"/>
        <c:auto val="1"/>
        <c:lblAlgn val="ctr"/>
        <c:lblOffset val="100"/>
        <c:noMultiLvlLbl val="0"/>
      </c:catAx>
      <c:valAx>
        <c:axId val="1772117680"/>
        <c:scaling>
          <c:orientation val="minMax"/>
          <c:max val="20.05"/>
          <c:min val="0.5"/>
        </c:scaling>
        <c:delete val="1"/>
        <c:axPos val="l"/>
        <c:numFmt formatCode="0;\-0;;@" sourceLinked="1"/>
        <c:majorTickMark val="out"/>
        <c:minorTickMark val="none"/>
        <c:tickLblPos val="nextTo"/>
        <c:crossAx val="177211499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23354</xdr:colOff>
      <xdr:row>52</xdr:row>
      <xdr:rowOff>56582</xdr:rowOff>
    </xdr:from>
    <xdr:to>
      <xdr:col>36</xdr:col>
      <xdr:colOff>45846</xdr:colOff>
      <xdr:row>73</xdr:row>
      <xdr:rowOff>74706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C5567D-D757-B747-BDA2-6A1479AD8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16935</xdr:colOff>
      <xdr:row>26</xdr:row>
      <xdr:rowOff>100114</xdr:rowOff>
    </xdr:from>
    <xdr:to>
      <xdr:col>28</xdr:col>
      <xdr:colOff>254000</xdr:colOff>
      <xdr:row>48</xdr:row>
      <xdr:rowOff>106003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DD05EB-7252-7F4A-AD2A-84AB520CB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FE46C-419B-4B57-9D8C-33F3CD08BEAC}" name="Table1" displayName="Table1" ref="M26:AL27" totalsRowShown="0" headerRowDxfId="102" dataDxfId="101" tableBorderDxfId="100">
  <autoFilter ref="M26:AL27" xr:uid="{C8AFE46C-419B-4B57-9D8C-33F3CD08BEAC}"/>
  <tableColumns count="26">
    <tableColumn id="1" xr3:uid="{57E96598-F16C-4774-9EB6-DE0DDCF6E2BB}" name="Column1" dataDxfId="99"/>
    <tableColumn id="2" xr3:uid="{08825437-8B23-4486-8760-72528BF73940}" name="Avg" dataDxfId="98">
      <calculatedColumnFormula>SUM(Table1[[#This Row],[Bahrein]:[Constructor]])</calculatedColumnFormula>
    </tableColumn>
    <tableColumn id="3" xr3:uid="{8292B090-5B3E-42BB-BEB4-1CC4AA2C0C3A}" name="Bahrein" dataDxfId="97"/>
    <tableColumn id="4" xr3:uid="{1B17957C-60F5-4368-8005-37331E46C7A6}" name="Imola" dataDxfId="96"/>
    <tableColumn id="5" xr3:uid="{15DC20E0-8204-4FF1-91DD-50C6B1CDD092}" name="Portugal" dataDxfId="95"/>
    <tableColumn id="6" xr3:uid="{D4C7F049-90FB-417E-B9FF-CEBC8DDDF140}" name="España" dataDxfId="94"/>
    <tableColumn id="7" xr3:uid="{71A21D26-1A45-4498-961B-7EB9C8B9E35E}" name="Monaco" dataDxfId="93"/>
    <tableColumn id="8" xr3:uid="{906D614C-E0B5-4987-AED9-8DA0F1BD9DC5}" name="Azerbaiyan" dataDxfId="92"/>
    <tableColumn id="9" xr3:uid="{B297D662-6F0E-496B-9B59-9B7FA3EA4923}" name="Francia" dataDxfId="91"/>
    <tableColumn id="10" xr3:uid="{9FD30584-5C7F-4CE2-AE34-5CCBF3531392}" name="Steiermark" dataDxfId="90"/>
    <tableColumn id="11" xr3:uid="{4E879DA7-35B2-404D-98AF-D6F0C274980C}" name="Austria" dataDxfId="89"/>
    <tableColumn id="12" xr3:uid="{8EFA8813-0484-41D0-B10E-E75B16CDCB91}" name="Gran Bretana" dataDxfId="88"/>
    <tableColumn id="13" xr3:uid="{FD3EA663-E4AD-445B-9CAE-4F0BDC626A96}" name="Hungary" dataDxfId="87"/>
    <tableColumn id="14" xr3:uid="{9FAD72B5-8EF1-4F66-A53F-E460984D26AA}" name="Belgica" dataDxfId="86"/>
    <tableColumn id="15" xr3:uid="{96DFE2DC-F4C6-4EDB-A457-A5A962DBD4B8}" name="netherland" dataDxfId="85"/>
    <tableColumn id="16" xr3:uid="{89819751-C0BA-44EA-9F4F-98242BDD1B7E}" name="Italia" dataDxfId="84"/>
    <tableColumn id="17" xr3:uid="{B0FD78D3-B1B2-4A42-8EAA-773AE2C374C6}" name="Sochi" dataDxfId="83"/>
    <tableColumn id="18" xr3:uid="{167967C2-D0CC-492B-B6CB-7BED0A619699}" name="Turkey" dataDxfId="82"/>
    <tableColumn id="19" xr3:uid="{DD3ED8B0-CD37-4CBF-820B-6835252A88FA}" name="Column2" dataDxfId="81"/>
    <tableColumn id="20" xr3:uid="{9D60B67A-E656-4959-BA3B-97917C17FDB0}" name="USA" dataDxfId="80"/>
    <tableColumn id="21" xr3:uid="{2CDD2288-984D-449A-9859-1A74E2692325}" name="Mexico" dataDxfId="79"/>
    <tableColumn id="22" xr3:uid="{DCEF9B73-D293-4D79-82C1-670DCF3E4268}" name="Brasil" dataDxfId="78"/>
    <tableColumn id="23" xr3:uid="{EDA2E2F2-3ADA-4F3E-955C-61AFDB2F322A}" name="Qatar" dataDxfId="77"/>
    <tableColumn id="24" xr3:uid="{FF2472EE-27A5-41E7-8560-196BAA951481}" name="Arabia S" dataDxfId="76"/>
    <tableColumn id="25" xr3:uid="{10DD7471-F4A2-4FAB-A5FE-B59303CCBE6C}" name="Constructor" dataDxfId="75"/>
    <tableColumn id="26" xr3:uid="{D4642A05-FDD7-7040-ABCB-B153648AB0C9}" name="Second half" dataDxfId="74">
      <calculatedColumnFormula>SUM(Table1[[#This Row],[Belgica]:[Constructor]])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6E52F4-BF2E-E948-A416-C22C67D4DDC7}" name="Table4" displayName="Table4" ref="B49:C69" totalsRowShown="0" headerRowDxfId="73" dataDxfId="72">
  <autoFilter ref="B49:C69" xr:uid="{9A6E52F4-BF2E-E948-A416-C22C67D4DDC7}">
    <filterColumn colId="1">
      <top10 val="10" filterVal="1.048913043478261"/>
    </filterColumn>
  </autoFilter>
  <sortState xmlns:xlrd2="http://schemas.microsoft.com/office/spreadsheetml/2017/richdata2" ref="B50:C59">
    <sortCondition descending="1" ref="C49:C69"/>
  </sortState>
  <tableColumns count="2">
    <tableColumn id="1" xr3:uid="{58A8C8CE-60D4-DB4B-8F6D-62D3F5EFC1AB}" name="Driver" dataDxfId="71"/>
    <tableColumn id="2" xr3:uid="{791E6464-C0F7-814E-91AD-0BE5EB19E95A}" name="Points/M" dataDxfId="70">
      <calculatedColumnFormula>VLOOKUP(Table4[[#This Row],[Driver]],$Q$3:$W$22,5,FALSE)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AEC541-A9B3-AA46-93E2-74325F0E41B7}" name="Table5" displayName="Table5" ref="E49:F59" totalsRowShown="0">
  <autoFilter ref="E49:F59" xr:uid="{6DAEC541-A9B3-AA46-93E2-74325F0E41B7}"/>
  <sortState xmlns:xlrd2="http://schemas.microsoft.com/office/spreadsheetml/2017/richdata2" ref="E50:F59">
    <sortCondition descending="1" ref="F49:F59"/>
  </sortState>
  <tableColumns count="2">
    <tableColumn id="1" xr3:uid="{4EA3A98F-2DA4-3A49-B98C-FCF14359E953}" name="Driver" dataDxfId="69"/>
    <tableColumn id="2" xr3:uid="{AF78811D-874A-6D47-8429-C5F3A76D8CF8}" name="Points/M" dataDxfId="68">
      <calculatedColumnFormula>VLOOKUP(E50,$K$3:$O$12,5,FALSE)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79FF41-890A-5245-8F30-32D0B33C7492}" name="Drivers" displayName="Drivers" ref="B3:P23" totalsRowShown="0" headerRowDxfId="62" dataDxfId="60" headerRowBorderDxfId="61" tableBorderDxfId="59">
  <autoFilter ref="B3:P23" xr:uid="{8F79FF41-890A-5245-8F30-32D0B33C7492}"/>
  <sortState xmlns:xlrd2="http://schemas.microsoft.com/office/spreadsheetml/2017/richdata2" ref="B4:P23">
    <sortCondition ref="B3:B23"/>
  </sortState>
  <tableColumns count="15">
    <tableColumn id="1" xr3:uid="{D2E2FA53-558A-AB44-86A1-90F0EBD16F01}" name="Driver" dataDxfId="58"/>
    <tableColumn id="2" xr3:uid="{7A58A9BC-100D-D04C-94F4-E90278BC6D4F}" name="Points" dataDxfId="57"/>
    <tableColumn id="3" xr3:uid="{21AECD0F-2575-7840-9C7F-2C53BEDFFF98}" name="Price" dataDxfId="56"/>
    <tableColumn id="4" xr3:uid="{0AAFF1BD-090A-3E4D-8C5F-7D4736FED493}" name="Streak" dataDxfId="55"/>
    <tableColumn id="5" xr3:uid="{A32BB475-1894-9C48-A59C-40B165B79AAF}" name="Avg Points" dataDxfId="54">
      <calculatedColumnFormula>C4/$Z$4</calculatedColumnFormula>
    </tableColumn>
    <tableColumn id="6" xr3:uid="{A7ADEBC6-7E0F-F340-92EB-806FB3C27AB0}" name="Total Points" dataDxfId="53">
      <calculatedColumnFormula>E4+F4</calculatedColumnFormula>
    </tableColumn>
    <tableColumn id="7" xr3:uid="{EE026D5C-7B20-AB42-AD95-DB5DEEA0CD38}" name="Points/M" dataDxfId="52">
      <calculatedColumnFormula>G4/D4</calculatedColumnFormula>
    </tableColumn>
    <tableColumn id="8" xr3:uid="{EA7AFBE3-33CA-4E4B-8D63-9274630AA7F7}" name="Rank Price" dataDxfId="51">
      <calculatedColumnFormula>RANK(D4,$D$4:$D$23)</calculatedColumnFormula>
    </tableColumn>
    <tableColumn id="9" xr3:uid="{F410C602-AA3D-CE41-9846-8228472A0257}" name="Avg. Pos." dataDxfId="50">
      <calculatedColumnFormula>_xlfn.XLOOKUP(B4,$S$5:$S$44,$Z$5:$Z$44)</calculatedColumnFormula>
    </tableColumn>
    <tableColumn id="10" xr3:uid="{944C9835-B7E7-284F-A490-5C63E235D786}" name="Wins" dataDxfId="49">
      <calculatedColumnFormula>_xlfn.XLOOKUP(Drivers[[#This Row],[Driver]],$S$5:$S$44,$X$5:$X$44)</calculatedColumnFormula>
    </tableColumn>
    <tableColumn id="11" xr3:uid="{6F6A0EAD-B0D5-4D40-9B79-DC3602C5600D}" name="DNF" dataDxfId="48">
      <calculatedColumnFormula>_xlfn.XLOOKUP(B4,$S$5:$S$44,$Y$5:$Y$44)</calculatedColumnFormula>
    </tableColumn>
    <tableColumn id="16" xr3:uid="{4FD85213-7900-E247-848D-0928719CCFAF}" name="WOT" dataDxfId="47">
      <calculatedColumnFormula>_xlfn.XLOOKUP(B4,$S$5:$S$44,$R$5:$R$44)</calculatedColumnFormula>
    </tableColumn>
    <tableColumn id="12" xr3:uid="{31C3CA56-E624-D44D-89AE-EDF8D80382FE}" name="Pos. G | L" dataDxfId="46">
      <calculatedColumnFormula>_xlfn.XLOOKUP(B4,$S$5:$S$44,$V$5:$V$44)</calculatedColumnFormula>
    </tableColumn>
    <tableColumn id="13" xr3:uid="{8F0CF51A-6F32-6E42-8200-D29008C18ECA}" name="Avg Pos. G | L" dataDxfId="45">
      <calculatedColumnFormula>N4/$Z$4</calculatedColumnFormula>
    </tableColumn>
    <tableColumn id="15" xr3:uid="{760E7D73-9E47-E541-9639-AC9449284B71}" name="Team" dataDxfId="4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610B456-AA5D-B14B-8F10-E539A380A0C7}" name="Constructors" displayName="Constructors" ref="B27:L37" totalsRowShown="0" headerRowDxfId="43" dataDxfId="41" headerRowBorderDxfId="42" tableBorderDxfId="40">
  <autoFilter ref="B27:L37" xr:uid="{A610B456-AA5D-B14B-8F10-E539A380A0C7}"/>
  <sortState xmlns:xlrd2="http://schemas.microsoft.com/office/spreadsheetml/2017/richdata2" ref="B28:L37">
    <sortCondition descending="1" ref="D27:D37"/>
  </sortState>
  <tableColumns count="11">
    <tableColumn id="1" xr3:uid="{9BD16EF6-D7BB-2F4E-BEED-14E699820FE0}" name="Contructor" dataDxfId="39"/>
    <tableColumn id="2" xr3:uid="{A2A09B5E-D7AF-BF44-86DE-A339ECA5C3DE}" name="Points" dataDxfId="38"/>
    <tableColumn id="3" xr3:uid="{4CD09DF3-8562-9D49-9083-A7156A5E5C13}" name="Price" dataDxfId="37"/>
    <tableColumn id="4" xr3:uid="{496BD43F-69AD-2A4C-B0DE-754FA112ABBE}" name="Streak" dataDxfId="36"/>
    <tableColumn id="5" xr3:uid="{1AB27B9E-FEA4-BE48-9200-F42AE6E0FCF4}" name="Avg Points" dataDxfId="35">
      <calculatedColumnFormula>C28/$Z$4</calculatedColumnFormula>
    </tableColumn>
    <tableColumn id="6" xr3:uid="{00DEDBBF-C335-3A4C-9A97-F625EBCCD0F8}" name="Total Points" dataDxfId="34">
      <calculatedColumnFormula>E28+F28</calculatedColumnFormula>
    </tableColumn>
    <tableColumn id="7" xr3:uid="{7462F0C2-AEAC-AB4B-BC2B-2DA0E6AF1B9C}" name="Points/M" dataDxfId="33">
      <calculatedColumnFormula>G28/D28</calculatedColumnFormula>
    </tableColumn>
    <tableColumn id="8" xr3:uid="{DFFFFC2A-00B2-934E-B74B-312BBA3175B9}" name="Rank Price" dataDxfId="32">
      <calculatedColumnFormula>RANK(D28,$D$28:$D$37)</calculatedColumnFormula>
    </tableColumn>
    <tableColumn id="9" xr3:uid="{67260CAE-D89E-4D4F-A7BE-67771287DB93}" name="Avg. Pos." dataDxfId="31">
      <calculatedColumnFormula>(_xlfn.XLOOKUP(Constructors[[#This Row],[Contructor]],Drivers[Team],Drivers[Avg. Pos.],,,1)+_xlfn.XLOOKUP(Constructors[[#This Row],[Contructor]],Drivers[Team],Drivers[Avg. Pos.],,,-1))/2</calculatedColumnFormula>
    </tableColumn>
    <tableColumn id="10" xr3:uid="{0DFFED0A-AAC8-D144-9519-5DA4BE1EC6CF}" name="Wins" dataDxfId="30">
      <calculatedColumnFormula>(_xlfn.XLOOKUP(Constructors[[#This Row],[Contructor]],Drivers[Team],Drivers[Wins],,,1)+_xlfn.XLOOKUP(Constructors[[#This Row],[Contructor]],Drivers[Team],Drivers[Wins],,,-1))</calculatedColumnFormula>
    </tableColumn>
    <tableColumn id="11" xr3:uid="{C4BB3D7C-A381-BE40-BD17-580E69471351}" name="DNF" dataDxfId="29">
      <calculatedColumnFormula>(_xlfn.XLOOKUP(Constructors[[#This Row],[Contructor]],Drivers[Team],Drivers[DNF],,,1)+_xlfn.XLOOKUP(Constructors[[#This Row],[Contructor]],Drivers[Team],Drivers[DNF],,,-1))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69"/>
  <sheetViews>
    <sheetView zoomScale="50" zoomScaleNormal="90" workbookViewId="0">
      <selection activeCell="R37" sqref="R37"/>
    </sheetView>
  </sheetViews>
  <sheetFormatPr baseColWidth="10" defaultColWidth="4.83203125" defaultRowHeight="16" x14ac:dyDescent="0.2"/>
  <cols>
    <col min="1" max="1" width="7.1640625" customWidth="1"/>
    <col min="2" max="2" width="11" customWidth="1"/>
    <col min="3" max="3" width="9.1640625" customWidth="1"/>
    <col min="4" max="4" width="10.83203125" customWidth="1"/>
    <col min="5" max="5" width="8.33203125" customWidth="1"/>
    <col min="6" max="6" width="7.1640625" customWidth="1"/>
    <col min="7" max="7" width="7" customWidth="1"/>
    <col min="8" max="8" width="6.33203125" customWidth="1"/>
    <col min="9" max="11" width="10.1640625" customWidth="1"/>
    <col min="12" max="12" width="9.6640625" customWidth="1"/>
    <col min="13" max="13" width="9.1640625" customWidth="1"/>
    <col min="14" max="14" width="11.33203125" customWidth="1"/>
    <col min="15" max="15" width="13" customWidth="1"/>
    <col min="16" max="16" width="10.6640625" customWidth="1"/>
    <col min="17" max="17" width="8.5" customWidth="1"/>
    <col min="18" max="18" width="11.5" customWidth="1"/>
    <col min="19" max="19" width="9.5" customWidth="1"/>
    <col min="20" max="20" width="9.1640625" customWidth="1"/>
    <col min="21" max="21" width="10" customWidth="1"/>
    <col min="22" max="22" width="10.1640625" bestFit="1" customWidth="1"/>
    <col min="23" max="23" width="9" bestFit="1" customWidth="1"/>
    <col min="24" max="24" width="9.83203125" customWidth="1"/>
    <col min="25" max="25" width="8.33203125" customWidth="1"/>
    <col min="26" max="26" width="10.83203125" customWidth="1"/>
    <col min="27" max="27" width="10.6640625" bestFit="1" customWidth="1"/>
    <col min="28" max="28" width="11.33203125" customWidth="1"/>
    <col min="29" max="29" width="10.33203125" customWidth="1"/>
    <col min="30" max="30" width="9.1640625" customWidth="1"/>
    <col min="31" max="31" width="7.6640625" customWidth="1"/>
    <col min="32" max="32" width="10.6640625" bestFit="1" customWidth="1"/>
    <col min="33" max="33" width="10.1640625" customWidth="1"/>
    <col min="34" max="34" width="10.5" bestFit="1" customWidth="1"/>
    <col min="35" max="35" width="6.6640625" customWidth="1"/>
    <col min="36" max="36" width="11.83203125" bestFit="1" customWidth="1"/>
    <col min="37" max="37" width="9.6640625" customWidth="1"/>
    <col min="38" max="38" width="9.83203125" customWidth="1"/>
    <col min="39" max="39" width="4.83203125" customWidth="1"/>
    <col min="40" max="52" width="5.1640625" bestFit="1" customWidth="1"/>
  </cols>
  <sheetData>
    <row r="1" spans="2:41" ht="17" thickBot="1" x14ac:dyDescent="0.25">
      <c r="C1" s="4"/>
      <c r="D1" s="4"/>
      <c r="E1" s="4"/>
      <c r="F1" s="4"/>
      <c r="G1" s="4"/>
      <c r="H1" s="4"/>
    </row>
    <row r="2" spans="2:41" ht="17" thickBot="1" x14ac:dyDescent="0.25">
      <c r="B2" s="4" t="s">
        <v>0</v>
      </c>
      <c r="C2" s="374" t="s">
        <v>78</v>
      </c>
      <c r="D2" s="375"/>
      <c r="E2" s="83" t="s">
        <v>1</v>
      </c>
      <c r="F2" s="83" t="s">
        <v>74</v>
      </c>
      <c r="G2" s="83" t="s">
        <v>91</v>
      </c>
      <c r="H2" s="83" t="s">
        <v>80</v>
      </c>
      <c r="I2" s="84" t="s">
        <v>79</v>
      </c>
      <c r="J2" s="4"/>
      <c r="K2" s="37" t="s">
        <v>7</v>
      </c>
      <c r="L2" s="38" t="s">
        <v>1</v>
      </c>
      <c r="M2" s="38" t="s">
        <v>4</v>
      </c>
      <c r="N2" s="38" t="s">
        <v>6</v>
      </c>
      <c r="O2" s="53" t="s">
        <v>5</v>
      </c>
      <c r="Q2" s="119" t="s">
        <v>3</v>
      </c>
      <c r="R2" s="120" t="s">
        <v>1</v>
      </c>
      <c r="S2" s="120" t="s">
        <v>4</v>
      </c>
      <c r="T2" s="121" t="s">
        <v>6</v>
      </c>
      <c r="U2" s="384" t="s">
        <v>5</v>
      </c>
      <c r="V2" s="384"/>
      <c r="W2" s="385"/>
      <c r="X2" s="2" t="s">
        <v>74</v>
      </c>
      <c r="Y2" s="102" t="s">
        <v>3</v>
      </c>
      <c r="Z2" s="91" t="s">
        <v>8</v>
      </c>
      <c r="AA2" s="91" t="s">
        <v>9</v>
      </c>
      <c r="AB2" s="92" t="s">
        <v>10</v>
      </c>
      <c r="AD2" s="46" t="s">
        <v>11</v>
      </c>
      <c r="AE2" s="47" t="s">
        <v>12</v>
      </c>
      <c r="AF2" s="47" t="s">
        <v>9</v>
      </c>
      <c r="AG2" s="48" t="s">
        <v>10</v>
      </c>
      <c r="AI2" s="378" t="s">
        <v>82</v>
      </c>
      <c r="AJ2" s="379"/>
      <c r="AK2" s="376" t="s">
        <v>74</v>
      </c>
      <c r="AL2" s="377"/>
    </row>
    <row r="3" spans="2:41" ht="15.75" customHeight="1" thickBot="1" x14ac:dyDescent="0.25">
      <c r="B3">
        <v>1</v>
      </c>
      <c r="C3" s="132" t="s">
        <v>81</v>
      </c>
      <c r="D3" s="133" t="s">
        <v>76</v>
      </c>
      <c r="E3" s="4">
        <f>_xlfn.XLOOKUP(D3,$Q$3:$Q$22,$R$3:$R$22,0)</f>
        <v>17.600000000000001</v>
      </c>
      <c r="F3" s="5">
        <f>_xlfn.XLOOKUP(D3,$AK$3:$AK$22,$AL$3:$AL$22,0)</f>
        <v>8.3553719008264462</v>
      </c>
      <c r="G3" s="5">
        <f>_xlfn.XLOOKUP(D3,$Y$3:$Y$22,$Z$3:$Z$22,0)</f>
        <v>0</v>
      </c>
      <c r="H3" s="81">
        <f>_xlfn.XLOOKUP(D3,$M$28:$M$47,$J$28:$J$47,0)</f>
        <v>1</v>
      </c>
      <c r="I3" s="82">
        <f>(_xlfn.XLOOKUP(D3,$Q$3:$Q$22,$S$3:$S$22,0))*B3</f>
        <v>18.727272727272727</v>
      </c>
      <c r="J3" s="4"/>
      <c r="K3" s="40" t="s">
        <v>14</v>
      </c>
      <c r="L3" s="4">
        <f t="shared" ref="L3:L12" si="0">VLOOKUP(K3,$F$28:$H$37,3,FALSE)</f>
        <v>37.1</v>
      </c>
      <c r="M3" s="5">
        <f t="shared" ref="M3:M12" si="1">N3+VLOOKUP(K3,$AD$3:$AE$12,2,FALSE)</f>
        <v>51.363636363636367</v>
      </c>
      <c r="N3" s="5" cm="1">
        <f t="array" ref="N3">VLOOKUP(K3,$F$28:$G$37,2,FALSE)/Table1[Avg]</f>
        <v>51.363636363636367</v>
      </c>
      <c r="O3" s="48">
        <f t="shared" ref="O3:O12" si="2">M3/L3</f>
        <v>1.3844645920117618</v>
      </c>
      <c r="Q3" s="112" t="s">
        <v>13</v>
      </c>
      <c r="R3" s="122">
        <f t="shared" ref="R3:R22" si="3">VLOOKUP(Q3,$B$28:$D$47,3,FALSE)</f>
        <v>32.9</v>
      </c>
      <c r="S3" s="123">
        <f t="shared" ref="S3:S22" si="4">T3+VLOOKUP(Q3,$Y$3:$Z$22,2,FALSE)</f>
        <v>33.863636363636367</v>
      </c>
      <c r="T3" s="123" cm="1">
        <f t="array" ref="T3">VLOOKUP(Q3,$B$28:$C$47,2,FALSE)/Table1[Avg]</f>
        <v>33.863636363636367</v>
      </c>
      <c r="U3" s="380">
        <f t="shared" ref="U3:U22" si="5">S3/R3</f>
        <v>1.0292898590770934</v>
      </c>
      <c r="V3" s="380"/>
      <c r="W3" s="381"/>
      <c r="X3" s="57">
        <f t="shared" ref="X3:X22" si="6">VLOOKUP(Q3,$M$28:$N$47,2,FALSE)</f>
        <v>3.8512396694214881</v>
      </c>
      <c r="Y3" s="103" t="s">
        <v>13</v>
      </c>
      <c r="Z3" s="28">
        <f t="shared" ref="Z3:Z22" si="7">AA3+AB3</f>
        <v>0</v>
      </c>
      <c r="AA3" s="16"/>
      <c r="AB3" s="104"/>
      <c r="AD3" s="42" t="s">
        <v>14</v>
      </c>
      <c r="AE3" s="28">
        <f t="shared" ref="AE3:AE12" si="8">AF3+AG3</f>
        <v>0</v>
      </c>
      <c r="AF3" s="25"/>
      <c r="AG3" s="49"/>
      <c r="AI3" s="95" t="s">
        <v>14</v>
      </c>
      <c r="AJ3" s="101">
        <f>AVERAGE(AL3:AL4)</f>
        <v>6.2458677685950414</v>
      </c>
      <c r="AK3" s="99" t="s">
        <v>13</v>
      </c>
      <c r="AL3" s="56" cm="1">
        <f t="array" ref="AL3">_xlfn.XLOOKUP(AK3,$Q$3:$Q$22,_xlfn.XLOOKUP($AK$2,$R$2:$X$2,$R$3:$X$22))</f>
        <v>3.8512396694214881</v>
      </c>
      <c r="AN3" s="149"/>
      <c r="AO3" s="2"/>
    </row>
    <row r="4" spans="2:41" ht="17" thickBot="1" x14ac:dyDescent="0.25">
      <c r="B4">
        <v>1</v>
      </c>
      <c r="C4" s="132" t="s">
        <v>15</v>
      </c>
      <c r="D4" s="134" t="s">
        <v>89</v>
      </c>
      <c r="E4" s="4">
        <f>_xlfn.XLOOKUP(D4,$Q$3:$Q$22,$R$3:$R$22,0)</f>
        <v>14.8</v>
      </c>
      <c r="F4" s="5">
        <f>_xlfn.XLOOKUP(D4,$AK$3:$AK$22,$AL$3:$AL$22,0)</f>
        <v>6.9752066115702487</v>
      </c>
      <c r="G4" s="5">
        <f>_xlfn.XLOOKUP(D4,$Y$3:$Y$22,$Z$3:$Z$22,0)</f>
        <v>0</v>
      </c>
      <c r="H4" s="81">
        <f>_xlfn.XLOOKUP(D4,$M$28:$M$47,$J$28:$J$47,0)</f>
        <v>0</v>
      </c>
      <c r="I4" s="82">
        <f>(_xlfn.XLOOKUP(D4,$Q$3:$Q$22,$S$3:$S$22,0))*B4</f>
        <v>17.545454545454547</v>
      </c>
      <c r="J4" s="4"/>
      <c r="K4" s="40" t="s">
        <v>18</v>
      </c>
      <c r="L4" s="4">
        <f t="shared" si="0"/>
        <v>26.6</v>
      </c>
      <c r="M4" s="5">
        <f t="shared" si="1"/>
        <v>50.454545454545453</v>
      </c>
      <c r="N4" s="5" cm="1">
        <f t="array" ref="N4">VLOOKUP(K4,$F$28:$G$37,2,FALSE)/Table1[Avg]</f>
        <v>50.454545454545453</v>
      </c>
      <c r="O4" s="54">
        <f t="shared" si="2"/>
        <v>1.8967874231032125</v>
      </c>
      <c r="Q4" s="114" t="s">
        <v>17</v>
      </c>
      <c r="R4" s="116">
        <f t="shared" si="3"/>
        <v>23.3</v>
      </c>
      <c r="S4" s="124">
        <f t="shared" si="4"/>
        <v>21.681818181818183</v>
      </c>
      <c r="T4" s="124" cm="1">
        <f t="array" ref="T4">VLOOKUP(Q4,$B$28:$C$47,2,FALSE)/Table1[Avg]</f>
        <v>21.681818181818183</v>
      </c>
      <c r="U4" s="382">
        <f t="shared" si="5"/>
        <v>0.93055013655872032</v>
      </c>
      <c r="V4" s="382"/>
      <c r="W4" s="383"/>
      <c r="X4" s="57">
        <f t="shared" si="6"/>
        <v>8.6404958677685944</v>
      </c>
      <c r="Y4" s="105" t="s">
        <v>17</v>
      </c>
      <c r="Z4" s="29">
        <f t="shared" si="7"/>
        <v>0</v>
      </c>
      <c r="AA4" s="16"/>
      <c r="AD4" s="43" t="s">
        <v>18</v>
      </c>
      <c r="AE4" s="29">
        <f t="shared" si="8"/>
        <v>0</v>
      </c>
      <c r="AF4" s="25"/>
      <c r="AG4" s="49"/>
      <c r="AI4" s="97"/>
      <c r="AJ4" s="93"/>
      <c r="AK4" s="98" t="s">
        <v>17</v>
      </c>
      <c r="AL4" s="56" cm="1">
        <f t="array" ref="AL4">_xlfn.XLOOKUP(AK4,$Q$3:$Q$22,_xlfn.XLOOKUP($AK$2,$R$2:$X$2,$R$3:$X$22))</f>
        <v>8.6404958677685944</v>
      </c>
    </row>
    <row r="5" spans="2:41" ht="15.75" customHeight="1" thickBot="1" x14ac:dyDescent="0.25">
      <c r="B5">
        <v>1</v>
      </c>
      <c r="C5" s="132" t="s">
        <v>19</v>
      </c>
      <c r="D5" s="135" t="s">
        <v>86</v>
      </c>
      <c r="E5" s="4">
        <f>_xlfn.XLOOKUP(D5,$Q$3:$Q$22,$R$3:$R$22,0)</f>
        <v>13.9</v>
      </c>
      <c r="F5" s="5">
        <f>_xlfn.XLOOKUP(D5,$AK$3:$AK$22,$AL$3:$AL$22,0)</f>
        <v>7.8429752066115697</v>
      </c>
      <c r="G5" s="5">
        <f>_xlfn.XLOOKUP(D5,$Y$3:$Y$22,$Z$3:$Z$22,0)</f>
        <v>0</v>
      </c>
      <c r="H5" s="81">
        <f>_xlfn.XLOOKUP(D5,$M$28:$M$47,$J$28:$J$47,0)</f>
        <v>1</v>
      </c>
      <c r="I5" s="82">
        <f>(_xlfn.XLOOKUP(D5,$Q$3:$Q$22,$S$3:$S$22,0))*B5</f>
        <v>21.272727272727273</v>
      </c>
      <c r="J5" s="4"/>
      <c r="K5" s="40" t="s">
        <v>20</v>
      </c>
      <c r="L5" s="4">
        <f t="shared" si="0"/>
        <v>18.5</v>
      </c>
      <c r="M5" s="5">
        <f t="shared" si="1"/>
        <v>30</v>
      </c>
      <c r="N5" s="5" cm="1">
        <f t="array" ref="N5">VLOOKUP(K5,$F$28:$G$37,2,FALSE)/Table1[Avg]</f>
        <v>30</v>
      </c>
      <c r="O5" s="54">
        <f t="shared" si="2"/>
        <v>1.6216216216216217</v>
      </c>
      <c r="Q5" s="118" t="s">
        <v>16</v>
      </c>
      <c r="R5" s="125">
        <f t="shared" si="3"/>
        <v>25.7</v>
      </c>
      <c r="S5" s="123">
        <f t="shared" si="4"/>
        <v>34.545454545454547</v>
      </c>
      <c r="T5" s="123" cm="1">
        <f t="array" ref="T5">VLOOKUP(Q5,$B$28:$C$47,2,FALSE)/Table1[Avg]</f>
        <v>34.545454545454547</v>
      </c>
      <c r="U5" s="380">
        <f t="shared" si="5"/>
        <v>1.3441811107180759</v>
      </c>
      <c r="V5" s="380"/>
      <c r="W5" s="381"/>
      <c r="X5" s="57">
        <f t="shared" si="6"/>
        <v>4.7396694214876032</v>
      </c>
      <c r="Y5" s="106" t="s">
        <v>16</v>
      </c>
      <c r="Z5" s="29">
        <f t="shared" si="7"/>
        <v>0</v>
      </c>
      <c r="AA5" s="16"/>
      <c r="AD5" s="43" t="s">
        <v>20</v>
      </c>
      <c r="AE5" s="29">
        <f t="shared" si="8"/>
        <v>0</v>
      </c>
      <c r="AF5" s="25"/>
      <c r="AG5" s="49"/>
      <c r="AI5" s="95" t="s">
        <v>18</v>
      </c>
      <c r="AJ5" s="101">
        <f>AVERAGE(AL5:AL6)</f>
        <v>6.7128099173553721</v>
      </c>
      <c r="AK5" s="99" t="s">
        <v>16</v>
      </c>
      <c r="AL5" s="56" cm="1">
        <f t="array" ref="AL5">_xlfn.XLOOKUP(AK5,$Q$3:$Q$22,_xlfn.XLOOKUP($AK$2,$R$2:$X$2,$R$3:$X$22))</f>
        <v>4.7396694214876032</v>
      </c>
    </row>
    <row r="6" spans="2:41" ht="17" thickBot="1" x14ac:dyDescent="0.25">
      <c r="B6">
        <v>1</v>
      </c>
      <c r="C6" s="132" t="s">
        <v>21</v>
      </c>
      <c r="D6" s="134"/>
      <c r="E6" s="4">
        <f>_xlfn.XLOOKUP(D6,$Q$3:$Q$22,$R$3:$R$22,0)</f>
        <v>0</v>
      </c>
      <c r="F6" s="5">
        <f>_xlfn.XLOOKUP(D6,$AK$3:$AK$22,$AL$3:$AL$22,0)</f>
        <v>0</v>
      </c>
      <c r="G6" s="5">
        <f>_xlfn.XLOOKUP(D6,$Y$3:$Y$22,$Z$3:$Z$22,0)</f>
        <v>0</v>
      </c>
      <c r="H6" s="81">
        <f>_xlfn.XLOOKUP(D6,$M$28:$M$47,$J$28:$J$47,0)</f>
        <v>0</v>
      </c>
      <c r="I6" s="82">
        <f>(_xlfn.XLOOKUP(D6,$Q$3:$Q$22,$S$3:$S$22,0))*B6</f>
        <v>0</v>
      </c>
      <c r="J6" s="4"/>
      <c r="K6" s="40" t="s">
        <v>23</v>
      </c>
      <c r="L6" s="4">
        <f t="shared" si="0"/>
        <v>19.100000000000001</v>
      </c>
      <c r="M6" s="5">
        <f t="shared" si="1"/>
        <v>42.909090909090907</v>
      </c>
      <c r="N6" s="5" cm="1">
        <f t="array" ref="N6">VLOOKUP(K6,$F$28:$G$37,2,FALSE)/Table1[Avg]</f>
        <v>32.909090909090907</v>
      </c>
      <c r="O6" s="54">
        <f t="shared" si="2"/>
        <v>2.2465492622560683</v>
      </c>
      <c r="Q6" s="117" t="s">
        <v>22</v>
      </c>
      <c r="R6" s="126">
        <f t="shared" si="3"/>
        <v>18.5</v>
      </c>
      <c r="S6" s="124">
        <f t="shared" si="4"/>
        <v>21.045454545454547</v>
      </c>
      <c r="T6" s="124" cm="1">
        <f t="array" ref="T6">VLOOKUP(Q6,$B$28:$C$47,2,FALSE)/Table1[Avg]</f>
        <v>21.045454545454547</v>
      </c>
      <c r="U6" s="382">
        <f t="shared" si="5"/>
        <v>1.1375921375921376</v>
      </c>
      <c r="V6" s="382"/>
      <c r="W6" s="383"/>
      <c r="X6" s="57">
        <f t="shared" si="6"/>
        <v>8.6859504132231411</v>
      </c>
      <c r="Y6" s="105" t="s">
        <v>22</v>
      </c>
      <c r="Z6" s="29">
        <f t="shared" si="7"/>
        <v>0</v>
      </c>
      <c r="AA6" s="16"/>
      <c r="AD6" s="43" t="s">
        <v>23</v>
      </c>
      <c r="AE6" s="29">
        <f t="shared" si="8"/>
        <v>10</v>
      </c>
      <c r="AF6" s="25"/>
      <c r="AG6" s="49">
        <v>10</v>
      </c>
      <c r="AI6" s="97"/>
      <c r="AJ6" s="93"/>
      <c r="AK6" s="98" t="s">
        <v>22</v>
      </c>
      <c r="AL6" s="56" cm="1">
        <f t="array" ref="AL6">_xlfn.XLOOKUP(AK6,$Q$3:$Q$22,_xlfn.XLOOKUP($AK$2,$R$2:$X$2,$R$3:$X$22))</f>
        <v>8.6859504132231411</v>
      </c>
    </row>
    <row r="7" spans="2:41" ht="17" thickBot="1" x14ac:dyDescent="0.25">
      <c r="B7">
        <v>2</v>
      </c>
      <c r="C7" s="132" t="s">
        <v>24</v>
      </c>
      <c r="D7" s="135" t="s">
        <v>103</v>
      </c>
      <c r="E7" s="4">
        <f>_xlfn.XLOOKUP(D7,$Q$3:$Q$22,$R$3:$R$22,0)</f>
        <v>11.9</v>
      </c>
      <c r="F7" s="5">
        <f>_xlfn.XLOOKUP(D7,$AK$3:$AK$22,$AL$3:$AL$22,0)</f>
        <v>10.475206611570249</v>
      </c>
      <c r="G7" s="5">
        <f>_xlfn.XLOOKUP(D7,$Y$3:$Y$22,$Z$3:$Z$22,0)</f>
        <v>0</v>
      </c>
      <c r="H7" s="81">
        <f>_xlfn.XLOOKUP(D7,$M$28:$M$47,$J$28:$J$47,0)</f>
        <v>1</v>
      </c>
      <c r="I7" s="82">
        <f>(_xlfn.XLOOKUP(D7,$Q$3:$Q$22,$S$3:$S$22,0))*B7</f>
        <v>26.181818181818183</v>
      </c>
      <c r="J7" s="4"/>
      <c r="K7" s="40" t="s">
        <v>26</v>
      </c>
      <c r="L7" s="4">
        <f t="shared" si="0"/>
        <v>16.399999999999999</v>
      </c>
      <c r="M7" s="5">
        <f t="shared" si="1"/>
        <v>14</v>
      </c>
      <c r="N7" s="5" cm="1">
        <f t="array" ref="N7">VLOOKUP(K7,$F$28:$G$37,2,FALSE)/Table1[Avg]</f>
        <v>14</v>
      </c>
      <c r="O7" s="54">
        <f t="shared" si="2"/>
        <v>0.85365853658536595</v>
      </c>
      <c r="Q7" s="46" t="s">
        <v>27</v>
      </c>
      <c r="R7" s="125">
        <f t="shared" si="3"/>
        <v>13.9</v>
      </c>
      <c r="S7" s="123">
        <f t="shared" si="4"/>
        <v>21.272727272727273</v>
      </c>
      <c r="T7" s="123" cm="1">
        <f t="array" ref="T7">VLOOKUP(Q7,$B$28:$C$47,2,FALSE)/Table1[Avg]</f>
        <v>21.272727272727273</v>
      </c>
      <c r="U7" s="380">
        <f t="shared" si="5"/>
        <v>1.5304120340091563</v>
      </c>
      <c r="V7" s="380"/>
      <c r="W7" s="381"/>
      <c r="X7" s="57">
        <f t="shared" si="6"/>
        <v>7.8429752066115697</v>
      </c>
      <c r="Y7" s="106" t="s">
        <v>27</v>
      </c>
      <c r="Z7" s="29">
        <f t="shared" si="7"/>
        <v>0</v>
      </c>
      <c r="AA7" s="16"/>
      <c r="AD7" s="43" t="s">
        <v>26</v>
      </c>
      <c r="AE7" s="29">
        <f t="shared" si="8"/>
        <v>0</v>
      </c>
      <c r="AF7" s="25"/>
      <c r="AG7" s="49"/>
      <c r="AI7" s="95" t="s">
        <v>20</v>
      </c>
      <c r="AJ7" s="101">
        <f>AVERAGE(AL7:AL8)</f>
        <v>8.5826446280991746</v>
      </c>
      <c r="AK7" s="99" t="s">
        <v>27</v>
      </c>
      <c r="AL7" s="56" cm="1">
        <f t="array" ref="AL7">_xlfn.XLOOKUP(AK7,$Q$3:$Q$22,_xlfn.XLOOKUP($AK$2,$R$2:$X$2,$R$3:$X$22))</f>
        <v>7.8429752066115697</v>
      </c>
    </row>
    <row r="8" spans="2:41" ht="17" thickBot="1" x14ac:dyDescent="0.25">
      <c r="C8" s="132" t="s">
        <v>7</v>
      </c>
      <c r="D8" s="134" t="s">
        <v>102</v>
      </c>
      <c r="E8" s="4">
        <f>_xlfn.XLOOKUP(D8,$K$3:$K$12,$L$3:$L$12,0)</f>
        <v>18.5</v>
      </c>
      <c r="F8" s="5">
        <f>_xlfn.XLOOKUP(D8,$AI$3:$AI$22,$AJ$3:$AJ$22,0)</f>
        <v>8.5826446280991746</v>
      </c>
      <c r="G8" s="5">
        <f>_xlfn.XLOOKUP(D8,$AD$3:$AD$12,$AE$3:$AE$12,0)</f>
        <v>0</v>
      </c>
      <c r="H8" s="81"/>
      <c r="I8" s="82">
        <f>_xlfn.XLOOKUP(D8,$K$3:$K$12,$M$3:$M$12,0)</f>
        <v>30</v>
      </c>
      <c r="J8" s="4"/>
      <c r="K8" s="40" t="s">
        <v>28</v>
      </c>
      <c r="L8" s="4">
        <f t="shared" si="0"/>
        <v>15.1</v>
      </c>
      <c r="M8" s="5">
        <f t="shared" si="1"/>
        <v>34.272727272727273</v>
      </c>
      <c r="N8" s="5" cm="1">
        <f t="array" ref="N8">VLOOKUP(K8,$F$28:$G$37,2,FALSE)/Table1[Avg]</f>
        <v>19.272727272727273</v>
      </c>
      <c r="O8" s="54">
        <f t="shared" si="2"/>
        <v>2.2697170379289586</v>
      </c>
      <c r="Q8" s="117" t="s">
        <v>25</v>
      </c>
      <c r="R8" s="126">
        <f t="shared" si="3"/>
        <v>15.7</v>
      </c>
      <c r="S8" s="124">
        <f t="shared" si="4"/>
        <v>13.909090909090908</v>
      </c>
      <c r="T8" s="124" cm="1">
        <f t="array" ref="T8">VLOOKUP(Q8,$B$28:$C$47,2,FALSE)/Table1[Avg]</f>
        <v>13.909090909090908</v>
      </c>
      <c r="U8" s="382">
        <f t="shared" si="5"/>
        <v>0.88592935726693689</v>
      </c>
      <c r="V8" s="382"/>
      <c r="W8" s="383"/>
      <c r="X8" s="57">
        <f t="shared" si="6"/>
        <v>9.3223140495867778</v>
      </c>
      <c r="Y8" s="105" t="s">
        <v>25</v>
      </c>
      <c r="Z8" s="29">
        <f t="shared" si="7"/>
        <v>0</v>
      </c>
      <c r="AA8" s="16"/>
      <c r="AD8" s="43" t="s">
        <v>28</v>
      </c>
      <c r="AE8" s="29">
        <f t="shared" si="8"/>
        <v>15</v>
      </c>
      <c r="AF8" s="25">
        <v>5</v>
      </c>
      <c r="AG8" s="49">
        <v>10</v>
      </c>
      <c r="AI8" s="97"/>
      <c r="AJ8" s="93"/>
      <c r="AK8" s="98" t="s">
        <v>25</v>
      </c>
      <c r="AL8" s="56" cm="1">
        <f t="array" ref="AL8">_xlfn.XLOOKUP(AK8,$Q$3:$Q$22,_xlfn.XLOOKUP($AK$2,$R$2:$X$2,$R$3:$X$22))</f>
        <v>9.3223140495867778</v>
      </c>
    </row>
    <row r="9" spans="2:41" ht="17" thickBot="1" x14ac:dyDescent="0.25">
      <c r="C9" s="85" t="s">
        <v>29</v>
      </c>
      <c r="D9" s="86"/>
      <c r="E9" s="87">
        <f>+SUM(E3:E8)</f>
        <v>76.7</v>
      </c>
      <c r="F9" s="88">
        <f>AVERAGE(F3:F8)</f>
        <v>7.0385674931129474</v>
      </c>
      <c r="G9" s="88">
        <f>SUM(G3:G8)</f>
        <v>0</v>
      </c>
      <c r="H9" s="89">
        <f>SUM(H3:H8)</f>
        <v>3</v>
      </c>
      <c r="I9" s="90">
        <f>SUM(I3:I8)</f>
        <v>113.72727272727273</v>
      </c>
      <c r="J9" s="4"/>
      <c r="K9" s="40" t="s">
        <v>31</v>
      </c>
      <c r="L9" s="4">
        <f t="shared" si="0"/>
        <v>12.6</v>
      </c>
      <c r="M9" s="5">
        <f t="shared" si="1"/>
        <v>15.136363636363637</v>
      </c>
      <c r="N9" s="5" cm="1">
        <f t="array" ref="N9">VLOOKUP(K9,$F$28:$G$37,2,FALSE)/Table1[Avg]</f>
        <v>15.136363636363637</v>
      </c>
      <c r="O9" s="54">
        <f t="shared" si="2"/>
        <v>1.2012987012987013</v>
      </c>
      <c r="Q9" s="46" t="s">
        <v>32</v>
      </c>
      <c r="R9" s="125">
        <f t="shared" si="3"/>
        <v>14.8</v>
      </c>
      <c r="S9" s="123">
        <f t="shared" si="4"/>
        <v>17.545454545454547</v>
      </c>
      <c r="T9" s="123" cm="1">
        <f t="array" ref="T9">VLOOKUP(Q9,$B$28:$C$47,2,FALSE)/Table1[Avg]</f>
        <v>17.545454545454547</v>
      </c>
      <c r="U9" s="380">
        <f t="shared" si="5"/>
        <v>1.1855036855036856</v>
      </c>
      <c r="V9" s="380"/>
      <c r="W9" s="381"/>
      <c r="X9" s="57">
        <f t="shared" si="6"/>
        <v>6.9752066115702487</v>
      </c>
      <c r="Y9" s="106" t="s">
        <v>32</v>
      </c>
      <c r="Z9" s="29">
        <f t="shared" si="7"/>
        <v>0</v>
      </c>
      <c r="AA9" s="16"/>
      <c r="AD9" s="43" t="s">
        <v>31</v>
      </c>
      <c r="AE9" s="29">
        <f t="shared" si="8"/>
        <v>0</v>
      </c>
      <c r="AF9" s="25"/>
      <c r="AG9" s="49"/>
      <c r="AI9" s="95" t="s">
        <v>23</v>
      </c>
      <c r="AJ9" s="101">
        <f>AVERAGE(AL9:AL10)</f>
        <v>7.6652892561983474</v>
      </c>
      <c r="AK9" s="99" t="s">
        <v>32</v>
      </c>
      <c r="AL9" s="56" cm="1">
        <f t="array" ref="AL9">_xlfn.XLOOKUP(AK9,$Q$3:$Q$22,_xlfn.XLOOKUP($AK$2,$R$2:$X$2,$R$3:$X$22))</f>
        <v>6.9752066115702487</v>
      </c>
    </row>
    <row r="10" spans="2:41" ht="17" thickBot="1" x14ac:dyDescent="0.25">
      <c r="C10" s="4"/>
      <c r="D10" s="4"/>
      <c r="E10" s="7"/>
      <c r="F10" s="5"/>
      <c r="G10" s="5"/>
      <c r="H10" s="81"/>
      <c r="I10" s="4"/>
      <c r="J10" s="4"/>
      <c r="K10" s="40" t="s">
        <v>33</v>
      </c>
      <c r="L10" s="4">
        <f t="shared" si="0"/>
        <v>9.1</v>
      </c>
      <c r="M10" s="5">
        <f t="shared" si="1"/>
        <v>11.545454545454545</v>
      </c>
      <c r="N10" s="5" cm="1">
        <f t="array" ref="N10">VLOOKUP(K10,$F$28:$G$37,2,FALSE)/Table1[Avg]</f>
        <v>11.545454545454545</v>
      </c>
      <c r="O10" s="54">
        <f t="shared" si="2"/>
        <v>1.2687312687312686</v>
      </c>
      <c r="Q10" s="117" t="s">
        <v>76</v>
      </c>
      <c r="R10" s="126">
        <f t="shared" si="3"/>
        <v>17.600000000000001</v>
      </c>
      <c r="S10" s="124">
        <f t="shared" si="4"/>
        <v>18.727272727272727</v>
      </c>
      <c r="T10" s="124" cm="1">
        <f t="array" ref="T10">VLOOKUP(Q10,$B$28:$C$47,2,FALSE)/Table1[Avg]</f>
        <v>18.727272727272727</v>
      </c>
      <c r="U10" s="382">
        <f t="shared" si="5"/>
        <v>1.0640495867768593</v>
      </c>
      <c r="V10" s="382"/>
      <c r="W10" s="383"/>
      <c r="X10" s="57">
        <f t="shared" si="6"/>
        <v>8.3553719008264462</v>
      </c>
      <c r="Y10" s="105" t="s">
        <v>30</v>
      </c>
      <c r="Z10" s="29">
        <f t="shared" si="7"/>
        <v>0</v>
      </c>
      <c r="AA10" s="16"/>
      <c r="AD10" s="43" t="s">
        <v>33</v>
      </c>
      <c r="AE10" s="29">
        <f t="shared" si="8"/>
        <v>0</v>
      </c>
      <c r="AF10" s="25"/>
      <c r="AG10" s="49"/>
      <c r="AI10" s="97"/>
      <c r="AJ10" s="93"/>
      <c r="AK10" s="98" t="s">
        <v>30</v>
      </c>
      <c r="AL10" s="56" cm="1">
        <f t="array" ref="AL10">_xlfn.XLOOKUP(AK10,$Q$3:$Q$22,_xlfn.XLOOKUP($AK$2,$R$2:$X$2,$R$3:$X$22))</f>
        <v>8.3553719008264462</v>
      </c>
    </row>
    <row r="11" spans="2:41" ht="15.75" customHeight="1" thickBot="1" x14ac:dyDescent="0.25">
      <c r="C11" s="3" t="s">
        <v>34</v>
      </c>
      <c r="D11">
        <v>107.8</v>
      </c>
      <c r="E11" s="3" t="s">
        <v>35</v>
      </c>
      <c r="F11" s="5">
        <f>E9</f>
        <v>76.7</v>
      </c>
      <c r="G11" s="5"/>
      <c r="H11" s="94" t="s">
        <v>36</v>
      </c>
      <c r="I11" s="5">
        <f>D11-F11</f>
        <v>31.099999999999994</v>
      </c>
      <c r="J11" s="4"/>
      <c r="K11" s="40" t="s">
        <v>38</v>
      </c>
      <c r="L11" s="4">
        <f t="shared" si="0"/>
        <v>6.3</v>
      </c>
      <c r="M11" s="5">
        <f t="shared" si="1"/>
        <v>8.5</v>
      </c>
      <c r="N11" s="5" cm="1">
        <f t="array" ref="N11">VLOOKUP(K11,$F$28:$G$37,2,FALSE)/Table1[Avg]</f>
        <v>8.5</v>
      </c>
      <c r="O11" s="54">
        <f t="shared" si="2"/>
        <v>1.3492063492063493</v>
      </c>
      <c r="Q11" s="46" t="s">
        <v>42</v>
      </c>
      <c r="R11" s="125">
        <f t="shared" si="3"/>
        <v>10.3</v>
      </c>
      <c r="S11" s="123">
        <f t="shared" si="4"/>
        <v>8.954545454545455</v>
      </c>
      <c r="T11" s="123" cm="1">
        <f t="array" ref="T11">VLOOKUP(Q11,$B$28:$C$47,2,FALSE)/Table1[Avg]</f>
        <v>8.954545454545455</v>
      </c>
      <c r="U11" s="380">
        <f t="shared" si="5"/>
        <v>0.86937334510150044</v>
      </c>
      <c r="V11" s="380"/>
      <c r="W11" s="381"/>
      <c r="X11" s="57">
        <f t="shared" si="6"/>
        <v>11.409090909090908</v>
      </c>
      <c r="Y11" s="106" t="s">
        <v>42</v>
      </c>
      <c r="Z11" s="29">
        <f t="shared" si="7"/>
        <v>0</v>
      </c>
      <c r="AA11" s="16"/>
      <c r="AD11" s="43" t="s">
        <v>38</v>
      </c>
      <c r="AE11" s="29">
        <f t="shared" si="8"/>
        <v>0</v>
      </c>
      <c r="AF11" s="25"/>
      <c r="AG11" s="49"/>
      <c r="AI11" s="95" t="s">
        <v>28</v>
      </c>
      <c r="AJ11" s="101">
        <f>AVERAGE(AL11:AL12)</f>
        <v>11.136363636363637</v>
      </c>
      <c r="AK11" s="99" t="s">
        <v>42</v>
      </c>
      <c r="AL11" s="56" cm="1">
        <f t="array" ref="AL11">_xlfn.XLOOKUP(AK11,$Q$3:$Q$22,_xlfn.XLOOKUP($AK$2,$R$2:$X$2,$R$3:$X$22))</f>
        <v>11.409090909090908</v>
      </c>
    </row>
    <row r="12" spans="2:41" ht="17" thickBot="1" x14ac:dyDescent="0.25">
      <c r="C12" s="4"/>
      <c r="D12" s="4"/>
      <c r="E12" s="4"/>
      <c r="F12" s="5"/>
      <c r="G12" s="5"/>
      <c r="H12" s="81"/>
      <c r="I12" s="4"/>
      <c r="J12" s="4"/>
      <c r="K12" s="41" t="s">
        <v>40</v>
      </c>
      <c r="L12" s="36">
        <f t="shared" si="0"/>
        <v>6.1</v>
      </c>
      <c r="M12" s="130">
        <f t="shared" si="1"/>
        <v>7.0454545454545459</v>
      </c>
      <c r="N12" s="130" cm="1">
        <f t="array" ref="N12">VLOOKUP(K12,$F$28:$G$37,2,FALSE)/Table1[Avg]</f>
        <v>7.0454545454545459</v>
      </c>
      <c r="O12" s="55">
        <f t="shared" si="2"/>
        <v>1.1549925484351715</v>
      </c>
      <c r="Q12" s="117" t="s">
        <v>41</v>
      </c>
      <c r="R12" s="126">
        <f t="shared" si="3"/>
        <v>15</v>
      </c>
      <c r="S12" s="124">
        <f t="shared" si="4"/>
        <v>12.409090909090908</v>
      </c>
      <c r="T12" s="124" cm="1">
        <f t="array" ref="T12">VLOOKUP(Q12,$B$28:$C$47,2,FALSE)/Table1[Avg]</f>
        <v>12.409090909090908</v>
      </c>
      <c r="U12" s="382">
        <f t="shared" si="5"/>
        <v>0.82727272727272727</v>
      </c>
      <c r="V12" s="382"/>
      <c r="W12" s="383"/>
      <c r="X12" s="57">
        <f t="shared" si="6"/>
        <v>10.863636363636363</v>
      </c>
      <c r="Y12" s="105" t="s">
        <v>41</v>
      </c>
      <c r="Z12" s="29">
        <f t="shared" si="7"/>
        <v>0</v>
      </c>
      <c r="AA12" s="16"/>
      <c r="AD12" s="44" t="s">
        <v>40</v>
      </c>
      <c r="AE12" s="45">
        <f t="shared" si="8"/>
        <v>0</v>
      </c>
      <c r="AF12" s="50"/>
      <c r="AG12" s="51"/>
      <c r="AI12" s="97"/>
      <c r="AJ12" s="93"/>
      <c r="AK12" s="98" t="s">
        <v>41</v>
      </c>
      <c r="AL12" s="56" cm="1">
        <f t="array" ref="AL12">_xlfn.XLOOKUP(AK12,$Q$3:$Q$22,_xlfn.XLOOKUP($AK$2,$R$2:$X$2,$R$3:$X$22))</f>
        <v>10.863636363636363</v>
      </c>
    </row>
    <row r="13" spans="2:41" ht="17" thickBot="1" x14ac:dyDescent="0.25">
      <c r="B13" s="4" t="s">
        <v>0</v>
      </c>
      <c r="C13" s="374" t="s">
        <v>78</v>
      </c>
      <c r="D13" s="375"/>
      <c r="E13" s="83" t="s">
        <v>1</v>
      </c>
      <c r="F13" s="83" t="s">
        <v>74</v>
      </c>
      <c r="G13" s="83"/>
      <c r="H13" s="83" t="s">
        <v>80</v>
      </c>
      <c r="I13" s="84" t="s">
        <v>79</v>
      </c>
      <c r="Q13" s="46" t="s">
        <v>39</v>
      </c>
      <c r="R13" s="125">
        <f t="shared" si="3"/>
        <v>13.2</v>
      </c>
      <c r="S13" s="123">
        <f t="shared" si="4"/>
        <v>6.9545454545454541</v>
      </c>
      <c r="T13" s="123" cm="1">
        <f t="array" ref="T13">VLOOKUP(Q13,$B$28:$C$47,2,FALSE)/Table1[Avg]</f>
        <v>6.9545454545454541</v>
      </c>
      <c r="U13" s="380">
        <f t="shared" si="5"/>
        <v>0.52685950413223137</v>
      </c>
      <c r="V13" s="380"/>
      <c r="W13" s="381"/>
      <c r="X13" s="57">
        <f t="shared" si="6"/>
        <v>13.061983471074381</v>
      </c>
      <c r="Y13" s="106" t="s">
        <v>39</v>
      </c>
      <c r="Z13" s="29">
        <f t="shared" si="7"/>
        <v>0</v>
      </c>
      <c r="AA13" s="16"/>
      <c r="AI13" s="95" t="s">
        <v>31</v>
      </c>
      <c r="AJ13" s="101">
        <f>AVERAGE(AL13:AL14)</f>
        <v>12.367768595041323</v>
      </c>
      <c r="AK13" s="99" t="s">
        <v>43</v>
      </c>
      <c r="AL13" s="56" cm="1">
        <f t="array" ref="AL13">_xlfn.XLOOKUP(AK13,$Q$3:$Q$22,_xlfn.XLOOKUP($AK$2,$R$2:$X$2,$R$3:$X$22))</f>
        <v>10.475206611570249</v>
      </c>
    </row>
    <row r="14" spans="2:41" ht="17" thickBot="1" x14ac:dyDescent="0.25">
      <c r="B14">
        <v>1</v>
      </c>
      <c r="C14" s="131" t="s">
        <v>81</v>
      </c>
      <c r="D14" s="133" t="s">
        <v>83</v>
      </c>
      <c r="E14" s="4">
        <f>_xlfn.XLOOKUP(D14,$Q$3:$Q$22,$R$3:$R$22,0)</f>
        <v>23.3</v>
      </c>
      <c r="F14" s="5">
        <f>_xlfn.XLOOKUP(D14,$AK$3:$AK$22,$AL$3:$AL$22,0)</f>
        <v>8.6404958677685944</v>
      </c>
      <c r="G14" s="5">
        <f>_xlfn.XLOOKUP(D14,$Y$3:$Y$22,$Z$3:$Z$22,0)</f>
        <v>0</v>
      </c>
      <c r="H14" s="81">
        <f t="shared" ref="H14:H19" si="9">_xlfn.XLOOKUP(D14,$M$28:$M$47,$J$28:$J$47,0)</f>
        <v>0</v>
      </c>
      <c r="I14" s="82">
        <f>(_xlfn.XLOOKUP(D14,$Q$3:$Q$22,$S$3:$S$22,0))*B14</f>
        <v>21.681818181818183</v>
      </c>
      <c r="J14" s="171" t="s">
        <v>5</v>
      </c>
      <c r="K14" s="172" t="s">
        <v>3</v>
      </c>
      <c r="M14" s="1"/>
      <c r="N14" s="174" t="s">
        <v>7</v>
      </c>
      <c r="O14" s="110"/>
      <c r="P14" s="173" t="s">
        <v>75</v>
      </c>
      <c r="Q14" s="117" t="s">
        <v>37</v>
      </c>
      <c r="R14" s="126">
        <f t="shared" si="3"/>
        <v>15.1</v>
      </c>
      <c r="S14" s="124">
        <f t="shared" si="4"/>
        <v>7.7272727272727275</v>
      </c>
      <c r="T14" s="124" cm="1">
        <f t="array" ref="T14">VLOOKUP(Q14,$B$28:$C$47,2,FALSE)/Table1[Avg]</f>
        <v>7.7272727272727275</v>
      </c>
      <c r="U14" s="382">
        <f t="shared" si="5"/>
        <v>0.5117399157134257</v>
      </c>
      <c r="V14" s="382"/>
      <c r="W14" s="383"/>
      <c r="X14" s="57">
        <f t="shared" si="6"/>
        <v>12.673553719008265</v>
      </c>
      <c r="Y14" s="105" t="s">
        <v>37</v>
      </c>
      <c r="Z14" s="29">
        <f t="shared" si="7"/>
        <v>0</v>
      </c>
      <c r="AA14" s="16"/>
      <c r="AI14" s="97"/>
      <c r="AJ14" s="93"/>
      <c r="AK14" s="98" t="s">
        <v>44</v>
      </c>
      <c r="AL14" s="56" cm="1">
        <f t="array" ref="AL14">_xlfn.XLOOKUP(AK14,$Q$3:$Q$22,_xlfn.XLOOKUP($AK$2,$R$2:$X$2,$R$3:$X$22))</f>
        <v>14.260330578512397</v>
      </c>
    </row>
    <row r="15" spans="2:41" ht="15.75" customHeight="1" thickBot="1" x14ac:dyDescent="0.25">
      <c r="B15">
        <v>1</v>
      </c>
      <c r="C15" s="131" t="s">
        <v>15</v>
      </c>
      <c r="D15" s="134" t="s">
        <v>89</v>
      </c>
      <c r="E15" s="4">
        <f>_xlfn.XLOOKUP(D15,$Q$3:$Q$22,$R$3:$R$22,0)</f>
        <v>14.8</v>
      </c>
      <c r="F15" s="5">
        <f>_xlfn.XLOOKUP(D15,$AK$3:$AK$22,$AL$3:$AL$22,0)</f>
        <v>6.9752066115702487</v>
      </c>
      <c r="G15" s="5">
        <f>_xlfn.XLOOKUP(D15,$Y$3:$Y$22,$Z$3:$Z$22,0)</f>
        <v>0</v>
      </c>
      <c r="H15" s="81">
        <f t="shared" si="9"/>
        <v>0</v>
      </c>
      <c r="I15" s="82">
        <f>(_xlfn.XLOOKUP(D15,$Q$3:$Q$22,$S$3:$S$22,0))*B15</f>
        <v>17.545454545454547</v>
      </c>
      <c r="K15" t="str">
        <f>$B$50</f>
        <v>Norris</v>
      </c>
      <c r="L15" s="6" cm="1">
        <f t="array" ref="L15">_xlfn.XLOOKUP(K15,$Q$3:$Q$22,_xlfn.XLOOKUP($J$14,$R$2:$X$2,$R$3:$X$22))</f>
        <v>1.5304120340091563</v>
      </c>
      <c r="M15" s="4"/>
      <c r="N15" s="5" t="str">
        <f>E50</f>
        <v>Ferrari</v>
      </c>
      <c r="O15" s="6" cm="1">
        <f t="array" ref="O15">_xlfn.XLOOKUP(N15,$K$3:$K$12,_xlfn.XLOOKUP($P$14,$K$2:$O$2,$K$3:$O$12))</f>
        <v>19.100000000000001</v>
      </c>
      <c r="Q15" s="46" t="s">
        <v>46</v>
      </c>
      <c r="R15" s="125">
        <f t="shared" si="3"/>
        <v>7.9</v>
      </c>
      <c r="S15" s="123">
        <f t="shared" si="4"/>
        <v>6.5909090909090908</v>
      </c>
      <c r="T15" s="123" cm="1">
        <f t="array" ref="T15">VLOOKUP(Q15,$B$28:$C$47,2,FALSE)/Table1[Avg]</f>
        <v>6.5909090909090908</v>
      </c>
      <c r="U15" s="380">
        <f t="shared" si="5"/>
        <v>0.83429228998849247</v>
      </c>
      <c r="V15" s="380"/>
      <c r="W15" s="381"/>
      <c r="X15" s="57">
        <f t="shared" si="6"/>
        <v>14.33884297520661</v>
      </c>
      <c r="Y15" s="106" t="s">
        <v>46</v>
      </c>
      <c r="Z15" s="29">
        <f t="shared" si="7"/>
        <v>0</v>
      </c>
      <c r="AA15" s="16"/>
      <c r="AI15" s="95" t="s">
        <v>26</v>
      </c>
      <c r="AJ15" s="101">
        <f>AVERAGE(AL15:AL16)</f>
        <v>12.867768595041323</v>
      </c>
      <c r="AK15" s="99" t="s">
        <v>39</v>
      </c>
      <c r="AL15" s="56" cm="1">
        <f t="array" ref="AL15">_xlfn.XLOOKUP(AK15,$Q$3:$Q$22,_xlfn.XLOOKUP($AK$2,$R$2:$X$2,$R$3:$X$22))</f>
        <v>13.061983471074381</v>
      </c>
    </row>
    <row r="16" spans="2:41" ht="17" thickBot="1" x14ac:dyDescent="0.25">
      <c r="B16">
        <v>1</v>
      </c>
      <c r="C16" s="131" t="s">
        <v>19</v>
      </c>
      <c r="D16" s="135" t="str">
        <f>$B$52</f>
        <v>Russell</v>
      </c>
      <c r="E16" s="4">
        <f>_xlfn.XLOOKUP(D16,$Q$3:$Q$22,$R$3:$R$22,0)</f>
        <v>6.3</v>
      </c>
      <c r="F16" s="5">
        <f>_xlfn.XLOOKUP(D16,$AK$3:$AK$22,$AL$3:$AL$22,0)</f>
        <v>15.429752066115702</v>
      </c>
      <c r="G16" s="5">
        <f>_xlfn.XLOOKUP(D16,$Y$3:$Y$22,$Z$3:$Z$22,0)</f>
        <v>0</v>
      </c>
      <c r="H16" s="81">
        <f t="shared" si="9"/>
        <v>1</v>
      </c>
      <c r="I16" s="82">
        <f>(_xlfn.XLOOKUP(D16,$Q$3:$Q$22,$S$3:$S$22,0))*B16</f>
        <v>7.7727272727272725</v>
      </c>
      <c r="K16" t="str">
        <f>$B$51</f>
        <v>Verstappen</v>
      </c>
      <c r="L16" s="6" cm="1">
        <f t="array" ref="L16">_xlfn.XLOOKUP(K16,$Q$3:$Q$22,_xlfn.XLOOKUP($J$14,$R$2:$X$2,$R$3:$X$22))</f>
        <v>1.3441811107180759</v>
      </c>
      <c r="M16" s="4"/>
      <c r="N16" s="5" t="str">
        <f>E51</f>
        <v>Alpine</v>
      </c>
      <c r="O16" s="6" cm="1">
        <f t="array" ref="O16">_xlfn.XLOOKUP(N16,$K$3:$K$12,_xlfn.XLOOKUP($P$14,$K$2:$O$2,$K$3:$O$12))</f>
        <v>15.1</v>
      </c>
      <c r="Q16" s="117" t="s">
        <v>45</v>
      </c>
      <c r="R16" s="126">
        <f t="shared" si="3"/>
        <v>9.1999999999999993</v>
      </c>
      <c r="S16" s="124">
        <f t="shared" si="4"/>
        <v>8.7727272727272734</v>
      </c>
      <c r="T16" s="124" cm="1">
        <f t="array" ref="T16">VLOOKUP(Q16,$B$28:$C$47,2,FALSE)/Table1[Avg]</f>
        <v>8.7727272727272734</v>
      </c>
      <c r="U16" s="382">
        <f t="shared" si="5"/>
        <v>0.95355731225296458</v>
      </c>
      <c r="V16" s="382"/>
      <c r="W16" s="383"/>
      <c r="X16" s="57">
        <f t="shared" si="6"/>
        <v>14.483471074380164</v>
      </c>
      <c r="Y16" s="105" t="s">
        <v>45</v>
      </c>
      <c r="Z16" s="29">
        <f t="shared" si="7"/>
        <v>0</v>
      </c>
      <c r="AA16" s="16"/>
      <c r="AI16" s="97"/>
      <c r="AJ16" s="93"/>
      <c r="AK16" s="98" t="s">
        <v>37</v>
      </c>
      <c r="AL16" s="56" cm="1">
        <f t="array" ref="AL16">_xlfn.XLOOKUP(AK16,$Q$3:$Q$22,_xlfn.XLOOKUP($AK$2,$R$2:$X$2,$R$3:$X$22))</f>
        <v>12.673553719008265</v>
      </c>
    </row>
    <row r="17" spans="1:38" ht="15.75" customHeight="1" thickBot="1" x14ac:dyDescent="0.25">
      <c r="B17">
        <v>1</v>
      </c>
      <c r="C17" s="131" t="s">
        <v>21</v>
      </c>
      <c r="D17" s="134" t="str">
        <f>$B$53</f>
        <v>Sainz</v>
      </c>
      <c r="E17" s="4">
        <f>_xlfn.XLOOKUP(D17,$Q$3:$Q$22,$R$3:$R$22,0)</f>
        <v>14.8</v>
      </c>
      <c r="F17" s="5">
        <f>_xlfn.XLOOKUP(D17,$AK$3:$AK$22,$AL$3:$AL$22,0)</f>
        <v>6.9752066115702487</v>
      </c>
      <c r="G17" s="5">
        <f>_xlfn.XLOOKUP(D17,$Y$3:$Y$22,$Z$3:$Z$22,0)</f>
        <v>0</v>
      </c>
      <c r="H17" s="81">
        <f t="shared" si="9"/>
        <v>0</v>
      </c>
      <c r="I17" s="82">
        <f>(_xlfn.XLOOKUP(D17,$Q$3:$Q$22,$S$3:$S$22,0))*B17</f>
        <v>17.545454545454547</v>
      </c>
      <c r="K17" t="str">
        <f>$B$52</f>
        <v>Russell</v>
      </c>
      <c r="L17" s="6" cm="1">
        <f t="array" ref="L17">_xlfn.XLOOKUP(K17,$Q$3:$Q$22,_xlfn.XLOOKUP($J$14,$R$2:$X$2,$R$3:$X$22))</f>
        <v>1.2337662337662338</v>
      </c>
      <c r="M17" s="4"/>
      <c r="N17" s="5" t="str">
        <f>E52</f>
        <v>Red Bull</v>
      </c>
      <c r="O17" s="6" cm="1">
        <f t="array" ref="O17">_xlfn.XLOOKUP(N17,$K$3:$K$12,_xlfn.XLOOKUP($P$14,$K$2:$O$2,$K$3:$O$12))</f>
        <v>26.6</v>
      </c>
      <c r="Q17" s="46" t="s">
        <v>43</v>
      </c>
      <c r="R17" s="125">
        <f t="shared" si="3"/>
        <v>11.9</v>
      </c>
      <c r="S17" s="123">
        <f t="shared" si="4"/>
        <v>13.090909090909092</v>
      </c>
      <c r="T17" s="123" cm="1">
        <f t="array" ref="T17">VLOOKUP(Q17,$B$28:$C$47,2,FALSE)/Table1[Avg]</f>
        <v>13.090909090909092</v>
      </c>
      <c r="U17" s="380">
        <f t="shared" si="5"/>
        <v>1.1000763941940412</v>
      </c>
      <c r="V17" s="380"/>
      <c r="W17" s="381"/>
      <c r="X17" s="57">
        <f t="shared" si="6"/>
        <v>10.475206611570249</v>
      </c>
      <c r="Y17" s="106" t="s">
        <v>43</v>
      </c>
      <c r="Z17" s="29">
        <f t="shared" si="7"/>
        <v>0</v>
      </c>
      <c r="AA17" s="16"/>
      <c r="AI17" s="95" t="s">
        <v>33</v>
      </c>
      <c r="AJ17" s="101">
        <f>AVERAGE(AL17:AL18)</f>
        <v>14.411157024793386</v>
      </c>
      <c r="AK17" s="99" t="s">
        <v>46</v>
      </c>
      <c r="AL17" s="56" cm="1">
        <f t="array" ref="AL17">_xlfn.XLOOKUP(AK17,$Q$3:$Q$22,_xlfn.XLOOKUP($AK$2,$R$2:$X$2,$R$3:$X$22))</f>
        <v>14.33884297520661</v>
      </c>
    </row>
    <row r="18" spans="1:38" ht="17" thickBot="1" x14ac:dyDescent="0.25">
      <c r="B18">
        <v>2</v>
      </c>
      <c r="C18" s="131" t="s">
        <v>24</v>
      </c>
      <c r="D18" s="135" t="str">
        <f>$B$54</f>
        <v>Perez</v>
      </c>
      <c r="E18" s="4">
        <f>_xlfn.XLOOKUP(D18,$Q$3:$Q$22,$R$3:$R$22,0)</f>
        <v>18.5</v>
      </c>
      <c r="F18" s="5">
        <f>_xlfn.XLOOKUP(D18,$AK$3:$AK$22,$AL$3:$AL$22,0)</f>
        <v>8.6859504132231411</v>
      </c>
      <c r="G18" s="5">
        <f>_xlfn.XLOOKUP(D18,$Y$3:$Y$22,$Z$3:$Z$22,0)</f>
        <v>0</v>
      </c>
      <c r="H18" s="81">
        <f t="shared" si="9"/>
        <v>0</v>
      </c>
      <c r="I18" s="82">
        <f>(_xlfn.XLOOKUP(D18,$Q$3:$Q$22,$S$3:$S$22,0))*B18</f>
        <v>42.090909090909093</v>
      </c>
      <c r="K18" t="str">
        <f>$B$53</f>
        <v>Sainz</v>
      </c>
      <c r="L18" s="6" cm="1">
        <f t="array" ref="L18">_xlfn.XLOOKUP(K18,$Q$3:$Q$22,_xlfn.XLOOKUP($J$14,$R$2:$X$2,$R$3:$X$22))</f>
        <v>1.1855036855036856</v>
      </c>
      <c r="M18" s="4"/>
      <c r="N18" s="5"/>
      <c r="O18" s="5"/>
      <c r="Q18" s="117" t="s">
        <v>44</v>
      </c>
      <c r="R18" s="126">
        <f t="shared" si="3"/>
        <v>8.1999999999999993</v>
      </c>
      <c r="S18" s="124">
        <f t="shared" si="4"/>
        <v>2.3181818181818183</v>
      </c>
      <c r="T18" s="124" cm="1">
        <f t="array" ref="T18">VLOOKUP(Q18,$B$28:$C$47,2,FALSE)/Table1[Avg]</f>
        <v>2.3181818181818183</v>
      </c>
      <c r="U18" s="382">
        <f t="shared" si="5"/>
        <v>0.28270509977827057</v>
      </c>
      <c r="V18" s="382"/>
      <c r="W18" s="383"/>
      <c r="X18" s="57">
        <f t="shared" si="6"/>
        <v>14.260330578512397</v>
      </c>
      <c r="Y18" s="105" t="s">
        <v>44</v>
      </c>
      <c r="Z18" s="29">
        <f t="shared" si="7"/>
        <v>0</v>
      </c>
      <c r="AA18" s="16"/>
      <c r="AI18" s="97"/>
      <c r="AJ18" s="93"/>
      <c r="AK18" s="98" t="s">
        <v>45</v>
      </c>
      <c r="AL18" s="56" cm="1">
        <f t="array" ref="AL18">_xlfn.XLOOKUP(AK18,$Q$3:$Q$22,_xlfn.XLOOKUP($AK$2,$R$2:$X$2,$R$3:$X$22))</f>
        <v>14.483471074380164</v>
      </c>
    </row>
    <row r="19" spans="1:38" ht="15.75" customHeight="1" thickBot="1" x14ac:dyDescent="0.25">
      <c r="C19" s="131" t="s">
        <v>7</v>
      </c>
      <c r="D19" s="134" t="s">
        <v>84</v>
      </c>
      <c r="E19" s="4">
        <f>_xlfn.XLOOKUP(D19,$K$3:$K$12,$L$3:$L$12,0)</f>
        <v>19.100000000000001</v>
      </c>
      <c r="F19" s="5">
        <f>_xlfn.XLOOKUP(D19,$AI$3:$AI$22,$AJ$3:$AJ$22,0)</f>
        <v>7.6652892561983474</v>
      </c>
      <c r="G19" s="5">
        <f>_xlfn.XLOOKUP(D19,$AD$3:$AD$12,$AE$3:$AE$12,0)</f>
        <v>10</v>
      </c>
      <c r="H19" s="81">
        <f t="shared" si="9"/>
        <v>0</v>
      </c>
      <c r="I19" s="82">
        <f>_xlfn.XLOOKUP(D19,$K$3:$K$12,$M$3:$M$12,0)</f>
        <v>42.909090909090907</v>
      </c>
      <c r="K19" t="str">
        <f>$B$54</f>
        <v>Perez</v>
      </c>
      <c r="L19" s="6" cm="1">
        <f t="array" ref="L19">_xlfn.XLOOKUP(K19,$Q$3:$Q$22,_xlfn.XLOOKUP($J$14,$R$2:$X$2,$R$3:$X$22))</f>
        <v>1.1375921375921376</v>
      </c>
      <c r="M19" s="4"/>
      <c r="N19" s="5"/>
      <c r="O19" s="5"/>
      <c r="Q19" s="46" t="s">
        <v>48</v>
      </c>
      <c r="R19" s="125">
        <f t="shared" si="3"/>
        <v>6.3</v>
      </c>
      <c r="S19" s="123">
        <f t="shared" si="4"/>
        <v>7.7727272727272725</v>
      </c>
      <c r="T19" s="123" cm="1">
        <f t="array" ref="T19">VLOOKUP(Q19,$B$28:$C$47,2,FALSE)/Table1[Avg]</f>
        <v>7.7727272727272725</v>
      </c>
      <c r="U19" s="380">
        <f t="shared" si="5"/>
        <v>1.2337662337662338</v>
      </c>
      <c r="V19" s="380"/>
      <c r="W19" s="381"/>
      <c r="X19" s="57">
        <f t="shared" si="6"/>
        <v>15.429752066115702</v>
      </c>
      <c r="Y19" s="106" t="s">
        <v>48</v>
      </c>
      <c r="Z19" s="29">
        <f t="shared" si="7"/>
        <v>0</v>
      </c>
      <c r="AA19" s="16"/>
      <c r="AI19" s="95" t="s">
        <v>38</v>
      </c>
      <c r="AJ19" s="101">
        <f>AVERAGE(AL19:AL20)</f>
        <v>16.351239669421489</v>
      </c>
      <c r="AK19" s="99" t="s">
        <v>48</v>
      </c>
      <c r="AL19" s="56" cm="1">
        <f t="array" ref="AL19">_xlfn.XLOOKUP(AK19,$Q$3:$Q$22,_xlfn.XLOOKUP($AK$2,$R$2:$X$2,$R$3:$X$22))</f>
        <v>15.429752066115702</v>
      </c>
    </row>
    <row r="20" spans="1:38" ht="17" thickBot="1" x14ac:dyDescent="0.25">
      <c r="C20" s="85" t="s">
        <v>29</v>
      </c>
      <c r="D20" s="86"/>
      <c r="E20" s="87">
        <f>+SUM(E14:E19)</f>
        <v>96.800000000000011</v>
      </c>
      <c r="F20" s="88">
        <f>AVERAGE(F14:F19)</f>
        <v>9.061983471074381</v>
      </c>
      <c r="G20" s="88">
        <f>SUM(G14:G19)</f>
        <v>10</v>
      </c>
      <c r="H20" s="89">
        <f>SUM(H14:H19)</f>
        <v>1</v>
      </c>
      <c r="I20" s="90">
        <f>+SUM(I14:I19)</f>
        <v>149.54545454545456</v>
      </c>
      <c r="K20" t="str">
        <f>$B$55</f>
        <v>Gasly</v>
      </c>
      <c r="L20" s="6" cm="1">
        <f t="array" ref="L20">_xlfn.XLOOKUP(K20,$Q$3:$Q$22,_xlfn.XLOOKUP($J$14,$R$2:$X$2,$R$3:$X$22))</f>
        <v>1.1000763941940412</v>
      </c>
      <c r="M20" s="4"/>
      <c r="N20" s="5"/>
      <c r="O20" s="5"/>
      <c r="Q20" s="118" t="s">
        <v>47</v>
      </c>
      <c r="R20" s="126">
        <f t="shared" si="3"/>
        <v>6.4</v>
      </c>
      <c r="S20" s="124">
        <f t="shared" si="4"/>
        <v>3.3181818181818183</v>
      </c>
      <c r="T20" s="124" cm="1">
        <f t="array" ref="T20">VLOOKUP(Q20,$B$28:$C$47,2,FALSE)/Table1[Avg]</f>
        <v>3.3181818181818183</v>
      </c>
      <c r="U20" s="382">
        <f t="shared" si="5"/>
        <v>0.51846590909090906</v>
      </c>
      <c r="V20" s="382"/>
      <c r="W20" s="383"/>
      <c r="X20" s="57">
        <f t="shared" si="6"/>
        <v>17.272727272727273</v>
      </c>
      <c r="Y20" s="105" t="s">
        <v>47</v>
      </c>
      <c r="Z20" s="29">
        <f t="shared" si="7"/>
        <v>0</v>
      </c>
      <c r="AA20" s="16"/>
      <c r="AI20" s="97"/>
      <c r="AJ20" s="93"/>
      <c r="AK20" s="98" t="s">
        <v>47</v>
      </c>
      <c r="AL20" s="56" cm="1">
        <f t="array" ref="AL20">_xlfn.XLOOKUP(AK20,$Q$3:$Q$22,_xlfn.XLOOKUP($AK$2,$R$2:$X$2,$R$3:$X$22))</f>
        <v>17.272727272727273</v>
      </c>
    </row>
    <row r="21" spans="1:38" ht="17" thickBot="1" x14ac:dyDescent="0.25">
      <c r="C21" s="4"/>
      <c r="D21" s="4"/>
      <c r="E21" s="7"/>
      <c r="F21" s="5"/>
      <c r="G21" s="5"/>
      <c r="H21" s="81"/>
      <c r="I21" s="4"/>
      <c r="J21" s="4"/>
      <c r="K21" t="str">
        <f>$B$56</f>
        <v>Leclerc</v>
      </c>
      <c r="L21" s="6" cm="1">
        <f t="array" ref="L21">_xlfn.XLOOKUP(K21,$Q$3:$Q$22,_xlfn.XLOOKUP($J$14,$R$2:$X$2,$R$3:$X$22))</f>
        <v>1.0640495867768593</v>
      </c>
      <c r="M21" s="1"/>
      <c r="N21" s="79"/>
      <c r="O21" s="79"/>
      <c r="Q21" s="125" t="s">
        <v>49</v>
      </c>
      <c r="R21" s="125">
        <f t="shared" si="3"/>
        <v>5.7</v>
      </c>
      <c r="S21" s="123">
        <f t="shared" si="4"/>
        <v>5.8181818181818183</v>
      </c>
      <c r="T21" s="123" cm="1">
        <f t="array" ref="T21">VLOOKUP(Q21,$B$28:$C$47,2,FALSE)/Table1[Avg]</f>
        <v>5.8181818181818183</v>
      </c>
      <c r="U21" s="380">
        <f t="shared" si="5"/>
        <v>1.0207336523125996</v>
      </c>
      <c r="V21" s="380"/>
      <c r="W21" s="381"/>
      <c r="X21" s="57">
        <f t="shared" si="6"/>
        <v>18.623966942148762</v>
      </c>
      <c r="Y21" s="106" t="s">
        <v>49</v>
      </c>
      <c r="Z21" s="29">
        <f t="shared" si="7"/>
        <v>0</v>
      </c>
      <c r="AA21" s="16"/>
      <c r="AB21">
        <v>0</v>
      </c>
      <c r="AI21" s="96" t="s">
        <v>40</v>
      </c>
      <c r="AJ21" s="13">
        <f>AVERAGE(AL21:AL22)</f>
        <v>19.402892561983471</v>
      </c>
      <c r="AK21" s="100" t="s">
        <v>49</v>
      </c>
      <c r="AL21" s="56" cm="1">
        <f t="array" ref="AL21">_xlfn.XLOOKUP(AK21,$Q$3:$Q$22,_xlfn.XLOOKUP($AK$2,$R$2:$X$2,$R$3:$X$22))</f>
        <v>18.623966942148762</v>
      </c>
    </row>
    <row r="22" spans="1:38" ht="17" thickBot="1" x14ac:dyDescent="0.25">
      <c r="C22" s="3" t="s">
        <v>34</v>
      </c>
      <c r="D22">
        <v>107.5</v>
      </c>
      <c r="E22" s="3" t="s">
        <v>35</v>
      </c>
      <c r="F22" s="5">
        <f>E20</f>
        <v>96.800000000000011</v>
      </c>
      <c r="G22" s="5"/>
      <c r="H22" s="94" t="s">
        <v>36</v>
      </c>
      <c r="I22" s="5">
        <f>D22-F22</f>
        <v>10.699999999999989</v>
      </c>
      <c r="J22" s="4"/>
      <c r="K22" t="str">
        <f>$B$57</f>
        <v>Hamilton</v>
      </c>
      <c r="L22" s="6" cm="1">
        <f t="array" ref="L22">_xlfn.XLOOKUP(K22,$Q$3:$Q$22,_xlfn.XLOOKUP($J$14,$R$2:$X$2,$R$3:$X$22))</f>
        <v>1.0292898590770934</v>
      </c>
      <c r="M22" s="80"/>
      <c r="N22" s="4"/>
      <c r="O22" s="1"/>
      <c r="P22" t="s">
        <v>92</v>
      </c>
      <c r="Q22" s="126" t="s">
        <v>50</v>
      </c>
      <c r="R22" s="126">
        <f t="shared" si="3"/>
        <v>5.3</v>
      </c>
      <c r="S22" s="124">
        <f t="shared" si="4"/>
        <v>1.4090909090909092</v>
      </c>
      <c r="T22" s="124" cm="1">
        <f t="array" ref="T22">VLOOKUP(Q22,$B$28:$C$47,2,FALSE)/Table1[Avg]</f>
        <v>1.4090909090909092</v>
      </c>
      <c r="U22" s="382">
        <f t="shared" si="5"/>
        <v>0.2658662092624357</v>
      </c>
      <c r="V22" s="382"/>
      <c r="W22" s="383"/>
      <c r="X22" s="57">
        <f t="shared" si="6"/>
        <v>20.181818181818183</v>
      </c>
      <c r="Y22" s="107" t="s">
        <v>50</v>
      </c>
      <c r="Z22" s="108">
        <f t="shared" si="7"/>
        <v>0</v>
      </c>
      <c r="AA22" s="109"/>
      <c r="AB22">
        <v>0</v>
      </c>
      <c r="AI22" s="97"/>
      <c r="AJ22" s="93"/>
      <c r="AK22" s="98" t="s">
        <v>50</v>
      </c>
      <c r="AL22" s="56" cm="1">
        <f t="array" ref="AL22">_xlfn.XLOOKUP(AK22,$Q$3:$Q$22,_xlfn.XLOOKUP($AK$2,$R$2:$X$2,$R$3:$X$22))</f>
        <v>20.181818181818183</v>
      </c>
    </row>
    <row r="23" spans="1:38" x14ac:dyDescent="0.2">
      <c r="B23" s="3"/>
      <c r="D23" s="3"/>
      <c r="E23" s="4"/>
      <c r="F23" s="3"/>
      <c r="G23" s="4"/>
      <c r="H23" s="4"/>
      <c r="I23" s="1"/>
      <c r="J23" s="4"/>
      <c r="K23" s="2" t="s">
        <v>51</v>
      </c>
      <c r="L23" s="2">
        <v>0</v>
      </c>
      <c r="M23" s="2">
        <v>0</v>
      </c>
      <c r="N23" s="58">
        <v>0</v>
      </c>
      <c r="O23" s="2"/>
      <c r="P23" s="4"/>
      <c r="U23" s="5"/>
      <c r="V23" s="5"/>
      <c r="W23" s="5"/>
    </row>
    <row r="24" spans="1:38" s="67" customFormat="1" x14ac:dyDescent="0.2">
      <c r="B24" s="66"/>
      <c r="D24" s="66"/>
      <c r="E24" s="68"/>
      <c r="F24" s="66"/>
      <c r="G24" s="68"/>
      <c r="H24" s="69"/>
      <c r="I24" s="68"/>
      <c r="J24" s="68"/>
      <c r="K24" s="70"/>
      <c r="L24" s="71"/>
      <c r="M24" s="68"/>
      <c r="N24" s="68"/>
      <c r="S24" s="70"/>
      <c r="T24" s="70"/>
      <c r="V24" s="68"/>
      <c r="W24" s="68"/>
      <c r="X24" s="68"/>
      <c r="Y24" s="68"/>
      <c r="Z24" s="68"/>
      <c r="AA24" s="68"/>
    </row>
    <row r="25" spans="1:38" ht="17" thickBot="1" x14ac:dyDescent="0.25">
      <c r="B25" s="4"/>
      <c r="C25" s="4"/>
      <c r="D25" s="4"/>
      <c r="E25" s="4"/>
      <c r="F25" s="4"/>
      <c r="G25" s="4"/>
      <c r="H25" s="4"/>
      <c r="I25" s="4"/>
      <c r="J25" s="4"/>
      <c r="K25" s="5"/>
      <c r="L25" s="6"/>
      <c r="M25" s="4"/>
      <c r="N25" s="4"/>
      <c r="O25" s="4"/>
      <c r="P25" s="4"/>
      <c r="Q25" s="4"/>
      <c r="R25" s="4"/>
      <c r="S25" s="4"/>
      <c r="T25" s="4"/>
      <c r="V25" s="4"/>
      <c r="W25" s="4"/>
      <c r="X25" s="4"/>
      <c r="Y25" s="4"/>
      <c r="Z25" s="4"/>
      <c r="AA25" s="4"/>
    </row>
    <row r="26" spans="1:38" ht="17" thickBot="1" x14ac:dyDescent="0.25">
      <c r="B26" s="75" t="s">
        <v>52</v>
      </c>
      <c r="C26" s="76"/>
      <c r="D26" s="77"/>
      <c r="E26" s="4"/>
      <c r="F26" s="46" t="s">
        <v>53</v>
      </c>
      <c r="G26" s="47"/>
      <c r="H26" s="74"/>
      <c r="I26" s="4"/>
      <c r="J26" s="27"/>
      <c r="K26" s="12"/>
      <c r="L26" s="25" t="s">
        <v>95</v>
      </c>
      <c r="M26" s="30" t="s">
        <v>54</v>
      </c>
      <c r="N26" s="31" t="s">
        <v>2</v>
      </c>
      <c r="O26" s="30" t="s">
        <v>55</v>
      </c>
      <c r="P26" s="30" t="s">
        <v>56</v>
      </c>
      <c r="Q26" s="30" t="s">
        <v>57</v>
      </c>
      <c r="R26" s="30" t="s">
        <v>58</v>
      </c>
      <c r="S26" s="30" t="s">
        <v>59</v>
      </c>
      <c r="T26" s="30" t="s">
        <v>60</v>
      </c>
      <c r="U26" s="30" t="s">
        <v>61</v>
      </c>
      <c r="V26" s="16" t="s">
        <v>62</v>
      </c>
      <c r="W26" s="30" t="s">
        <v>63</v>
      </c>
      <c r="X26" s="39" t="s">
        <v>64</v>
      </c>
      <c r="Y26" s="30" t="s">
        <v>65</v>
      </c>
      <c r="Z26" s="33" t="s">
        <v>66</v>
      </c>
      <c r="AA26" s="30" t="s">
        <v>67</v>
      </c>
      <c r="AB26" s="39" t="s">
        <v>68</v>
      </c>
      <c r="AC26" s="30" t="s">
        <v>87</v>
      </c>
      <c r="AD26" s="30" t="s">
        <v>90</v>
      </c>
      <c r="AE26" s="30" t="s">
        <v>100</v>
      </c>
      <c r="AF26" s="30" t="s">
        <v>69</v>
      </c>
      <c r="AG26" s="30" t="s">
        <v>70</v>
      </c>
      <c r="AH26" s="39" t="s">
        <v>71</v>
      </c>
      <c r="AI26" s="30" t="s">
        <v>97</v>
      </c>
      <c r="AJ26" s="30" t="s">
        <v>72</v>
      </c>
      <c r="AK26" s="32" t="s">
        <v>7</v>
      </c>
      <c r="AL26" t="s">
        <v>96</v>
      </c>
    </row>
    <row r="27" spans="1:38" ht="17" thickBot="1" x14ac:dyDescent="0.25">
      <c r="B27" s="35"/>
      <c r="C27" s="47" t="s">
        <v>77</v>
      </c>
      <c r="D27" s="111" t="s">
        <v>75</v>
      </c>
      <c r="E27" s="4"/>
      <c r="F27" s="61"/>
      <c r="G27" s="78" t="s">
        <v>77</v>
      </c>
      <c r="H27" s="62" t="s">
        <v>75</v>
      </c>
      <c r="I27" s="4"/>
      <c r="J27" s="4"/>
      <c r="K27" s="8"/>
      <c r="L27" s="4"/>
      <c r="M27" s="14" t="s">
        <v>73</v>
      </c>
      <c r="N27" s="15">
        <f>SUM(Table1[[#This Row],[Bahrein]:[Constructor]])</f>
        <v>22</v>
      </c>
      <c r="O27" s="14">
        <v>1</v>
      </c>
      <c r="P27" s="14">
        <v>1</v>
      </c>
      <c r="Q27" s="14">
        <v>1</v>
      </c>
      <c r="R27" s="14">
        <v>1</v>
      </c>
      <c r="S27" s="14">
        <v>1</v>
      </c>
      <c r="T27" s="14">
        <v>1</v>
      </c>
      <c r="U27" s="14">
        <v>1</v>
      </c>
      <c r="V27" s="14">
        <v>1</v>
      </c>
      <c r="W27" s="14">
        <v>1</v>
      </c>
      <c r="X27" s="14">
        <v>1</v>
      </c>
      <c r="Y27" s="14">
        <v>1</v>
      </c>
      <c r="Z27" s="34">
        <v>1</v>
      </c>
      <c r="AA27" s="14">
        <v>1</v>
      </c>
      <c r="AB27" s="14">
        <v>1</v>
      </c>
      <c r="AC27" s="14">
        <v>1</v>
      </c>
      <c r="AD27" s="14">
        <v>1</v>
      </c>
      <c r="AE27" s="14">
        <v>0</v>
      </c>
      <c r="AF27" s="14">
        <v>1</v>
      </c>
      <c r="AG27" s="14">
        <v>1</v>
      </c>
      <c r="AH27" s="14">
        <v>1</v>
      </c>
      <c r="AI27" s="14">
        <v>1</v>
      </c>
      <c r="AJ27" s="14">
        <v>1</v>
      </c>
      <c r="AK27" s="18">
        <v>1</v>
      </c>
      <c r="AL27">
        <f>SUM(Table1[[#This Row],[Belgica]:[Constructor]])</f>
        <v>11</v>
      </c>
    </row>
    <row r="28" spans="1:38" ht="17" thickBot="1" x14ac:dyDescent="0.25">
      <c r="A28" s="4"/>
      <c r="B28" s="112" t="s">
        <v>13</v>
      </c>
      <c r="C28" s="91">
        <v>745</v>
      </c>
      <c r="D28" s="113">
        <v>32.9</v>
      </c>
      <c r="E28" s="4"/>
      <c r="F28" s="43" t="s">
        <v>14</v>
      </c>
      <c r="G28" s="4">
        <v>1130</v>
      </c>
      <c r="H28" s="59">
        <v>37.1</v>
      </c>
      <c r="I28" s="4"/>
      <c r="J28" s="81">
        <f>IF(K28&gt;K29,1,0)</f>
        <v>1</v>
      </c>
      <c r="K28" s="9">
        <v>16</v>
      </c>
      <c r="L28" s="25">
        <f t="shared" ref="L28:L47" si="10">COUNTIF(O28:AJ28,"=21")</f>
        <v>1</v>
      </c>
      <c r="M28" s="25" t="s">
        <v>13</v>
      </c>
      <c r="N28" s="21" cm="1">
        <f t="array" ref="N28">(SUM(O28:AN28))/Table1[Avg]</f>
        <v>3.8512396694214881</v>
      </c>
      <c r="O28" s="22">
        <v>1</v>
      </c>
      <c r="P28" s="16">
        <v>2</v>
      </c>
      <c r="Q28" s="16">
        <v>1</v>
      </c>
      <c r="R28" s="16">
        <v>1</v>
      </c>
      <c r="S28" s="16">
        <v>7</v>
      </c>
      <c r="T28" s="16">
        <v>15</v>
      </c>
      <c r="U28" s="16">
        <v>2</v>
      </c>
      <c r="V28" s="16">
        <v>2</v>
      </c>
      <c r="W28" s="16">
        <v>4</v>
      </c>
      <c r="X28" s="16">
        <v>1</v>
      </c>
      <c r="Y28" s="16">
        <v>3</v>
      </c>
      <c r="Z28" s="22">
        <v>3</v>
      </c>
      <c r="AA28" s="16">
        <v>2</v>
      </c>
      <c r="AB28" s="16">
        <v>21</v>
      </c>
      <c r="AC28" s="16">
        <v>1</v>
      </c>
      <c r="AD28" s="16">
        <v>5</v>
      </c>
      <c r="AE28" s="16">
        <v>2</v>
      </c>
      <c r="AF28" s="16">
        <v>2</v>
      </c>
      <c r="AG28" s="16">
        <v>1</v>
      </c>
      <c r="AH28" s="16">
        <v>1</v>
      </c>
      <c r="AI28" s="16">
        <v>1</v>
      </c>
      <c r="AJ28" s="17">
        <v>2</v>
      </c>
      <c r="AK28">
        <v>1</v>
      </c>
      <c r="AL28" s="13" cm="1">
        <f t="array" ref="AL28">SUM(Z28:AJ28)/Table1[Second half]</f>
        <v>3.7272727272727271</v>
      </c>
    </row>
    <row r="29" spans="1:38" ht="17" thickBot="1" x14ac:dyDescent="0.25">
      <c r="A29" s="4"/>
      <c r="B29" s="114" t="s">
        <v>17</v>
      </c>
      <c r="C29" s="93">
        <v>477</v>
      </c>
      <c r="D29" s="115">
        <v>23.3</v>
      </c>
      <c r="E29" s="4"/>
      <c r="F29" s="43" t="s">
        <v>18</v>
      </c>
      <c r="G29" s="4">
        <v>1110</v>
      </c>
      <c r="H29" s="59">
        <v>26.6</v>
      </c>
      <c r="I29" s="4"/>
      <c r="J29" s="81">
        <f>IF(K29&gt;K28,1,0)</f>
        <v>0</v>
      </c>
      <c r="K29" s="11">
        <v>4</v>
      </c>
      <c r="L29" s="25">
        <f t="shared" si="10"/>
        <v>4</v>
      </c>
      <c r="M29" s="4" t="s">
        <v>17</v>
      </c>
      <c r="N29" s="21" cm="1">
        <f t="array" ref="N29">(SUM(O29:AN29))/Table1[Avg]</f>
        <v>8.6404958677685944</v>
      </c>
      <c r="O29" s="24">
        <v>3</v>
      </c>
      <c r="P29">
        <v>21</v>
      </c>
      <c r="Q29">
        <v>3</v>
      </c>
      <c r="R29">
        <v>3</v>
      </c>
      <c r="S29">
        <v>21</v>
      </c>
      <c r="T29">
        <v>12</v>
      </c>
      <c r="U29">
        <v>4</v>
      </c>
      <c r="V29">
        <v>3</v>
      </c>
      <c r="W29">
        <v>2</v>
      </c>
      <c r="X29">
        <v>3</v>
      </c>
      <c r="Y29">
        <v>21</v>
      </c>
      <c r="Z29" s="24">
        <v>12</v>
      </c>
      <c r="AA29">
        <v>3</v>
      </c>
      <c r="AB29">
        <v>3</v>
      </c>
      <c r="AC29">
        <v>5</v>
      </c>
      <c r="AD29">
        <v>1</v>
      </c>
      <c r="AE29">
        <v>6</v>
      </c>
      <c r="AF29">
        <v>15</v>
      </c>
      <c r="AG29">
        <v>3</v>
      </c>
      <c r="AH29">
        <v>21</v>
      </c>
      <c r="AI29">
        <v>3</v>
      </c>
      <c r="AJ29" s="18">
        <v>6</v>
      </c>
      <c r="AK29">
        <v>9</v>
      </c>
      <c r="AL29" s="13" cm="1">
        <f t="array" ref="AL29">SUM(Z29:AJ29)/Table1[Second half]</f>
        <v>7.0909090909090908</v>
      </c>
    </row>
    <row r="30" spans="1:38" ht="17" thickBot="1" x14ac:dyDescent="0.25">
      <c r="A30" s="4"/>
      <c r="B30" s="112" t="s">
        <v>16</v>
      </c>
      <c r="C30" s="91">
        <v>760</v>
      </c>
      <c r="D30" s="113">
        <v>25.7</v>
      </c>
      <c r="E30" s="4"/>
      <c r="F30" s="43" t="s">
        <v>20</v>
      </c>
      <c r="G30" s="4">
        <v>660</v>
      </c>
      <c r="H30" s="59">
        <v>18.5</v>
      </c>
      <c r="I30" s="4"/>
      <c r="J30" s="81">
        <f>IF(K30&gt;K31,1,0)</f>
        <v>1</v>
      </c>
      <c r="K30" s="9">
        <v>17</v>
      </c>
      <c r="L30" s="25">
        <f t="shared" si="10"/>
        <v>3</v>
      </c>
      <c r="M30" s="25" t="s">
        <v>16</v>
      </c>
      <c r="N30" s="21" cm="1">
        <f t="array" ref="N30">(SUM(O30:AN30))/Table1[Avg]</f>
        <v>4.7396694214876032</v>
      </c>
      <c r="O30" s="22">
        <v>2</v>
      </c>
      <c r="P30" s="16">
        <v>1</v>
      </c>
      <c r="Q30" s="16">
        <v>2</v>
      </c>
      <c r="R30" s="16">
        <v>2</v>
      </c>
      <c r="S30" s="16">
        <v>1</v>
      </c>
      <c r="T30" s="16">
        <v>21</v>
      </c>
      <c r="U30" s="16">
        <v>1</v>
      </c>
      <c r="V30" s="16">
        <v>1</v>
      </c>
      <c r="W30" s="16">
        <v>1</v>
      </c>
      <c r="X30" s="16">
        <v>21</v>
      </c>
      <c r="Y30" s="16">
        <v>10</v>
      </c>
      <c r="Z30" s="22">
        <v>1</v>
      </c>
      <c r="AA30" s="16">
        <v>1</v>
      </c>
      <c r="AB30" s="16">
        <v>21</v>
      </c>
      <c r="AC30" s="16">
        <v>2</v>
      </c>
      <c r="AD30" s="16">
        <v>2</v>
      </c>
      <c r="AE30" s="16">
        <v>1</v>
      </c>
      <c r="AF30" s="16">
        <v>1</v>
      </c>
      <c r="AG30" s="16">
        <v>2</v>
      </c>
      <c r="AH30" s="16">
        <v>2</v>
      </c>
      <c r="AI30" s="16">
        <v>2</v>
      </c>
      <c r="AJ30" s="17">
        <v>1</v>
      </c>
      <c r="AK30">
        <v>2</v>
      </c>
      <c r="AL30" s="13" cm="1">
        <f t="array" ref="AL30">SUM(Z30:AJ30)/Table1[Second half]</f>
        <v>3.2727272727272729</v>
      </c>
    </row>
    <row r="31" spans="1:38" ht="17" thickBot="1" x14ac:dyDescent="0.25">
      <c r="A31" s="4"/>
      <c r="B31" s="114" t="s">
        <v>22</v>
      </c>
      <c r="C31" s="93">
        <v>463</v>
      </c>
      <c r="D31" s="115">
        <v>18.5</v>
      </c>
      <c r="E31" s="4"/>
      <c r="F31" s="43" t="s">
        <v>23</v>
      </c>
      <c r="G31" s="4">
        <v>724</v>
      </c>
      <c r="H31" s="59">
        <v>19.100000000000001</v>
      </c>
      <c r="I31" s="4"/>
      <c r="J31" s="81">
        <f>IF(K31&gt;K30,1,0)</f>
        <v>0</v>
      </c>
      <c r="K31" s="11">
        <v>3</v>
      </c>
      <c r="L31" s="25">
        <f t="shared" si="10"/>
        <v>3</v>
      </c>
      <c r="M31" s="4" t="s">
        <v>22</v>
      </c>
      <c r="N31" s="21" cm="1">
        <f t="array" ref="N31">(SUM(O31:AN31))/Table1[Avg]</f>
        <v>8.6859504132231411</v>
      </c>
      <c r="O31" s="24">
        <v>5</v>
      </c>
      <c r="P31">
        <v>11</v>
      </c>
      <c r="Q31">
        <v>4</v>
      </c>
      <c r="R31">
        <v>5</v>
      </c>
      <c r="S31">
        <v>4</v>
      </c>
      <c r="T31">
        <v>1</v>
      </c>
      <c r="U31">
        <v>3</v>
      </c>
      <c r="V31">
        <v>4</v>
      </c>
      <c r="W31">
        <v>6</v>
      </c>
      <c r="X31">
        <v>16</v>
      </c>
      <c r="Y31">
        <v>21</v>
      </c>
      <c r="Z31" s="24">
        <v>19</v>
      </c>
      <c r="AA31">
        <v>8</v>
      </c>
      <c r="AB31">
        <v>5</v>
      </c>
      <c r="AC31">
        <v>9</v>
      </c>
      <c r="AD31">
        <v>3</v>
      </c>
      <c r="AE31">
        <v>3</v>
      </c>
      <c r="AF31">
        <v>3</v>
      </c>
      <c r="AG31">
        <v>4</v>
      </c>
      <c r="AH31">
        <v>4</v>
      </c>
      <c r="AI31">
        <v>21</v>
      </c>
      <c r="AJ31" s="18">
        <v>21</v>
      </c>
      <c r="AK31">
        <v>2</v>
      </c>
      <c r="AL31" s="13" cm="1">
        <f t="array" ref="AL31">SUM(Z31:AJ31)/Table1[Second half]</f>
        <v>9.0909090909090917</v>
      </c>
    </row>
    <row r="32" spans="1:38" ht="17" thickBot="1" x14ac:dyDescent="0.25">
      <c r="A32" s="4"/>
      <c r="B32" s="112" t="s">
        <v>27</v>
      </c>
      <c r="C32" s="91">
        <v>468</v>
      </c>
      <c r="D32" s="113">
        <v>13.9</v>
      </c>
      <c r="E32" s="4"/>
      <c r="F32" s="43" t="s">
        <v>26</v>
      </c>
      <c r="G32" s="4">
        <v>308</v>
      </c>
      <c r="H32" s="59">
        <v>16.399999999999999</v>
      </c>
      <c r="I32" s="4"/>
      <c r="J32" s="81">
        <f>IF(K32&gt;K33,1,0)</f>
        <v>1</v>
      </c>
      <c r="K32" s="9">
        <v>14</v>
      </c>
      <c r="L32" s="25">
        <f t="shared" si="10"/>
        <v>1</v>
      </c>
      <c r="M32" s="25" t="s">
        <v>27</v>
      </c>
      <c r="N32" s="21" cm="1">
        <f t="array" ref="N32">(SUM(O32:AN32))/Table1[Avg]</f>
        <v>7.8429752066115697</v>
      </c>
      <c r="O32" s="22">
        <v>4</v>
      </c>
      <c r="P32" s="16">
        <v>3</v>
      </c>
      <c r="Q32" s="16">
        <v>5</v>
      </c>
      <c r="R32" s="16">
        <v>8</v>
      </c>
      <c r="S32" s="16">
        <v>3</v>
      </c>
      <c r="T32" s="16">
        <v>5</v>
      </c>
      <c r="U32" s="16">
        <v>5</v>
      </c>
      <c r="V32" s="16">
        <v>5</v>
      </c>
      <c r="W32" s="16">
        <v>3</v>
      </c>
      <c r="X32" s="16">
        <v>4</v>
      </c>
      <c r="Y32" s="16">
        <v>21</v>
      </c>
      <c r="Z32" s="22">
        <v>14</v>
      </c>
      <c r="AA32" s="16">
        <v>10</v>
      </c>
      <c r="AB32" s="16">
        <v>2</v>
      </c>
      <c r="AC32" s="16">
        <v>7</v>
      </c>
      <c r="AD32" s="16">
        <v>7</v>
      </c>
      <c r="AE32" s="16">
        <v>8</v>
      </c>
      <c r="AF32" s="16">
        <v>10</v>
      </c>
      <c r="AG32" s="16">
        <v>10</v>
      </c>
      <c r="AH32" s="16">
        <v>9</v>
      </c>
      <c r="AI32" s="16">
        <v>10</v>
      </c>
      <c r="AJ32" s="17">
        <v>7</v>
      </c>
      <c r="AK32">
        <v>4</v>
      </c>
      <c r="AL32" s="13" cm="1">
        <f t="array" ref="AL32">SUM(Z32:AJ32)/Table1[Second half]</f>
        <v>8.545454545454545</v>
      </c>
    </row>
    <row r="33" spans="1:38" ht="17" thickBot="1" x14ac:dyDescent="0.25">
      <c r="A33" s="4"/>
      <c r="B33" s="114" t="s">
        <v>25</v>
      </c>
      <c r="C33" s="93">
        <v>306</v>
      </c>
      <c r="D33" s="115">
        <v>15.7</v>
      </c>
      <c r="E33" s="4"/>
      <c r="F33" s="43" t="s">
        <v>28</v>
      </c>
      <c r="G33" s="4">
        <v>424</v>
      </c>
      <c r="H33" s="59">
        <v>15.1</v>
      </c>
      <c r="I33" s="4"/>
      <c r="J33" s="81">
        <f>IF(K33&gt;K32,1,0)</f>
        <v>0</v>
      </c>
      <c r="K33" s="11">
        <v>6</v>
      </c>
      <c r="L33" s="25">
        <f t="shared" si="10"/>
        <v>1</v>
      </c>
      <c r="M33" s="4" t="s">
        <v>25</v>
      </c>
      <c r="N33" s="21" cm="1">
        <f t="array" ref="N33">(SUM(O33:AN33))/Table1[Avg]</f>
        <v>9.3223140495867778</v>
      </c>
      <c r="O33" s="24">
        <v>7</v>
      </c>
      <c r="P33">
        <v>6</v>
      </c>
      <c r="Q33">
        <v>9</v>
      </c>
      <c r="R33">
        <v>6</v>
      </c>
      <c r="S33">
        <v>12</v>
      </c>
      <c r="T33">
        <v>9</v>
      </c>
      <c r="U33">
        <v>6</v>
      </c>
      <c r="V33">
        <v>13</v>
      </c>
      <c r="W33">
        <v>7</v>
      </c>
      <c r="X33">
        <v>5</v>
      </c>
      <c r="Y33">
        <v>12</v>
      </c>
      <c r="Z33" s="24">
        <v>4</v>
      </c>
      <c r="AA33">
        <v>11</v>
      </c>
      <c r="AB33">
        <v>1</v>
      </c>
      <c r="AC33">
        <v>4</v>
      </c>
      <c r="AD33">
        <v>13</v>
      </c>
      <c r="AE33">
        <v>5</v>
      </c>
      <c r="AF33">
        <v>12</v>
      </c>
      <c r="AG33">
        <v>21</v>
      </c>
      <c r="AH33">
        <v>12</v>
      </c>
      <c r="AI33">
        <v>5</v>
      </c>
      <c r="AJ33" s="18">
        <v>12</v>
      </c>
      <c r="AK33">
        <v>4</v>
      </c>
      <c r="AL33" s="13" cm="1">
        <f t="array" ref="AL33">SUM(Z33:AJ33)/Table1[Second half]</f>
        <v>9.0909090909090917</v>
      </c>
    </row>
    <row r="34" spans="1:38" ht="17" thickBot="1" x14ac:dyDescent="0.25">
      <c r="A34" s="4"/>
      <c r="B34" s="112" t="s">
        <v>32</v>
      </c>
      <c r="C34" s="91">
        <v>386</v>
      </c>
      <c r="D34" s="113">
        <v>14.8</v>
      </c>
      <c r="E34" s="4"/>
      <c r="F34" s="43" t="s">
        <v>31</v>
      </c>
      <c r="G34" s="4">
        <v>333</v>
      </c>
      <c r="H34" s="59">
        <v>12.6</v>
      </c>
      <c r="I34" s="4"/>
      <c r="J34" s="81">
        <f>IF(K34&gt;K35,1,0)</f>
        <v>0</v>
      </c>
      <c r="K34" s="9">
        <v>8</v>
      </c>
      <c r="L34" s="25">
        <f t="shared" si="10"/>
        <v>0</v>
      </c>
      <c r="M34" s="25" t="s">
        <v>32</v>
      </c>
      <c r="N34" s="21" cm="1">
        <f t="array" ref="N34">(SUM(O34:AN34))/Table1[Avg]</f>
        <v>6.9752066115702487</v>
      </c>
      <c r="O34" s="22">
        <v>8</v>
      </c>
      <c r="P34" s="16">
        <v>5</v>
      </c>
      <c r="Q34" s="16">
        <v>11</v>
      </c>
      <c r="R34" s="16">
        <v>7</v>
      </c>
      <c r="S34" s="16">
        <v>2</v>
      </c>
      <c r="T34" s="16">
        <v>8</v>
      </c>
      <c r="U34" s="16">
        <v>11</v>
      </c>
      <c r="V34" s="16">
        <v>6</v>
      </c>
      <c r="W34" s="16">
        <v>5</v>
      </c>
      <c r="X34" s="16">
        <v>6</v>
      </c>
      <c r="Y34" s="16">
        <v>4</v>
      </c>
      <c r="Z34" s="22">
        <v>10</v>
      </c>
      <c r="AA34" s="16">
        <v>7</v>
      </c>
      <c r="AB34" s="16">
        <v>6</v>
      </c>
      <c r="AC34" s="16">
        <v>3</v>
      </c>
      <c r="AD34" s="16">
        <v>8</v>
      </c>
      <c r="AE34" s="16">
        <v>7</v>
      </c>
      <c r="AF34" s="16">
        <v>6</v>
      </c>
      <c r="AG34">
        <v>6</v>
      </c>
      <c r="AH34" s="16">
        <v>7</v>
      </c>
      <c r="AI34" s="16">
        <v>8</v>
      </c>
      <c r="AJ34" s="17">
        <v>3</v>
      </c>
      <c r="AK34">
        <v>3</v>
      </c>
      <c r="AL34" s="13" cm="1">
        <f t="array" ref="AL34">SUM(Z34:AJ34)/Table1[Second half]</f>
        <v>6.4545454545454541</v>
      </c>
    </row>
    <row r="35" spans="1:38" ht="17" thickBot="1" x14ac:dyDescent="0.25">
      <c r="A35" s="4"/>
      <c r="B35" s="114" t="s">
        <v>30</v>
      </c>
      <c r="C35" s="93">
        <v>412</v>
      </c>
      <c r="D35" s="115">
        <v>17.600000000000001</v>
      </c>
      <c r="E35" s="4"/>
      <c r="F35" s="43" t="s">
        <v>33</v>
      </c>
      <c r="G35" s="4">
        <v>254</v>
      </c>
      <c r="H35" s="59">
        <v>9.1</v>
      </c>
      <c r="I35" s="4"/>
      <c r="J35" s="81">
        <f>IF(K35&gt;K34,1,0)</f>
        <v>1</v>
      </c>
      <c r="K35" s="11">
        <v>12</v>
      </c>
      <c r="L35" s="25">
        <f t="shared" si="10"/>
        <v>2</v>
      </c>
      <c r="M35" s="4" t="s">
        <v>30</v>
      </c>
      <c r="N35" s="21" cm="1">
        <f t="array" ref="N35">(SUM(O35:AN35))/Table1[Avg]</f>
        <v>8.3553719008264462</v>
      </c>
      <c r="O35" s="24">
        <v>6</v>
      </c>
      <c r="P35">
        <v>4</v>
      </c>
      <c r="Q35">
        <v>6</v>
      </c>
      <c r="R35">
        <v>4</v>
      </c>
      <c r="S35">
        <v>21</v>
      </c>
      <c r="T35">
        <v>4</v>
      </c>
      <c r="U35">
        <v>16</v>
      </c>
      <c r="V35">
        <v>7</v>
      </c>
      <c r="W35">
        <v>8</v>
      </c>
      <c r="X35">
        <v>2</v>
      </c>
      <c r="Y35">
        <v>21</v>
      </c>
      <c r="Z35" s="24">
        <v>8</v>
      </c>
      <c r="AA35">
        <v>5</v>
      </c>
      <c r="AB35">
        <v>4</v>
      </c>
      <c r="AC35">
        <v>15</v>
      </c>
      <c r="AD35">
        <v>4</v>
      </c>
      <c r="AE35">
        <v>4</v>
      </c>
      <c r="AF35">
        <v>5</v>
      </c>
      <c r="AG35">
        <v>5</v>
      </c>
      <c r="AH35">
        <v>8</v>
      </c>
      <c r="AI35">
        <v>7</v>
      </c>
      <c r="AJ35" s="18">
        <v>10</v>
      </c>
      <c r="AK35">
        <v>3</v>
      </c>
      <c r="AL35" s="13" cm="1">
        <f t="array" ref="AL35">SUM(Z35:AJ35)/Table1[Second half]</f>
        <v>6.8181818181818183</v>
      </c>
    </row>
    <row r="36" spans="1:38" ht="17" thickBot="1" x14ac:dyDescent="0.25">
      <c r="A36" s="4"/>
      <c r="B36" s="112" t="s">
        <v>42</v>
      </c>
      <c r="C36" s="91">
        <v>197</v>
      </c>
      <c r="D36" s="113">
        <v>10.3</v>
      </c>
      <c r="E36" s="4"/>
      <c r="F36" s="43" t="s">
        <v>38</v>
      </c>
      <c r="G36" s="4">
        <v>187</v>
      </c>
      <c r="H36" s="59">
        <v>6.3</v>
      </c>
      <c r="I36" s="4"/>
      <c r="J36" s="81">
        <f>IF(K36&gt;K37,1,0)</f>
        <v>0</v>
      </c>
      <c r="K36" s="9">
        <v>9</v>
      </c>
      <c r="L36" s="25">
        <f t="shared" si="10"/>
        <v>2</v>
      </c>
      <c r="M36" s="25" t="s">
        <v>42</v>
      </c>
      <c r="N36" s="21" cm="1">
        <f t="array" ref="N36">(SUM(O36:AN36))/Table1[Avg]</f>
        <v>11.409090909090908</v>
      </c>
      <c r="O36" s="22">
        <v>13</v>
      </c>
      <c r="P36" s="16">
        <v>9</v>
      </c>
      <c r="Q36" s="16">
        <v>7</v>
      </c>
      <c r="R36" s="16">
        <v>9</v>
      </c>
      <c r="S36" s="16">
        <v>9</v>
      </c>
      <c r="T36" s="16">
        <v>21</v>
      </c>
      <c r="U36" s="16">
        <v>14</v>
      </c>
      <c r="V36" s="16">
        <v>14</v>
      </c>
      <c r="W36" s="16">
        <v>20</v>
      </c>
      <c r="X36" s="16">
        <v>9</v>
      </c>
      <c r="Y36" s="16">
        <v>1</v>
      </c>
      <c r="Z36" s="22">
        <v>7</v>
      </c>
      <c r="AA36" s="16">
        <v>9</v>
      </c>
      <c r="AB36" s="16">
        <v>10</v>
      </c>
      <c r="AC36" s="16">
        <v>14</v>
      </c>
      <c r="AD36" s="16">
        <v>10</v>
      </c>
      <c r="AE36" s="16">
        <v>21</v>
      </c>
      <c r="AF36" s="16">
        <v>13</v>
      </c>
      <c r="AG36" s="16">
        <v>8</v>
      </c>
      <c r="AH36" s="16">
        <v>5</v>
      </c>
      <c r="AI36" s="16">
        <v>4</v>
      </c>
      <c r="AJ36" s="17">
        <v>9</v>
      </c>
      <c r="AK36">
        <v>5</v>
      </c>
      <c r="AL36" s="13" cm="1">
        <f t="array" ref="AL36">SUM(Z36:AJ36)/Table1[Second half]</f>
        <v>10</v>
      </c>
    </row>
    <row r="37" spans="1:38" ht="17" thickBot="1" x14ac:dyDescent="0.25">
      <c r="A37" s="4"/>
      <c r="B37" s="114" t="s">
        <v>41</v>
      </c>
      <c r="C37" s="93">
        <v>273</v>
      </c>
      <c r="D37" s="115">
        <v>15</v>
      </c>
      <c r="E37" s="4"/>
      <c r="F37" s="44" t="s">
        <v>40</v>
      </c>
      <c r="G37" s="36">
        <v>155</v>
      </c>
      <c r="H37" s="60">
        <v>6.1</v>
      </c>
      <c r="I37" s="4"/>
      <c r="J37" s="81">
        <f>IF(K37&gt;K36,1,0)</f>
        <v>1</v>
      </c>
      <c r="K37" s="11">
        <v>10</v>
      </c>
      <c r="L37" s="25">
        <f t="shared" si="10"/>
        <v>2</v>
      </c>
      <c r="M37" s="4" t="s">
        <v>41</v>
      </c>
      <c r="N37" s="21" cm="1">
        <f t="array" ref="N37">(SUM(O37:AN37))/Table1[Avg]</f>
        <v>10.863636363636363</v>
      </c>
      <c r="O37" s="24">
        <v>21</v>
      </c>
      <c r="P37">
        <v>10</v>
      </c>
      <c r="Q37">
        <v>8</v>
      </c>
      <c r="R37">
        <v>17</v>
      </c>
      <c r="S37">
        <v>13</v>
      </c>
      <c r="T37">
        <v>6</v>
      </c>
      <c r="U37">
        <v>8</v>
      </c>
      <c r="V37">
        <v>9</v>
      </c>
      <c r="W37">
        <v>10</v>
      </c>
      <c r="X37">
        <v>7</v>
      </c>
      <c r="Y37">
        <v>5</v>
      </c>
      <c r="Z37" s="24">
        <v>11</v>
      </c>
      <c r="AA37">
        <v>6</v>
      </c>
      <c r="AB37">
        <v>8</v>
      </c>
      <c r="AC37">
        <v>6</v>
      </c>
      <c r="AD37">
        <v>16</v>
      </c>
      <c r="AE37">
        <v>21</v>
      </c>
      <c r="AF37">
        <v>9</v>
      </c>
      <c r="AG37">
        <v>9</v>
      </c>
      <c r="AH37">
        <v>3</v>
      </c>
      <c r="AI37">
        <v>13</v>
      </c>
      <c r="AJ37" s="18">
        <v>8</v>
      </c>
      <c r="AK37">
        <v>5</v>
      </c>
      <c r="AL37" s="13" cm="1">
        <f t="array" ref="AL37">SUM(Z37:AJ37)/Table1[Second half]</f>
        <v>10</v>
      </c>
    </row>
    <row r="38" spans="1:38" ht="17" thickBot="1" x14ac:dyDescent="0.25">
      <c r="A38" s="4"/>
      <c r="B38" s="112" t="s">
        <v>39</v>
      </c>
      <c r="C38" s="91">
        <v>153</v>
      </c>
      <c r="D38" s="113">
        <v>13.2</v>
      </c>
      <c r="E38" s="4"/>
      <c r="F38" s="4"/>
      <c r="G38" s="4"/>
      <c r="H38" s="4"/>
      <c r="I38" s="4"/>
      <c r="J38" s="81">
        <f>IF(K38&gt;K39,1,0)</f>
        <v>1</v>
      </c>
      <c r="K38" s="9">
        <v>11</v>
      </c>
      <c r="L38" s="25">
        <f t="shared" si="10"/>
        <v>3</v>
      </c>
      <c r="M38" s="25" t="s">
        <v>39</v>
      </c>
      <c r="N38" s="21" cm="1">
        <f t="array" ref="N38">(SUM(O38:AN38))/Table1[Avg]</f>
        <v>13.061983471074381</v>
      </c>
      <c r="O38" s="22">
        <v>10</v>
      </c>
      <c r="P38" s="16">
        <v>8</v>
      </c>
      <c r="Q38" s="16">
        <v>14</v>
      </c>
      <c r="R38" s="16">
        <v>11</v>
      </c>
      <c r="S38" s="16">
        <v>8</v>
      </c>
      <c r="T38" s="16">
        <v>21</v>
      </c>
      <c r="U38" s="16">
        <v>10</v>
      </c>
      <c r="V38" s="16">
        <v>8</v>
      </c>
      <c r="W38" s="16">
        <v>13</v>
      </c>
      <c r="X38" s="16">
        <v>8</v>
      </c>
      <c r="Y38" s="16">
        <v>21</v>
      </c>
      <c r="Z38" s="22">
        <v>20</v>
      </c>
      <c r="AA38" s="16">
        <v>12</v>
      </c>
      <c r="AB38" s="16">
        <v>7</v>
      </c>
      <c r="AC38" s="16">
        <v>11</v>
      </c>
      <c r="AD38" s="16">
        <v>9</v>
      </c>
      <c r="AE38" s="16">
        <v>12</v>
      </c>
      <c r="AF38" s="16">
        <v>14</v>
      </c>
      <c r="AG38" s="16">
        <v>21</v>
      </c>
      <c r="AH38" s="16">
        <v>6</v>
      </c>
      <c r="AI38" s="16">
        <v>11</v>
      </c>
      <c r="AJ38" s="17">
        <v>13</v>
      </c>
      <c r="AK38">
        <v>7</v>
      </c>
      <c r="AL38" s="13" cm="1">
        <f t="array" ref="AL38">SUM(Z38:AJ38)/Table1[Second half]</f>
        <v>12.363636363636363</v>
      </c>
    </row>
    <row r="39" spans="1:38" ht="17" thickBot="1" x14ac:dyDescent="0.25">
      <c r="A39" s="4"/>
      <c r="B39" s="114" t="s">
        <v>37</v>
      </c>
      <c r="C39" s="93">
        <v>170</v>
      </c>
      <c r="D39" s="115">
        <v>15.1</v>
      </c>
      <c r="E39" s="4"/>
      <c r="H39" s="4"/>
      <c r="I39" s="4"/>
      <c r="J39" s="81">
        <f>IF(K39&gt;K38,1,0)</f>
        <v>0</v>
      </c>
      <c r="K39" s="11">
        <v>9</v>
      </c>
      <c r="L39" s="25">
        <f t="shared" si="10"/>
        <v>3</v>
      </c>
      <c r="M39" s="4" t="s">
        <v>37</v>
      </c>
      <c r="N39" s="21" cm="1">
        <f t="array" ref="N39">(SUM(O39:AN39))/Table1[Avg]</f>
        <v>12.673553719008265</v>
      </c>
      <c r="O39" s="24">
        <v>15</v>
      </c>
      <c r="P39">
        <v>21</v>
      </c>
      <c r="Q39">
        <v>13</v>
      </c>
      <c r="R39">
        <v>13</v>
      </c>
      <c r="S39">
        <v>5</v>
      </c>
      <c r="T39">
        <v>2</v>
      </c>
      <c r="U39">
        <v>9</v>
      </c>
      <c r="V39">
        <v>12</v>
      </c>
      <c r="W39">
        <v>17</v>
      </c>
      <c r="X39">
        <v>21</v>
      </c>
      <c r="Y39">
        <v>2</v>
      </c>
      <c r="Z39" s="24">
        <v>5</v>
      </c>
      <c r="AA39">
        <v>13</v>
      </c>
      <c r="AB39">
        <v>12</v>
      </c>
      <c r="AC39">
        <v>12</v>
      </c>
      <c r="AD39">
        <v>18</v>
      </c>
      <c r="AE39">
        <v>10</v>
      </c>
      <c r="AF39">
        <v>7</v>
      </c>
      <c r="AG39">
        <v>11</v>
      </c>
      <c r="AH39">
        <v>10</v>
      </c>
      <c r="AI39">
        <v>21</v>
      </c>
      <c r="AJ39" s="18">
        <v>11</v>
      </c>
      <c r="AK39">
        <v>7</v>
      </c>
      <c r="AL39" s="13" cm="1">
        <f t="array" ref="AL39">SUM(Z39:AJ39)/Table1[Second half]</f>
        <v>11.818181818181818</v>
      </c>
    </row>
    <row r="40" spans="1:38" ht="17" thickBot="1" x14ac:dyDescent="0.25">
      <c r="A40" s="4"/>
      <c r="B40" s="112" t="s">
        <v>46</v>
      </c>
      <c r="C40" s="91">
        <v>145</v>
      </c>
      <c r="D40" s="113">
        <v>7.9</v>
      </c>
      <c r="E40" s="4"/>
      <c r="H40" s="4"/>
      <c r="I40" s="4"/>
      <c r="J40" s="81">
        <f>IF(K40&gt;K41,1,0)</f>
        <v>0</v>
      </c>
      <c r="K40" s="9">
        <v>10</v>
      </c>
      <c r="L40" s="25">
        <f t="shared" si="10"/>
        <v>1</v>
      </c>
      <c r="M40" s="25" t="s">
        <v>46</v>
      </c>
      <c r="N40" s="21" cm="1">
        <f t="array" ref="N40">(SUM(O40:AN40))/Table1[Avg]</f>
        <v>14.33884297520661</v>
      </c>
      <c r="O40" s="22">
        <v>12</v>
      </c>
      <c r="P40" s="16">
        <v>14</v>
      </c>
      <c r="Q40" s="16">
        <v>12</v>
      </c>
      <c r="R40" s="16">
        <v>15</v>
      </c>
      <c r="S40" s="16">
        <v>10</v>
      </c>
      <c r="T40" s="16">
        <v>11</v>
      </c>
      <c r="U40" s="16">
        <v>15</v>
      </c>
      <c r="V40" s="16">
        <v>15</v>
      </c>
      <c r="W40" s="16">
        <v>14</v>
      </c>
      <c r="X40" s="16">
        <v>13</v>
      </c>
      <c r="Y40" s="16">
        <v>14</v>
      </c>
      <c r="Z40" s="22">
        <v>13</v>
      </c>
      <c r="AA40" s="16">
        <v>14</v>
      </c>
      <c r="AB40" s="16">
        <v>13</v>
      </c>
      <c r="AC40" s="16">
        <v>16</v>
      </c>
      <c r="AD40" s="16">
        <v>11</v>
      </c>
      <c r="AE40" s="16">
        <v>11</v>
      </c>
      <c r="AF40" s="16">
        <v>11</v>
      </c>
      <c r="AG40" s="16">
        <v>14</v>
      </c>
      <c r="AH40" s="16">
        <v>15</v>
      </c>
      <c r="AI40" s="16">
        <v>9</v>
      </c>
      <c r="AJ40" s="17">
        <v>21</v>
      </c>
      <c r="AK40">
        <v>9</v>
      </c>
      <c r="AL40" s="13" cm="1">
        <f t="array" ref="AL40">SUM(Z40:AJ40)/Table1[Second half]</f>
        <v>13.454545454545455</v>
      </c>
    </row>
    <row r="41" spans="1:38" ht="17" thickBot="1" x14ac:dyDescent="0.25">
      <c r="A41" s="4"/>
      <c r="B41" s="114" t="s">
        <v>45</v>
      </c>
      <c r="C41" s="93">
        <v>193</v>
      </c>
      <c r="D41" s="115">
        <v>9.1999999999999993</v>
      </c>
      <c r="E41" s="4"/>
      <c r="H41" s="4"/>
      <c r="I41" s="4"/>
      <c r="J41" s="81">
        <f>IF(K41&gt;K40,1,0)</f>
        <v>0</v>
      </c>
      <c r="K41" s="11">
        <v>10</v>
      </c>
      <c r="L41" s="25">
        <f t="shared" si="10"/>
        <v>1</v>
      </c>
      <c r="M41" s="4" t="s">
        <v>45</v>
      </c>
      <c r="N41" s="21" cm="1">
        <f t="array" ref="N41">(SUM(O41:AN41))/Table1[Avg]</f>
        <v>14.483471074380164</v>
      </c>
      <c r="O41" s="24">
        <v>11</v>
      </c>
      <c r="P41">
        <v>13</v>
      </c>
      <c r="Q41">
        <v>20</v>
      </c>
      <c r="R41">
        <v>12</v>
      </c>
      <c r="S41">
        <v>11</v>
      </c>
      <c r="T41">
        <v>10</v>
      </c>
      <c r="U41">
        <v>17</v>
      </c>
      <c r="V41">
        <v>11</v>
      </c>
      <c r="W41">
        <v>15</v>
      </c>
      <c r="X41">
        <v>15</v>
      </c>
      <c r="Y41">
        <v>11</v>
      </c>
      <c r="Z41" s="24">
        <v>18</v>
      </c>
      <c r="AA41">
        <v>15</v>
      </c>
      <c r="AB41">
        <v>14</v>
      </c>
      <c r="AC41">
        <v>8</v>
      </c>
      <c r="AD41">
        <v>12</v>
      </c>
      <c r="AE41">
        <v>13</v>
      </c>
      <c r="AF41">
        <v>8</v>
      </c>
      <c r="AG41">
        <v>12</v>
      </c>
      <c r="AH41">
        <v>14</v>
      </c>
      <c r="AI41">
        <v>15</v>
      </c>
      <c r="AJ41" s="18">
        <v>21</v>
      </c>
      <c r="AK41">
        <v>9</v>
      </c>
      <c r="AL41" s="13" cm="1">
        <f t="array" ref="AL41">SUM(Z41:AJ41)/Table1[Second half]</f>
        <v>13.636363636363637</v>
      </c>
    </row>
    <row r="42" spans="1:38" ht="17" thickBot="1" x14ac:dyDescent="0.25">
      <c r="A42" s="4"/>
      <c r="B42" s="112" t="s">
        <v>43</v>
      </c>
      <c r="C42" s="91">
        <v>288</v>
      </c>
      <c r="D42" s="113">
        <v>11.9</v>
      </c>
      <c r="E42" s="4"/>
      <c r="H42" s="4"/>
      <c r="I42" s="4"/>
      <c r="J42" s="81">
        <f>IF(K42&gt;K43,1,0)</f>
        <v>1</v>
      </c>
      <c r="K42" s="9">
        <v>15</v>
      </c>
      <c r="L42" s="25">
        <f t="shared" si="10"/>
        <v>4</v>
      </c>
      <c r="M42" s="25" t="s">
        <v>43</v>
      </c>
      <c r="N42" s="21" cm="1">
        <f t="array" ref="N42">(SUM(O42:AN42))/Table1[Avg]</f>
        <v>10.475206611570249</v>
      </c>
      <c r="O42" s="22">
        <v>21</v>
      </c>
      <c r="P42" s="16">
        <v>7</v>
      </c>
      <c r="Q42" s="16">
        <v>10</v>
      </c>
      <c r="R42" s="16">
        <v>10</v>
      </c>
      <c r="S42" s="16">
        <v>6</v>
      </c>
      <c r="T42" s="16">
        <v>3</v>
      </c>
      <c r="U42" s="16">
        <v>7</v>
      </c>
      <c r="V42" s="16">
        <v>21</v>
      </c>
      <c r="W42" s="16">
        <v>9</v>
      </c>
      <c r="X42" s="16">
        <v>11</v>
      </c>
      <c r="Y42" s="16">
        <v>6</v>
      </c>
      <c r="Z42" s="22">
        <v>6</v>
      </c>
      <c r="AA42" s="16">
        <v>4</v>
      </c>
      <c r="AB42" s="127">
        <v>21</v>
      </c>
      <c r="AC42" s="16">
        <v>13</v>
      </c>
      <c r="AD42" s="16">
        <v>6</v>
      </c>
      <c r="AE42" s="16">
        <v>21</v>
      </c>
      <c r="AF42" s="16">
        <v>4</v>
      </c>
      <c r="AG42" s="16">
        <v>7</v>
      </c>
      <c r="AH42" s="16">
        <v>11</v>
      </c>
      <c r="AI42" s="16">
        <v>6</v>
      </c>
      <c r="AJ42" s="17">
        <v>5</v>
      </c>
      <c r="AK42">
        <v>6</v>
      </c>
      <c r="AL42" s="13" cm="1">
        <f t="array" ref="AL42">SUM(Z42:AJ42)/Table1[Second half]</f>
        <v>9.454545454545455</v>
      </c>
    </row>
    <row r="43" spans="1:38" ht="17" thickBot="1" x14ac:dyDescent="0.25">
      <c r="A43" s="4"/>
      <c r="B43" s="114" t="s">
        <v>44</v>
      </c>
      <c r="C43" s="93">
        <v>51</v>
      </c>
      <c r="D43" s="115">
        <v>8.1999999999999993</v>
      </c>
      <c r="E43" s="4"/>
      <c r="H43" s="4"/>
      <c r="I43" s="4"/>
      <c r="J43" s="81">
        <f>IF(K43&gt;K42,1,0)</f>
        <v>0</v>
      </c>
      <c r="K43" s="11">
        <v>4</v>
      </c>
      <c r="L43" s="25">
        <f t="shared" si="10"/>
        <v>2</v>
      </c>
      <c r="M43" s="4" t="s">
        <v>44</v>
      </c>
      <c r="N43" s="21" cm="1">
        <f t="array" ref="N43">(SUM(O43:AN43))/Table1[Avg]</f>
        <v>14.260330578512397</v>
      </c>
      <c r="O43" s="24">
        <v>9</v>
      </c>
      <c r="P43">
        <v>12</v>
      </c>
      <c r="Q43">
        <v>15</v>
      </c>
      <c r="R43">
        <v>20</v>
      </c>
      <c r="S43">
        <v>16</v>
      </c>
      <c r="T43">
        <v>7</v>
      </c>
      <c r="U43">
        <v>13</v>
      </c>
      <c r="V43">
        <v>10</v>
      </c>
      <c r="W43">
        <v>12</v>
      </c>
      <c r="X43">
        <v>10</v>
      </c>
      <c r="Y43">
        <v>7</v>
      </c>
      <c r="Z43" s="24">
        <v>15</v>
      </c>
      <c r="AA43">
        <v>19</v>
      </c>
      <c r="AB43" s="128">
        <v>21</v>
      </c>
      <c r="AC43">
        <v>17</v>
      </c>
      <c r="AD43">
        <v>14</v>
      </c>
      <c r="AE43">
        <v>9</v>
      </c>
      <c r="AF43">
        <v>21</v>
      </c>
      <c r="AG43">
        <v>15</v>
      </c>
      <c r="AH43">
        <v>13</v>
      </c>
      <c r="AI43">
        <v>14</v>
      </c>
      <c r="AJ43" s="18">
        <v>4</v>
      </c>
      <c r="AK43">
        <v>6</v>
      </c>
      <c r="AL43" s="13" cm="1">
        <f t="array" ref="AL43">SUM(Z43:AJ43)/Table1[Second half]</f>
        <v>14.727272727272727</v>
      </c>
    </row>
    <row r="44" spans="1:38" ht="17" thickBot="1" x14ac:dyDescent="0.25">
      <c r="A44" s="4"/>
      <c r="B44" s="112" t="s">
        <v>48</v>
      </c>
      <c r="C44" s="91">
        <v>171</v>
      </c>
      <c r="D44" s="113">
        <v>6.3</v>
      </c>
      <c r="E44" s="4"/>
      <c r="H44" s="4"/>
      <c r="I44" s="4"/>
      <c r="J44" s="81">
        <f>IF(K44&gt;K45,1,0)</f>
        <v>1</v>
      </c>
      <c r="K44" s="9">
        <v>15</v>
      </c>
      <c r="L44" s="25">
        <f t="shared" si="10"/>
        <v>6</v>
      </c>
      <c r="M44" s="25" t="s">
        <v>48</v>
      </c>
      <c r="N44" s="21" cm="1">
        <f t="array" ref="N44">(SUM(O44:AN44))/Table1[Avg]</f>
        <v>15.429752066115702</v>
      </c>
      <c r="O44" s="22">
        <v>14</v>
      </c>
      <c r="P44" s="127">
        <v>21</v>
      </c>
      <c r="Q44" s="16">
        <v>16</v>
      </c>
      <c r="R44" s="16">
        <v>14</v>
      </c>
      <c r="S44" s="16">
        <v>14</v>
      </c>
      <c r="T44" s="16">
        <v>21</v>
      </c>
      <c r="U44" s="16">
        <v>12</v>
      </c>
      <c r="V44" s="16">
        <v>21</v>
      </c>
      <c r="W44" s="16">
        <v>11</v>
      </c>
      <c r="X44" s="16">
        <v>12</v>
      </c>
      <c r="Y44" s="16">
        <v>9</v>
      </c>
      <c r="Z44" s="22">
        <v>2</v>
      </c>
      <c r="AA44" s="16">
        <v>21</v>
      </c>
      <c r="AB44" s="16">
        <v>9</v>
      </c>
      <c r="AC44" s="16">
        <v>10</v>
      </c>
      <c r="AD44" s="16">
        <v>15</v>
      </c>
      <c r="AE44" s="16">
        <v>14</v>
      </c>
      <c r="AF44" s="16">
        <v>16</v>
      </c>
      <c r="AG44" s="16">
        <v>13</v>
      </c>
      <c r="AH44" s="16">
        <v>17</v>
      </c>
      <c r="AI44" s="16">
        <v>21</v>
      </c>
      <c r="AJ44" s="17">
        <v>21</v>
      </c>
      <c r="AK44">
        <v>1</v>
      </c>
      <c r="AL44" s="13" cm="1">
        <f t="array" ref="AL44">SUM(Z44:AJ44)/Table1[Second half]</f>
        <v>14.454545454545455</v>
      </c>
    </row>
    <row r="45" spans="1:38" ht="17" thickBot="1" x14ac:dyDescent="0.25">
      <c r="A45" s="4"/>
      <c r="B45" s="114" t="s">
        <v>47</v>
      </c>
      <c r="C45" s="93">
        <v>73</v>
      </c>
      <c r="D45" s="115">
        <v>6.4</v>
      </c>
      <c r="E45" s="4"/>
      <c r="H45" s="4"/>
      <c r="I45" s="4"/>
      <c r="J45" s="81">
        <f>IF(K45&gt;K44,1,0)</f>
        <v>0</v>
      </c>
      <c r="K45" s="11">
        <v>4</v>
      </c>
      <c r="L45" s="25">
        <f t="shared" si="10"/>
        <v>5</v>
      </c>
      <c r="M45" s="26" t="s">
        <v>47</v>
      </c>
      <c r="N45" s="21" cm="1">
        <f t="array" ref="N45">(SUM(O45:AN45))/Table1[Avg]</f>
        <v>17.272727272727273</v>
      </c>
      <c r="O45" s="24">
        <v>21</v>
      </c>
      <c r="P45" s="128">
        <v>21</v>
      </c>
      <c r="Q45">
        <v>18</v>
      </c>
      <c r="R45">
        <v>16</v>
      </c>
      <c r="S45">
        <v>15</v>
      </c>
      <c r="T45">
        <v>16</v>
      </c>
      <c r="U45">
        <v>18</v>
      </c>
      <c r="V45">
        <v>17</v>
      </c>
      <c r="W45">
        <v>16</v>
      </c>
      <c r="X45">
        <v>14</v>
      </c>
      <c r="Y45">
        <v>8</v>
      </c>
      <c r="Z45" s="24">
        <v>9</v>
      </c>
      <c r="AA45">
        <v>16</v>
      </c>
      <c r="AB45">
        <v>11</v>
      </c>
      <c r="AC45">
        <v>21</v>
      </c>
      <c r="AD45">
        <v>17</v>
      </c>
      <c r="AE45">
        <v>15</v>
      </c>
      <c r="AF45">
        <v>17</v>
      </c>
      <c r="AG45">
        <v>16</v>
      </c>
      <c r="AH45">
        <v>21</v>
      </c>
      <c r="AI45">
        <v>12</v>
      </c>
      <c r="AJ45" s="18">
        <v>21</v>
      </c>
      <c r="AK45">
        <v>8</v>
      </c>
      <c r="AL45" s="13" cm="1">
        <f t="array" ref="AL45">SUM(Z45:AJ45)/Table1[Second half]</f>
        <v>16</v>
      </c>
    </row>
    <row r="46" spans="1:38" ht="17" thickBot="1" x14ac:dyDescent="0.25">
      <c r="A46" s="4"/>
      <c r="B46" s="72" t="s">
        <v>49</v>
      </c>
      <c r="C46">
        <v>128</v>
      </c>
      <c r="D46" s="59">
        <v>5.7</v>
      </c>
      <c r="E46" s="4"/>
      <c r="H46" s="4"/>
      <c r="I46" s="4"/>
      <c r="J46" s="81">
        <f>IF(K46&gt;K47,1,0)</f>
        <v>1</v>
      </c>
      <c r="K46" s="9">
        <v>14</v>
      </c>
      <c r="L46" s="25">
        <f t="shared" si="10"/>
        <v>4</v>
      </c>
      <c r="M46" s="4" t="s">
        <v>49</v>
      </c>
      <c r="N46" s="21" cm="1">
        <f t="array" ref="N46">(SUM(O46:AN46))/Table1[Avg]</f>
        <v>18.623966942148762</v>
      </c>
      <c r="O46" s="22">
        <v>16</v>
      </c>
      <c r="P46" s="127">
        <v>21</v>
      </c>
      <c r="Q46" s="16">
        <v>17</v>
      </c>
      <c r="R46" s="16">
        <v>18</v>
      </c>
      <c r="S46" s="16">
        <v>18</v>
      </c>
      <c r="T46" s="16">
        <v>13</v>
      </c>
      <c r="U46" s="16">
        <v>19</v>
      </c>
      <c r="V46" s="16">
        <v>16</v>
      </c>
      <c r="W46" s="16">
        <v>18</v>
      </c>
      <c r="X46" s="16">
        <v>18</v>
      </c>
      <c r="Y46" s="16">
        <v>13</v>
      </c>
      <c r="Z46" s="22">
        <v>16</v>
      </c>
      <c r="AA46" s="16">
        <v>18</v>
      </c>
      <c r="AB46" s="16">
        <v>15</v>
      </c>
      <c r="AC46" s="16">
        <v>21</v>
      </c>
      <c r="AD46" s="16">
        <v>19</v>
      </c>
      <c r="AE46" s="16">
        <v>16</v>
      </c>
      <c r="AF46" s="16">
        <v>21</v>
      </c>
      <c r="AG46" s="16">
        <v>18</v>
      </c>
      <c r="AH46" s="16">
        <v>16</v>
      </c>
      <c r="AI46" s="16">
        <v>21</v>
      </c>
      <c r="AJ46" s="17">
        <v>14</v>
      </c>
      <c r="AK46">
        <v>10</v>
      </c>
      <c r="AL46" s="13" cm="1">
        <f t="array" ref="AL46">SUM(Z46:AJ46)/Table1[Second half]</f>
        <v>17.727272727272727</v>
      </c>
    </row>
    <row r="47" spans="1:38" ht="17" thickBot="1" x14ac:dyDescent="0.25">
      <c r="A47" s="4"/>
      <c r="B47" s="73" t="s">
        <v>50</v>
      </c>
      <c r="C47" s="63">
        <v>31</v>
      </c>
      <c r="D47" s="60">
        <v>5.3</v>
      </c>
      <c r="E47" s="4"/>
      <c r="H47" s="4"/>
      <c r="I47" s="4"/>
      <c r="J47" s="81">
        <f>IF(K47&gt;K46,1,0)</f>
        <v>0</v>
      </c>
      <c r="K47" s="10">
        <v>5</v>
      </c>
      <c r="L47" s="25">
        <f t="shared" si="10"/>
        <v>7</v>
      </c>
      <c r="M47" s="26" t="s">
        <v>50</v>
      </c>
      <c r="N47" s="21" cm="1">
        <f t="array" ref="N47">(SUM(O47:AN47))/Table1[Avg]</f>
        <v>20.181818181818183</v>
      </c>
      <c r="O47" s="23">
        <v>21</v>
      </c>
      <c r="P47" s="129">
        <v>21</v>
      </c>
      <c r="Q47" s="19">
        <v>19</v>
      </c>
      <c r="R47" s="19">
        <v>19</v>
      </c>
      <c r="S47" s="19">
        <v>17</v>
      </c>
      <c r="T47" s="19">
        <v>14</v>
      </c>
      <c r="U47" s="19">
        <v>20</v>
      </c>
      <c r="V47" s="19">
        <v>18</v>
      </c>
      <c r="W47" s="19">
        <v>19</v>
      </c>
      <c r="X47" s="19">
        <v>17</v>
      </c>
      <c r="Y47" s="19">
        <v>21</v>
      </c>
      <c r="Z47" s="23">
        <v>17</v>
      </c>
      <c r="AA47" s="19">
        <v>21</v>
      </c>
      <c r="AB47" s="19">
        <v>21</v>
      </c>
      <c r="AC47" s="19">
        <v>18</v>
      </c>
      <c r="AD47" s="19">
        <v>20</v>
      </c>
      <c r="AE47" s="19">
        <v>17</v>
      </c>
      <c r="AF47" s="19">
        <v>18</v>
      </c>
      <c r="AG47" s="19">
        <v>17</v>
      </c>
      <c r="AH47" s="19">
        <v>18</v>
      </c>
      <c r="AI47" s="19">
        <v>21</v>
      </c>
      <c r="AJ47" s="20">
        <v>21</v>
      </c>
      <c r="AK47">
        <v>10</v>
      </c>
      <c r="AL47" s="13" cm="1">
        <f t="array" ref="AL47">SUM(Z47:AJ47)/Table1[Second half]</f>
        <v>19</v>
      </c>
    </row>
    <row r="48" spans="1:38" x14ac:dyDescent="0.2">
      <c r="B48" s="4"/>
      <c r="D48" s="13"/>
      <c r="E48" s="4"/>
      <c r="H48" s="4"/>
      <c r="I48" s="4"/>
      <c r="J48" s="4"/>
    </row>
    <row r="49" spans="2:36" x14ac:dyDescent="0.2">
      <c r="B49" s="52" t="s">
        <v>3</v>
      </c>
      <c r="C49" s="52" t="s">
        <v>5</v>
      </c>
      <c r="D49" s="13"/>
      <c r="E49" s="13" t="s">
        <v>3</v>
      </c>
      <c r="F49" s="4" t="s">
        <v>5</v>
      </c>
      <c r="I49" s="4"/>
      <c r="J49" s="4"/>
      <c r="M49" s="4" t="s">
        <v>3</v>
      </c>
      <c r="N49" t="s">
        <v>114</v>
      </c>
      <c r="O49" cm="1">
        <f t="array" ref="O49:AJ49">_xlfn.XLOOKUP(N49,M28:M47,O28:AJ47)</f>
        <v>5</v>
      </c>
      <c r="P49">
        <v>11</v>
      </c>
      <c r="Q49">
        <v>4</v>
      </c>
      <c r="R49">
        <v>5</v>
      </c>
      <c r="S49">
        <v>4</v>
      </c>
      <c r="T49">
        <v>1</v>
      </c>
      <c r="U49">
        <v>3</v>
      </c>
      <c r="V49">
        <v>4</v>
      </c>
      <c r="W49">
        <v>6</v>
      </c>
      <c r="X49">
        <v>16</v>
      </c>
      <c r="Y49">
        <v>21</v>
      </c>
      <c r="Z49">
        <v>19</v>
      </c>
      <c r="AA49">
        <v>8</v>
      </c>
      <c r="AB49">
        <v>5</v>
      </c>
      <c r="AC49">
        <v>9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21</v>
      </c>
      <c r="AJ49">
        <v>21</v>
      </c>
    </row>
    <row r="50" spans="2:36" x14ac:dyDescent="0.2">
      <c r="B50" s="64" t="s">
        <v>27</v>
      </c>
      <c r="C50" s="65">
        <f>VLOOKUP(Table4[[#This Row],[Driver]],$Q$3:$W$22,5,FALSE)</f>
        <v>1.5304120340091563</v>
      </c>
      <c r="D50" s="4"/>
      <c r="E50" s="40" t="s">
        <v>23</v>
      </c>
      <c r="F50" s="6">
        <f t="shared" ref="F50:F59" si="11">VLOOKUP(E50,$K$3:$O$12,5,FALSE)</f>
        <v>2.2465492622560683</v>
      </c>
      <c r="I50" s="4"/>
      <c r="J50" s="110" t="s">
        <v>74</v>
      </c>
      <c r="K50" s="2" t="s">
        <v>85</v>
      </c>
      <c r="L50" s="110" t="s">
        <v>75</v>
      </c>
      <c r="M50" s="2" t="s">
        <v>5</v>
      </c>
      <c r="N50" t="s">
        <v>76</v>
      </c>
      <c r="O50" cm="1">
        <f t="array" ref="O50:AJ50">_xlfn.XLOOKUP(N50,M28:M47,O28:AJ47)</f>
        <v>6</v>
      </c>
      <c r="P50">
        <v>4</v>
      </c>
      <c r="Q50">
        <v>6</v>
      </c>
      <c r="R50">
        <v>4</v>
      </c>
      <c r="S50">
        <v>21</v>
      </c>
      <c r="T50">
        <v>4</v>
      </c>
      <c r="U50">
        <v>16</v>
      </c>
      <c r="V50">
        <v>7</v>
      </c>
      <c r="W50">
        <v>8</v>
      </c>
      <c r="X50">
        <v>2</v>
      </c>
      <c r="Y50">
        <v>21</v>
      </c>
      <c r="Z50">
        <v>8</v>
      </c>
      <c r="AA50">
        <v>5</v>
      </c>
      <c r="AB50">
        <v>4</v>
      </c>
      <c r="AC50">
        <v>15</v>
      </c>
      <c r="AD50">
        <v>4</v>
      </c>
      <c r="AE50">
        <v>4</v>
      </c>
      <c r="AF50">
        <v>5</v>
      </c>
      <c r="AG50">
        <v>5</v>
      </c>
      <c r="AH50">
        <v>8</v>
      </c>
      <c r="AI50">
        <v>7</v>
      </c>
      <c r="AJ50">
        <v>10</v>
      </c>
    </row>
    <row r="51" spans="2:36" ht="14" customHeight="1" x14ac:dyDescent="0.2">
      <c r="B51" s="64" t="s">
        <v>16</v>
      </c>
      <c r="C51" s="65">
        <f>VLOOKUP(Table4[[#This Row],[Driver]],$Q$3:$W$22,5,FALSE)</f>
        <v>1.3441811107180759</v>
      </c>
      <c r="E51" s="40" t="s">
        <v>28</v>
      </c>
      <c r="F51" s="6">
        <f t="shared" si="11"/>
        <v>2.2697170379289586</v>
      </c>
    </row>
    <row r="52" spans="2:36" ht="17" customHeight="1" x14ac:dyDescent="0.2">
      <c r="B52" s="64" t="s">
        <v>48</v>
      </c>
      <c r="C52" s="65">
        <f>VLOOKUP(Table4[[#This Row],[Driver]],$Q$3:$W$22,5,FALSE)</f>
        <v>1.2337662337662338</v>
      </c>
      <c r="E52" s="40" t="s">
        <v>18</v>
      </c>
      <c r="F52" s="6">
        <f t="shared" si="11"/>
        <v>1.8967874231032125</v>
      </c>
    </row>
    <row r="53" spans="2:36" x14ac:dyDescent="0.2">
      <c r="B53" s="64" t="s">
        <v>32</v>
      </c>
      <c r="C53" s="65">
        <f>VLOOKUP(Table4[[#This Row],[Driver]],$Q$3:$W$22,5,FALSE)</f>
        <v>1.1855036855036856</v>
      </c>
      <c r="E53" s="40" t="s">
        <v>20</v>
      </c>
      <c r="F53" s="6">
        <f t="shared" si="11"/>
        <v>1.6216216216216217</v>
      </c>
    </row>
    <row r="54" spans="2:36" x14ac:dyDescent="0.2">
      <c r="B54" s="64" t="s">
        <v>22</v>
      </c>
      <c r="C54" s="65">
        <f>VLOOKUP(Table4[[#This Row],[Driver]],$Q$3:$W$22,5,FALSE)</f>
        <v>1.1375921375921376</v>
      </c>
      <c r="E54" s="40" t="s">
        <v>14</v>
      </c>
      <c r="F54" s="6">
        <f t="shared" si="11"/>
        <v>1.3844645920117618</v>
      </c>
    </row>
    <row r="55" spans="2:36" x14ac:dyDescent="0.2">
      <c r="B55" s="64" t="s">
        <v>43</v>
      </c>
      <c r="C55" s="65">
        <f>VLOOKUP(Table4[[#This Row],[Driver]],$Q$3:$W$22,5,FALSE)</f>
        <v>1.1000763941940412</v>
      </c>
      <c r="E55" s="40" t="s">
        <v>38</v>
      </c>
      <c r="F55" s="6">
        <f t="shared" si="11"/>
        <v>1.3492063492063493</v>
      </c>
    </row>
    <row r="56" spans="2:36" x14ac:dyDescent="0.2">
      <c r="B56" s="64" t="s">
        <v>30</v>
      </c>
      <c r="C56" s="65">
        <f>VLOOKUP(Table4[[#This Row],[Driver]],$Q$3:$W$22,5,FALSE)</f>
        <v>1.0640495867768593</v>
      </c>
      <c r="E56" s="40" t="s">
        <v>33</v>
      </c>
      <c r="F56" s="6">
        <f t="shared" si="11"/>
        <v>1.2687312687312686</v>
      </c>
    </row>
    <row r="57" spans="2:36" x14ac:dyDescent="0.2">
      <c r="B57" s="64" t="s">
        <v>13</v>
      </c>
      <c r="C57" s="65">
        <f>VLOOKUP(Table4[[#This Row],[Driver]],$Q$3:$W$22,5,FALSE)</f>
        <v>1.0292898590770934</v>
      </c>
      <c r="E57" s="40" t="s">
        <v>31</v>
      </c>
      <c r="F57" s="6">
        <f t="shared" si="11"/>
        <v>1.2012987012987013</v>
      </c>
    </row>
    <row r="58" spans="2:36" x14ac:dyDescent="0.2">
      <c r="B58" s="64" t="s">
        <v>49</v>
      </c>
      <c r="C58" s="65">
        <f>VLOOKUP(Table4[[#This Row],[Driver]],$Q$3:$W$22,5,FALSE)</f>
        <v>1.0207336523125996</v>
      </c>
      <c r="E58" s="40" t="s">
        <v>40</v>
      </c>
      <c r="F58" s="6">
        <f t="shared" si="11"/>
        <v>1.1549925484351715</v>
      </c>
    </row>
    <row r="59" spans="2:36" ht="17" thickBot="1" x14ac:dyDescent="0.25">
      <c r="B59" s="64" t="s">
        <v>45</v>
      </c>
      <c r="C59" s="65">
        <f>VLOOKUP(Table4[[#This Row],[Driver]],$Q$3:$W$22,5,FALSE)</f>
        <v>0.95355731225296458</v>
      </c>
      <c r="E59" s="41" t="s">
        <v>26</v>
      </c>
      <c r="F59" s="6">
        <f t="shared" si="11"/>
        <v>0.85365853658536595</v>
      </c>
    </row>
    <row r="60" spans="2:36" hidden="1" x14ac:dyDescent="0.2">
      <c r="B60" s="64" t="s">
        <v>17</v>
      </c>
      <c r="C60" s="65">
        <f>VLOOKUP(Table4[[#This Row],[Driver]],$Q$3:$W$22,5,FALSE)</f>
        <v>0.93055013655872032</v>
      </c>
    </row>
    <row r="61" spans="2:36" hidden="1" x14ac:dyDescent="0.2">
      <c r="B61" s="64" t="s">
        <v>25</v>
      </c>
      <c r="C61" s="65">
        <f>VLOOKUP(Table4[[#This Row],[Driver]],$Q$3:$W$22,5,FALSE)</f>
        <v>0.88592935726693689</v>
      </c>
    </row>
    <row r="62" spans="2:36" hidden="1" x14ac:dyDescent="0.2">
      <c r="B62" s="64" t="s">
        <v>42</v>
      </c>
      <c r="C62" s="65">
        <f>VLOOKUP(Table4[[#This Row],[Driver]],$Q$3:$W$22,5,FALSE)</f>
        <v>0.86937334510150044</v>
      </c>
    </row>
    <row r="63" spans="2:36" hidden="1" x14ac:dyDescent="0.2">
      <c r="B63" s="64" t="s">
        <v>46</v>
      </c>
      <c r="C63" s="65">
        <f>VLOOKUP(Table4[[#This Row],[Driver]],$Q$3:$W$22,5,FALSE)</f>
        <v>0.83429228998849247</v>
      </c>
    </row>
    <row r="64" spans="2:36" hidden="1" x14ac:dyDescent="0.2">
      <c r="B64" s="64" t="s">
        <v>41</v>
      </c>
      <c r="C64" s="65">
        <f>VLOOKUP(Table4[[#This Row],[Driver]],$Q$3:$W$22,5,FALSE)</f>
        <v>0.82727272727272727</v>
      </c>
    </row>
    <row r="65" spans="2:3" hidden="1" x14ac:dyDescent="0.2">
      <c r="B65" s="64" t="s">
        <v>39</v>
      </c>
      <c r="C65" s="65">
        <f>VLOOKUP(Table4[[#This Row],[Driver]],$Q$3:$W$22,5,FALSE)</f>
        <v>0.52685950413223137</v>
      </c>
    </row>
    <row r="66" spans="2:3" hidden="1" x14ac:dyDescent="0.2">
      <c r="B66" s="64" t="s">
        <v>47</v>
      </c>
      <c r="C66" s="65">
        <f>VLOOKUP(Table4[[#This Row],[Driver]],$Q$3:$W$22,5,FALSE)</f>
        <v>0.51846590909090906</v>
      </c>
    </row>
    <row r="67" spans="2:3" hidden="1" x14ac:dyDescent="0.2">
      <c r="B67" s="64" t="s">
        <v>37</v>
      </c>
      <c r="C67" s="65">
        <f>VLOOKUP(Table4[[#This Row],[Driver]],$Q$3:$W$22,5,FALSE)</f>
        <v>0.5117399157134257</v>
      </c>
    </row>
    <row r="68" spans="2:3" hidden="1" x14ac:dyDescent="0.2">
      <c r="B68" s="64" t="s">
        <v>44</v>
      </c>
      <c r="C68" s="65">
        <f>VLOOKUP(Table4[[#This Row],[Driver]],$Q$3:$W$22,5,FALSE)</f>
        <v>0.28270509977827057</v>
      </c>
    </row>
    <row r="69" spans="2:3" hidden="1" x14ac:dyDescent="0.2">
      <c r="B69" s="64" t="s">
        <v>50</v>
      </c>
      <c r="C69" s="65">
        <f>VLOOKUP(Table4[[#This Row],[Driver]],$Q$3:$W$22,5,FALSE)</f>
        <v>0.2658662092624357</v>
      </c>
    </row>
  </sheetData>
  <mergeCells count="25">
    <mergeCell ref="U13:W13"/>
    <mergeCell ref="U12:W12"/>
    <mergeCell ref="U11:W11"/>
    <mergeCell ref="U5:W5"/>
    <mergeCell ref="U22:W22"/>
    <mergeCell ref="U21:W21"/>
    <mergeCell ref="U20:W20"/>
    <mergeCell ref="U19:W19"/>
    <mergeCell ref="U18:W18"/>
    <mergeCell ref="C13:D13"/>
    <mergeCell ref="AK2:AL2"/>
    <mergeCell ref="AI2:AJ2"/>
    <mergeCell ref="U17:W17"/>
    <mergeCell ref="U16:W16"/>
    <mergeCell ref="C2:D2"/>
    <mergeCell ref="U9:W9"/>
    <mergeCell ref="U8:W8"/>
    <mergeCell ref="U7:W7"/>
    <mergeCell ref="U6:W6"/>
    <mergeCell ref="U15:W15"/>
    <mergeCell ref="U4:W4"/>
    <mergeCell ref="U3:W3"/>
    <mergeCell ref="U2:W2"/>
    <mergeCell ref="U10:W10"/>
    <mergeCell ref="U14:W14"/>
  </mergeCells>
  <phoneticPr fontId="5" type="noConversion"/>
  <conditionalFormatting sqref="G23:G24 I11 H23">
    <cfRule type="cellIs" dxfId="160" priority="175" operator="lessThan">
      <formula>0</formula>
    </cfRule>
  </conditionalFormatting>
  <conditionalFormatting sqref="O28:AJ47 AN41 AN29 AK40">
    <cfRule type="cellIs" dxfId="159" priority="160" operator="equal">
      <formula>21</formula>
    </cfRule>
  </conditionalFormatting>
  <conditionalFormatting sqref="U3:U22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{53CCAA27-A63C-AF49-ADC6-E9F9130BE0E3}</x14:id>
        </ext>
      </extLst>
    </cfRule>
    <cfRule type="top10" dxfId="158" priority="122" percent="1" rank="40"/>
  </conditionalFormatting>
  <conditionalFormatting sqref="U3:U22">
    <cfRule type="top10" dxfId="157" priority="121" percent="1" rank="25"/>
  </conditionalFormatting>
  <conditionalFormatting sqref="U3:U22">
    <cfRule type="top10" dxfId="156" priority="120" percent="1" rank="10"/>
  </conditionalFormatting>
  <conditionalFormatting sqref="O28:AJ28 O32:AJ32 O36:AJ36 O44:AJ44 O46:AJ46 O30:AJ30 O34:AJ34 O38:AJ38 O42:AJ42 O40:AK40">
    <cfRule type="cellIs" dxfId="155" priority="108" operator="lessThan">
      <formula>O29</formula>
    </cfRule>
  </conditionalFormatting>
  <conditionalFormatting sqref="O33:AJ33 O35:AJ35 O37:AJ37 O39:AJ39 O43:AJ43 O45:AJ45 O47:AJ47 O31:AJ31 O41:AJ41 AN41 O29:AJ29 AN29">
    <cfRule type="cellIs" dxfId="154" priority="107" operator="lessThan">
      <formula>O28</formula>
    </cfRule>
  </conditionalFormatting>
  <conditionalFormatting sqref="AG34">
    <cfRule type="cellIs" dxfId="153" priority="96" operator="lessThan">
      <formula>AG33</formula>
    </cfRule>
  </conditionalFormatting>
  <conditionalFormatting sqref="K28">
    <cfRule type="cellIs" dxfId="152" priority="88" operator="greaterThan">
      <formula>K29</formula>
    </cfRule>
  </conditionalFormatting>
  <conditionalFormatting sqref="K29">
    <cfRule type="cellIs" dxfId="151" priority="87" operator="greaterThan">
      <formula>K28</formula>
    </cfRule>
  </conditionalFormatting>
  <conditionalFormatting sqref="K30">
    <cfRule type="cellIs" dxfId="150" priority="86" operator="greaterThan">
      <formula>K31</formula>
    </cfRule>
  </conditionalFormatting>
  <conditionalFormatting sqref="K32">
    <cfRule type="cellIs" dxfId="149" priority="85" operator="greaterThan">
      <formula>K33</formula>
    </cfRule>
  </conditionalFormatting>
  <conditionalFormatting sqref="K34">
    <cfRule type="cellIs" dxfId="148" priority="84" operator="greaterThan">
      <formula>K35</formula>
    </cfRule>
  </conditionalFormatting>
  <conditionalFormatting sqref="K36">
    <cfRule type="cellIs" dxfId="147" priority="83" operator="greaterThan">
      <formula>K37</formula>
    </cfRule>
  </conditionalFormatting>
  <conditionalFormatting sqref="K38">
    <cfRule type="cellIs" dxfId="146" priority="82" operator="greaterThan">
      <formula>K39</formula>
    </cfRule>
  </conditionalFormatting>
  <conditionalFormatting sqref="K40">
    <cfRule type="cellIs" dxfId="145" priority="81" operator="greaterThan">
      <formula>K41</formula>
    </cfRule>
  </conditionalFormatting>
  <conditionalFormatting sqref="K42">
    <cfRule type="cellIs" dxfId="144" priority="80" operator="greaterThan">
      <formula>K43</formula>
    </cfRule>
  </conditionalFormatting>
  <conditionalFormatting sqref="K44">
    <cfRule type="cellIs" dxfId="143" priority="79" operator="greaterThan">
      <formula>K45</formula>
    </cfRule>
  </conditionalFormatting>
  <conditionalFormatting sqref="K46">
    <cfRule type="cellIs" dxfId="142" priority="78" operator="greaterThan">
      <formula>K47</formula>
    </cfRule>
  </conditionalFormatting>
  <conditionalFormatting sqref="K31">
    <cfRule type="cellIs" dxfId="141" priority="77" operator="greaterThan">
      <formula>K30</formula>
    </cfRule>
  </conditionalFormatting>
  <conditionalFormatting sqref="K33">
    <cfRule type="cellIs" dxfId="140" priority="76" operator="greaterThan">
      <formula>K32</formula>
    </cfRule>
  </conditionalFormatting>
  <conditionalFormatting sqref="K35">
    <cfRule type="cellIs" dxfId="139" priority="75" operator="greaterThan">
      <formula>K34</formula>
    </cfRule>
  </conditionalFormatting>
  <conditionalFormatting sqref="K37">
    <cfRule type="cellIs" dxfId="138" priority="74" operator="greaterThan">
      <formula>K36</formula>
    </cfRule>
  </conditionalFormatting>
  <conditionalFormatting sqref="K39">
    <cfRule type="cellIs" dxfId="137" priority="73" operator="greaterThan">
      <formula>K38</formula>
    </cfRule>
  </conditionalFormatting>
  <conditionalFormatting sqref="K41">
    <cfRule type="cellIs" dxfId="136" priority="72" operator="greaterThan">
      <formula>K40</formula>
    </cfRule>
  </conditionalFormatting>
  <conditionalFormatting sqref="K43">
    <cfRule type="cellIs" dxfId="135" priority="71" operator="greaterThan">
      <formula>K42</formula>
    </cfRule>
  </conditionalFormatting>
  <conditionalFormatting sqref="K45">
    <cfRule type="cellIs" dxfId="134" priority="70" operator="greaterThan">
      <formula>K44</formula>
    </cfRule>
  </conditionalFormatting>
  <conditionalFormatting sqref="K47">
    <cfRule type="cellIs" dxfId="133" priority="69" operator="greaterThan">
      <formula>K46</formula>
    </cfRule>
  </conditionalFormatting>
  <conditionalFormatting sqref="B3:B7">
    <cfRule type="cellIs" dxfId="132" priority="63" operator="equal">
      <formula>2</formula>
    </cfRule>
  </conditionalFormatting>
  <conditionalFormatting sqref="B3:B7">
    <cfRule type="cellIs" dxfId="131" priority="62" operator="equal">
      <formula>3</formula>
    </cfRule>
  </conditionalFormatting>
  <conditionalFormatting sqref="Z3:Z22">
    <cfRule type="cellIs" dxfId="130" priority="59" operator="equal">
      <formula>5</formula>
    </cfRule>
  </conditionalFormatting>
  <conditionalFormatting sqref="Z3:Z22">
    <cfRule type="cellIs" dxfId="129" priority="58" operator="equal">
      <formula>10</formula>
    </cfRule>
  </conditionalFormatting>
  <conditionalFormatting sqref="Z3:Z22">
    <cfRule type="cellIs" dxfId="128" priority="57" operator="equal">
      <formula>15</formula>
    </cfRule>
  </conditionalFormatting>
  <conditionalFormatting sqref="AE3:AE12">
    <cfRule type="cellIs" dxfId="127" priority="56" operator="equal">
      <formula>5</formula>
    </cfRule>
  </conditionalFormatting>
  <conditionalFormatting sqref="AE3:AE12">
    <cfRule type="cellIs" dxfId="126" priority="55" operator="equal">
      <formula>10</formula>
    </cfRule>
  </conditionalFormatting>
  <conditionalFormatting sqref="AE3:AE12">
    <cfRule type="cellIs" dxfId="125" priority="54" operator="equal">
      <formula>15</formula>
    </cfRule>
  </conditionalFormatting>
  <conditionalFormatting sqref="O3:O12">
    <cfRule type="top10" dxfId="124" priority="53" percent="1" rank="30"/>
  </conditionalFormatting>
  <conditionalFormatting sqref="O3:O12">
    <cfRule type="top10" dxfId="123" priority="52" percent="1" rank="20"/>
  </conditionalFormatting>
  <conditionalFormatting sqref="O3:O12">
    <cfRule type="top10" dxfId="122" priority="51" percent="1" rank="10"/>
  </conditionalFormatting>
  <conditionalFormatting sqref="T3:T22 N23">
    <cfRule type="top10" dxfId="121" priority="36" percent="1" rank="25"/>
  </conditionalFormatting>
  <conditionalFormatting sqref="L15:L22">
    <cfRule type="top10" dxfId="120" priority="35" percent="1" rank="60"/>
  </conditionalFormatting>
  <conditionalFormatting sqref="S3:S22">
    <cfRule type="top10" dxfId="119" priority="34" percent="1" rank="25"/>
  </conditionalFormatting>
  <conditionalFormatting sqref="B14:B18">
    <cfRule type="cellIs" dxfId="118" priority="16" operator="equal">
      <formula>3</formula>
    </cfRule>
  </conditionalFormatting>
  <conditionalFormatting sqref="B14:B18">
    <cfRule type="cellIs" dxfId="117" priority="17" operator="equal">
      <formula>2</formula>
    </cfRule>
  </conditionalFormatting>
  <conditionalFormatting sqref="D28:D47 R3:R22">
    <cfRule type="cellIs" dxfId="116" priority="192" operator="lessThan">
      <formula>$I$11</formula>
    </cfRule>
  </conditionalFormatting>
  <conditionalFormatting sqref="L3:L12 H28:I37">
    <cfRule type="cellIs" dxfId="115" priority="194" operator="lessThan">
      <formula>$I$11</formula>
    </cfRule>
  </conditionalFormatting>
  <conditionalFormatting sqref="I22">
    <cfRule type="cellIs" dxfId="114" priority="18" operator="lessThan">
      <formula>0</formula>
    </cfRule>
  </conditionalFormatting>
  <conditionalFormatting sqref="I9">
    <cfRule type="cellIs" dxfId="113" priority="15" operator="greaterThan">
      <formula>$I$20</formula>
    </cfRule>
  </conditionalFormatting>
  <conditionalFormatting sqref="I20">
    <cfRule type="cellIs" dxfId="112" priority="14" operator="greaterThan">
      <formula>$I$9</formula>
    </cfRule>
  </conditionalFormatting>
  <conditionalFormatting sqref="H9">
    <cfRule type="cellIs" dxfId="111" priority="13" operator="greaterThan">
      <formula>$H$20</formula>
    </cfRule>
  </conditionalFormatting>
  <conditionalFormatting sqref="H20">
    <cfRule type="cellIs" dxfId="110" priority="12" operator="greaterThan">
      <formula>$H$9</formula>
    </cfRule>
  </conditionalFormatting>
  <conditionalFormatting sqref="F9">
    <cfRule type="cellIs" dxfId="109" priority="10" operator="lessThan">
      <formula>$F$20</formula>
    </cfRule>
  </conditionalFormatting>
  <conditionalFormatting sqref="F20:G20">
    <cfRule type="cellIs" dxfId="108" priority="9" operator="lessThan">
      <formula>$F$9</formula>
    </cfRule>
  </conditionalFormatting>
  <conditionalFormatting sqref="G9">
    <cfRule type="cellIs" dxfId="107" priority="6" operator="greaterThan">
      <formula>$G$20</formula>
    </cfRule>
  </conditionalFormatting>
  <conditionalFormatting sqref="G20">
    <cfRule type="cellIs" dxfId="106" priority="5" operator="greaterThan">
      <formula>$G$9</formula>
    </cfRule>
  </conditionalFormatting>
  <conditionalFormatting sqref="L28:L4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{26442743-E678-AD43-819A-3706DEDCD3D4}</x14:id>
        </ext>
      </extLst>
    </cfRule>
  </conditionalFormatting>
  <conditionalFormatting sqref="AL28:AL47">
    <cfRule type="cellIs" dxfId="105" priority="3" operator="lessThan">
      <formula>10</formula>
    </cfRule>
  </conditionalFormatting>
  <conditionalFormatting sqref="AK41 AK29">
    <cfRule type="cellIs" dxfId="104" priority="2" operator="equal">
      <formula>21</formula>
    </cfRule>
  </conditionalFormatting>
  <conditionalFormatting sqref="AK41 AK29">
    <cfRule type="cellIs" dxfId="103" priority="1" operator="lessThan">
      <formula>AK28</formula>
    </cfRule>
  </conditionalFormatting>
  <dataValidations count="3">
    <dataValidation type="list" allowBlank="1" showInputMessage="1" showErrorMessage="1" sqref="P14" xr:uid="{A45E1B17-ADF0-B343-98C3-01A933EF827B}">
      <formula1>$K$50:$M$50</formula1>
    </dataValidation>
    <dataValidation type="list" allowBlank="1" showInputMessage="1" showErrorMessage="1" sqref="J14" xr:uid="{4EC398F7-2721-814A-A439-2D695545A9BC}">
      <formula1>$J$50:$M$50</formula1>
    </dataValidation>
    <dataValidation type="list" allowBlank="1" showInputMessage="1" showErrorMessage="1" sqref="AK2:AL2" xr:uid="{804489B3-2ADC-4440-84C3-8FFDA2DC2A12}">
      <formula1>$AN$3:$AO$3</formula1>
    </dataValidation>
  </dataValidations>
  <pageMargins left="0.7" right="0.7" top="0.75" bottom="0.75" header="0.3" footer="0.3"/>
  <pageSetup orientation="portrait" horizontalDpi="300" verticalDpi="300" r:id="rId1"/>
  <ignoredErrors>
    <ignoredError sqref="J29 J31 J33 J35 J37 J39 J41 J43 J45" formula="1"/>
  </ignoredErrors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CCAA27-A63C-AF49-ADC6-E9F9130BE0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U3:U22</xm:sqref>
        </x14:conditionalFormatting>
        <x14:conditionalFormatting xmlns:xm="http://schemas.microsoft.com/office/excel/2006/main">
          <x14:cfRule type="dataBar" id="{26442743-E678-AD43-819A-3706DEDCD3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L28:L47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7A0-7D77-C840-A341-5DABF85C2EAC}">
  <sheetPr codeName="Sheet3"/>
  <dimension ref="B1:BQ44"/>
  <sheetViews>
    <sheetView zoomScale="85" zoomScaleNormal="67" workbookViewId="0">
      <selection activeCell="D4" sqref="D4"/>
    </sheetView>
  </sheetViews>
  <sheetFormatPr baseColWidth="10" defaultRowHeight="16" x14ac:dyDescent="0.2"/>
  <cols>
    <col min="1" max="1" width="10.83203125" style="136"/>
    <col min="2" max="17" width="10.83203125" style="136" customWidth="1"/>
    <col min="18" max="18" width="4.1640625" style="136" customWidth="1"/>
    <col min="19" max="26" width="10.83203125" style="136" customWidth="1"/>
    <col min="27" max="49" width="3.33203125" style="136" customWidth="1"/>
    <col min="50" max="50" width="6.33203125" style="136" bestFit="1" customWidth="1"/>
    <col min="51" max="51" width="3.33203125" style="136" customWidth="1"/>
    <col min="52" max="52" width="5.1640625" style="136" bestFit="1" customWidth="1"/>
    <col min="53" max="62" width="3.33203125" style="136" customWidth="1"/>
    <col min="63" max="66" width="10.83203125" style="136" customWidth="1"/>
    <col min="67" max="68" width="10.83203125" style="136"/>
    <col min="69" max="69" width="13" style="136" customWidth="1"/>
    <col min="70" max="70" width="12" style="136" customWidth="1"/>
    <col min="71" max="72" width="10.83203125" style="136"/>
    <col min="73" max="73" width="11.6640625" style="136" customWidth="1"/>
    <col min="74" max="79" width="10.83203125" style="136"/>
    <col min="80" max="80" width="12.33203125" style="136" bestFit="1" customWidth="1"/>
    <col min="81" max="81" width="5.33203125" style="136" bestFit="1" customWidth="1"/>
    <col min="82" max="82" width="10.5" style="136" bestFit="1" customWidth="1"/>
    <col min="83" max="83" width="5.33203125" style="136" bestFit="1" customWidth="1"/>
    <col min="84" max="16384" width="10.83203125" style="136"/>
  </cols>
  <sheetData>
    <row r="1" spans="2:69" x14ac:dyDescent="0.2">
      <c r="B1" s="138"/>
      <c r="D1" s="138"/>
      <c r="E1" s="138"/>
      <c r="F1" s="138"/>
      <c r="G1" s="138"/>
      <c r="H1" s="138"/>
      <c r="I1" s="137"/>
      <c r="J1" s="137"/>
      <c r="K1" s="137"/>
      <c r="L1" s="138"/>
      <c r="M1" s="138"/>
      <c r="N1" s="137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7"/>
      <c r="AH1" s="140"/>
      <c r="AI1" s="147"/>
      <c r="AJ1" s="137"/>
      <c r="AK1" s="137"/>
      <c r="AP1" s="137"/>
      <c r="AQ1" s="137"/>
      <c r="AS1" s="137"/>
      <c r="AT1" s="137"/>
      <c r="AU1" s="137"/>
      <c r="AV1" s="137"/>
      <c r="AW1" s="137"/>
      <c r="AX1" s="137"/>
    </row>
    <row r="2" spans="2:69" ht="17" thickBot="1" x14ac:dyDescent="0.25">
      <c r="B2" s="199"/>
      <c r="C2" s="340"/>
      <c r="D2" s="340"/>
      <c r="E2" s="340"/>
      <c r="F2" s="336"/>
      <c r="G2" s="336"/>
      <c r="H2" s="336"/>
      <c r="I2" s="337"/>
      <c r="J2" s="338"/>
      <c r="K2" s="338"/>
      <c r="L2" s="339"/>
      <c r="M2" s="339"/>
      <c r="N2" s="339"/>
      <c r="O2" s="339"/>
      <c r="BH2" s="139"/>
    </row>
    <row r="3" spans="2:69" ht="17" thickBot="1" x14ac:dyDescent="0.25">
      <c r="B3" s="203" t="s">
        <v>3</v>
      </c>
      <c r="C3" s="204" t="s">
        <v>136</v>
      </c>
      <c r="D3" s="205" t="s">
        <v>1</v>
      </c>
      <c r="E3" s="201" t="s">
        <v>91</v>
      </c>
      <c r="F3" s="143" t="s">
        <v>6</v>
      </c>
      <c r="G3" s="143" t="s">
        <v>135</v>
      </c>
      <c r="H3" s="143" t="s">
        <v>5</v>
      </c>
      <c r="I3" s="142" t="s">
        <v>130</v>
      </c>
      <c r="J3" s="142" t="s">
        <v>132</v>
      </c>
      <c r="K3" s="142" t="s">
        <v>146</v>
      </c>
      <c r="L3" s="142" t="s">
        <v>95</v>
      </c>
      <c r="M3" s="142" t="s">
        <v>129</v>
      </c>
      <c r="N3" s="142" t="s">
        <v>140</v>
      </c>
      <c r="O3" s="142" t="s">
        <v>131</v>
      </c>
      <c r="P3" s="142" t="s">
        <v>145</v>
      </c>
      <c r="R3" s="145"/>
      <c r="S3" s="150" t="s">
        <v>3</v>
      </c>
      <c r="T3" s="151"/>
      <c r="U3" s="152" t="s">
        <v>94</v>
      </c>
      <c r="V3" s="152" t="s">
        <v>98</v>
      </c>
      <c r="W3" s="153" t="s">
        <v>99</v>
      </c>
      <c r="X3" s="153" t="s">
        <v>80</v>
      </c>
      <c r="Y3" s="152" t="s">
        <v>95</v>
      </c>
      <c r="Z3" s="177" t="s">
        <v>2</v>
      </c>
      <c r="AA3" s="153" t="s">
        <v>55</v>
      </c>
      <c r="AB3" s="153" t="s">
        <v>106</v>
      </c>
      <c r="AC3" s="153" t="s">
        <v>107</v>
      </c>
      <c r="AD3" s="153" t="s">
        <v>108</v>
      </c>
      <c r="AE3" s="153" t="s">
        <v>109</v>
      </c>
      <c r="AF3" s="153" t="s">
        <v>110</v>
      </c>
      <c r="AG3" s="153" t="s">
        <v>59</v>
      </c>
      <c r="AH3" s="153" t="s">
        <v>111</v>
      </c>
      <c r="AI3" s="153" t="s">
        <v>112</v>
      </c>
      <c r="AJ3" s="153" t="s">
        <v>113</v>
      </c>
      <c r="AK3" s="153" t="s">
        <v>63</v>
      </c>
      <c r="AL3" s="153" t="s">
        <v>115</v>
      </c>
      <c r="AM3" s="153" t="s">
        <v>65</v>
      </c>
      <c r="AN3" s="153" t="s">
        <v>116</v>
      </c>
      <c r="AO3" s="153" t="s">
        <v>118</v>
      </c>
      <c r="AP3" s="153" t="s">
        <v>120</v>
      </c>
      <c r="AQ3" s="153" t="s">
        <v>121</v>
      </c>
      <c r="AR3" s="153" t="s">
        <v>122</v>
      </c>
      <c r="AS3" s="153" t="s">
        <v>69</v>
      </c>
      <c r="AT3" s="153" t="s">
        <v>70</v>
      </c>
      <c r="AU3" s="153" t="s">
        <v>123</v>
      </c>
      <c r="AV3" s="153" t="s">
        <v>124</v>
      </c>
      <c r="BQ3" s="141"/>
    </row>
    <row r="4" spans="2:69" ht="17" thickBot="1" x14ac:dyDescent="0.25">
      <c r="B4" s="208" t="s">
        <v>88</v>
      </c>
      <c r="C4" s="209">
        <v>169</v>
      </c>
      <c r="D4" s="210">
        <v>6.2</v>
      </c>
      <c r="E4" s="211"/>
      <c r="F4" s="212">
        <f t="shared" ref="F4:F23" si="0">C4/$Z$4</f>
        <v>8.4499999999999993</v>
      </c>
      <c r="G4" s="212">
        <f t="shared" ref="G4:G23" si="1">E4+F4</f>
        <v>8.4499999999999993</v>
      </c>
      <c r="H4" s="213">
        <f t="shared" ref="H4:H23" si="2">G4/D4</f>
        <v>1.3629032258064515</v>
      </c>
      <c r="I4" s="210">
        <f t="shared" ref="I4:I23" si="3">RANK(D4,$D$4:$D$23)</f>
        <v>15</v>
      </c>
      <c r="J4" s="214">
        <f t="shared" ref="J4:J23" si="4">_xlfn.XLOOKUP(B4,$S$5:$S$44,$Z$5:$Z$44)</f>
        <v>14.62</v>
      </c>
      <c r="K4" s="215">
        <f>_xlfn.XLOOKUP(Drivers[[#This Row],[Driver]],$S$5:$S$44,$X$5:$X$44)</f>
        <v>0</v>
      </c>
      <c r="L4" s="215">
        <f t="shared" ref="L4:L23" si="5">_xlfn.XLOOKUP(B4,$S$5:$S$44,$Y$5:$Y$44)</f>
        <v>4</v>
      </c>
      <c r="M4" s="210">
        <f t="shared" ref="M4:M23" si="6">_xlfn.XLOOKUP(B4,$S$5:$S$44,$R$5:$R$44)</f>
        <v>1</v>
      </c>
      <c r="N4" s="216">
        <f t="shared" ref="N4:N23" si="7">_xlfn.XLOOKUP(B4,$S$5:$S$44,$V$5:$V$44)</f>
        <v>24</v>
      </c>
      <c r="O4" s="214">
        <f t="shared" ref="O4:O23" si="8">N4/$Z$4</f>
        <v>1.2</v>
      </c>
      <c r="P4" s="215" t="s">
        <v>38</v>
      </c>
      <c r="R4" s="145"/>
      <c r="S4" s="150"/>
      <c r="T4" s="151"/>
      <c r="U4" s="152"/>
      <c r="V4" s="152"/>
      <c r="W4" s="153"/>
      <c r="X4" s="153"/>
      <c r="Y4" s="152"/>
      <c r="Z4" s="178">
        <f>SUM(AA4:AV4)</f>
        <v>20</v>
      </c>
      <c r="AA4" s="158">
        <v>1</v>
      </c>
      <c r="AB4" s="158">
        <v>1</v>
      </c>
      <c r="AC4" s="158">
        <v>1</v>
      </c>
      <c r="AD4" s="158">
        <v>1</v>
      </c>
      <c r="AE4" s="158">
        <v>1</v>
      </c>
      <c r="AF4" s="158">
        <v>1</v>
      </c>
      <c r="AG4" s="158">
        <v>1</v>
      </c>
      <c r="AH4" s="158">
        <v>1</v>
      </c>
      <c r="AI4" s="158">
        <v>1</v>
      </c>
      <c r="AJ4" s="158">
        <v>1</v>
      </c>
      <c r="AK4" s="158">
        <v>1</v>
      </c>
      <c r="AL4" s="158">
        <v>1</v>
      </c>
      <c r="AM4" s="158">
        <v>1</v>
      </c>
      <c r="AN4" s="158">
        <v>1</v>
      </c>
      <c r="AO4" s="158">
        <v>1</v>
      </c>
      <c r="AP4" s="158">
        <v>1</v>
      </c>
      <c r="AQ4" s="158">
        <v>1</v>
      </c>
      <c r="AR4" s="158">
        <v>1</v>
      </c>
      <c r="AS4" s="158">
        <v>1</v>
      </c>
      <c r="AT4" s="158">
        <v>1</v>
      </c>
      <c r="AU4" s="158"/>
      <c r="AV4" s="159"/>
      <c r="BQ4" s="141"/>
    </row>
    <row r="5" spans="2:69" x14ac:dyDescent="0.2">
      <c r="B5" s="208" t="s">
        <v>41</v>
      </c>
      <c r="C5" s="209">
        <v>280</v>
      </c>
      <c r="D5" s="210">
        <v>9.9</v>
      </c>
      <c r="E5" s="211"/>
      <c r="F5" s="212">
        <f t="shared" si="0"/>
        <v>14</v>
      </c>
      <c r="G5" s="212">
        <f t="shared" si="1"/>
        <v>14</v>
      </c>
      <c r="H5" s="213">
        <f t="shared" si="2"/>
        <v>1.4141414141414141</v>
      </c>
      <c r="I5" s="210">
        <f t="shared" si="3"/>
        <v>10</v>
      </c>
      <c r="J5" s="214">
        <f t="shared" si="4"/>
        <v>11.824999999999999</v>
      </c>
      <c r="K5" s="215">
        <f>_xlfn.XLOOKUP(Drivers[[#This Row],[Driver]],$S$5:$S$44,$X$5:$X$44)</f>
        <v>0</v>
      </c>
      <c r="L5" s="215">
        <f t="shared" si="5"/>
        <v>5</v>
      </c>
      <c r="M5" s="210">
        <f t="shared" si="6"/>
        <v>0</v>
      </c>
      <c r="N5" s="216">
        <f t="shared" si="7"/>
        <v>-52.999999999999972</v>
      </c>
      <c r="O5" s="214">
        <f t="shared" si="8"/>
        <v>-2.6499999999999986</v>
      </c>
      <c r="P5" s="215" t="s">
        <v>28</v>
      </c>
      <c r="R5" s="185">
        <f>R6</f>
        <v>0</v>
      </c>
      <c r="S5" s="160" t="s">
        <v>119</v>
      </c>
      <c r="T5" s="154" t="s">
        <v>117</v>
      </c>
      <c r="U5" s="388">
        <v>10</v>
      </c>
      <c r="V5" s="189">
        <f>SUM(AA5:AV5)-(SUM(AA6:AV6)-(COUNTIF(AA6:AV6,20.1)*0.1))</f>
        <v>24</v>
      </c>
      <c r="W5" s="346">
        <f>V5/($Z$4-1)</f>
        <v>1.263157894736842</v>
      </c>
      <c r="X5" s="187">
        <f>COUNTIF(AA6:AV6,1)</f>
        <v>0</v>
      </c>
      <c r="Y5" s="192">
        <f>COUNTIF(AA6:AV6,"=20.1")</f>
        <v>1</v>
      </c>
      <c r="Z5" s="179">
        <f t="shared" ref="Z5:Z28" si="9">SUM(AA5:AV5)/$Z$4</f>
        <v>6.95</v>
      </c>
      <c r="AA5" s="163">
        <v>5</v>
      </c>
      <c r="AB5" s="163">
        <v>16</v>
      </c>
      <c r="AC5" s="163">
        <v>5</v>
      </c>
      <c r="AD5" s="163">
        <v>13</v>
      </c>
      <c r="AE5" s="163">
        <v>6</v>
      </c>
      <c r="AF5" s="163">
        <v>6</v>
      </c>
      <c r="AG5" s="163">
        <v>8</v>
      </c>
      <c r="AH5" s="163">
        <v>7</v>
      </c>
      <c r="AI5" s="163">
        <v>4</v>
      </c>
      <c r="AJ5" s="163">
        <v>5</v>
      </c>
      <c r="AK5" s="163">
        <v>9</v>
      </c>
      <c r="AL5" s="163">
        <v>4</v>
      </c>
      <c r="AM5" s="163">
        <v>7</v>
      </c>
      <c r="AN5" s="163">
        <v>4</v>
      </c>
      <c r="AO5" s="163">
        <v>4</v>
      </c>
      <c r="AP5" s="163">
        <v>19</v>
      </c>
      <c r="AQ5" s="163">
        <v>3</v>
      </c>
      <c r="AR5" s="163">
        <v>6</v>
      </c>
      <c r="AS5" s="163">
        <v>3</v>
      </c>
      <c r="AT5" s="163">
        <v>3</v>
      </c>
      <c r="AU5" s="163">
        <v>2</v>
      </c>
      <c r="AV5" s="164"/>
      <c r="AX5" s="224"/>
      <c r="BQ5" s="141"/>
    </row>
    <row r="6" spans="2:69" ht="17" thickBot="1" x14ac:dyDescent="0.25">
      <c r="B6" s="208" t="s">
        <v>17</v>
      </c>
      <c r="C6" s="209">
        <v>210</v>
      </c>
      <c r="D6" s="210">
        <v>8.1</v>
      </c>
      <c r="E6" s="211"/>
      <c r="F6" s="212">
        <f t="shared" si="0"/>
        <v>10.5</v>
      </c>
      <c r="G6" s="212">
        <f t="shared" si="1"/>
        <v>10.5</v>
      </c>
      <c r="H6" s="213">
        <f t="shared" si="2"/>
        <v>1.2962962962962963</v>
      </c>
      <c r="I6" s="210">
        <f t="shared" si="3"/>
        <v>12</v>
      </c>
      <c r="J6" s="214">
        <f t="shared" si="4"/>
        <v>13.129999999999999</v>
      </c>
      <c r="K6" s="215">
        <f>_xlfn.XLOOKUP(Drivers[[#This Row],[Driver]],$S$5:$S$44,$X$5:$X$44)</f>
        <v>0</v>
      </c>
      <c r="L6" s="215">
        <f t="shared" si="5"/>
        <v>6</v>
      </c>
      <c r="M6" s="210">
        <f t="shared" si="6"/>
        <v>1</v>
      </c>
      <c r="N6" s="216">
        <f t="shared" si="7"/>
        <v>-33.999999999999943</v>
      </c>
      <c r="O6" s="214">
        <f t="shared" si="8"/>
        <v>-1.6999999999999971</v>
      </c>
      <c r="P6" s="215" t="s">
        <v>33</v>
      </c>
      <c r="R6" s="185">
        <f>IF(U5&gt;U7,1,0)</f>
        <v>0</v>
      </c>
      <c r="S6" s="161" t="s">
        <v>13</v>
      </c>
      <c r="T6" s="155" t="s">
        <v>93</v>
      </c>
      <c r="U6" s="389"/>
      <c r="V6" s="190">
        <f>V5</f>
        <v>24</v>
      </c>
      <c r="W6" s="347">
        <f>W5</f>
        <v>1.263157894736842</v>
      </c>
      <c r="X6" s="190">
        <f>X5</f>
        <v>0</v>
      </c>
      <c r="Y6" s="193">
        <f>Y5</f>
        <v>1</v>
      </c>
      <c r="Z6" s="180">
        <f t="shared" si="9"/>
        <v>5.7549999999999999</v>
      </c>
      <c r="AA6" s="165">
        <v>3</v>
      </c>
      <c r="AB6" s="165">
        <v>10</v>
      </c>
      <c r="AC6" s="165">
        <v>4</v>
      </c>
      <c r="AD6" s="165">
        <v>13</v>
      </c>
      <c r="AE6" s="165">
        <v>6</v>
      </c>
      <c r="AF6" s="165">
        <v>5</v>
      </c>
      <c r="AG6" s="165">
        <v>8</v>
      </c>
      <c r="AH6" s="165">
        <v>4</v>
      </c>
      <c r="AI6" s="165">
        <v>3</v>
      </c>
      <c r="AJ6" s="165">
        <v>3</v>
      </c>
      <c r="AK6" s="165">
        <v>3</v>
      </c>
      <c r="AL6" s="165">
        <v>2</v>
      </c>
      <c r="AM6" s="165">
        <v>2</v>
      </c>
      <c r="AN6" s="165">
        <v>20.100000000000001</v>
      </c>
      <c r="AO6" s="165">
        <v>4</v>
      </c>
      <c r="AP6" s="165">
        <v>5</v>
      </c>
      <c r="AQ6" s="165">
        <v>9</v>
      </c>
      <c r="AR6" s="165">
        <v>5</v>
      </c>
      <c r="AS6" s="165">
        <v>2</v>
      </c>
      <c r="AT6" s="165">
        <v>2</v>
      </c>
      <c r="AU6" s="165">
        <v>2</v>
      </c>
      <c r="AV6" s="166"/>
      <c r="AX6" s="224"/>
      <c r="AZ6" s="145"/>
      <c r="BQ6" s="141"/>
    </row>
    <row r="7" spans="2:69" x14ac:dyDescent="0.2">
      <c r="B7" s="208" t="s">
        <v>43</v>
      </c>
      <c r="C7" s="209">
        <v>194</v>
      </c>
      <c r="D7" s="210">
        <v>8</v>
      </c>
      <c r="E7" s="211"/>
      <c r="F7" s="212">
        <f t="shared" si="0"/>
        <v>9.6999999999999993</v>
      </c>
      <c r="G7" s="212">
        <f t="shared" si="1"/>
        <v>9.6999999999999993</v>
      </c>
      <c r="H7" s="213">
        <f t="shared" si="2"/>
        <v>1.2124999999999999</v>
      </c>
      <c r="I7" s="210">
        <f t="shared" si="3"/>
        <v>13</v>
      </c>
      <c r="J7" s="214">
        <f t="shared" si="4"/>
        <v>13.265000000000001</v>
      </c>
      <c r="K7" s="215">
        <f>_xlfn.XLOOKUP(Drivers[[#This Row],[Driver]],$S$5:$S$44,$X$5:$X$44)</f>
        <v>0</v>
      </c>
      <c r="L7" s="215">
        <f t="shared" si="5"/>
        <v>3</v>
      </c>
      <c r="M7" s="210">
        <f t="shared" si="6"/>
        <v>1</v>
      </c>
      <c r="N7" s="216">
        <f t="shared" si="7"/>
        <v>-19</v>
      </c>
      <c r="O7" s="214">
        <f t="shared" si="8"/>
        <v>-0.95</v>
      </c>
      <c r="P7" s="215" t="s">
        <v>31</v>
      </c>
      <c r="R7" s="185">
        <f>R8</f>
        <v>1</v>
      </c>
      <c r="S7" s="160" t="s">
        <v>119</v>
      </c>
      <c r="T7" s="154" t="s">
        <v>117</v>
      </c>
      <c r="U7" s="388">
        <v>11</v>
      </c>
      <c r="V7" s="189">
        <f>SUM(AA7:AV7)-(SUM(AA8:AV8)-(COUNTIF(AA8:AV8,20.1)*0.1))</f>
        <v>27</v>
      </c>
      <c r="W7" s="346">
        <f>V7/($Z$4-1)</f>
        <v>1.4210526315789473</v>
      </c>
      <c r="X7" s="187">
        <f>COUNTIF(AA8:AV8,1)</f>
        <v>1</v>
      </c>
      <c r="Y7" s="192">
        <f>COUNTIF(AA8:AV8,"=20.1")</f>
        <v>1</v>
      </c>
      <c r="Z7" s="179">
        <f t="shared" si="9"/>
        <v>6.7</v>
      </c>
      <c r="AA7" s="163">
        <v>9</v>
      </c>
      <c r="AB7" s="163">
        <v>6</v>
      </c>
      <c r="AC7" s="163">
        <v>6</v>
      </c>
      <c r="AD7" s="163">
        <v>11</v>
      </c>
      <c r="AE7" s="163">
        <v>12</v>
      </c>
      <c r="AF7" s="163">
        <v>4</v>
      </c>
      <c r="AG7" s="163">
        <v>6</v>
      </c>
      <c r="AH7" s="163">
        <v>5</v>
      </c>
      <c r="AI7" s="163">
        <v>8</v>
      </c>
      <c r="AJ7" s="163">
        <v>8</v>
      </c>
      <c r="AK7" s="163">
        <v>4</v>
      </c>
      <c r="AL7" s="163">
        <v>6</v>
      </c>
      <c r="AM7" s="163">
        <v>1</v>
      </c>
      <c r="AN7" s="163">
        <v>5</v>
      </c>
      <c r="AO7" s="163">
        <v>6</v>
      </c>
      <c r="AP7" s="163">
        <v>2</v>
      </c>
      <c r="AQ7" s="163">
        <v>20</v>
      </c>
      <c r="AR7" s="163">
        <v>8</v>
      </c>
      <c r="AS7" s="163">
        <v>4</v>
      </c>
      <c r="AT7" s="163">
        <v>2</v>
      </c>
      <c r="AU7" s="163">
        <v>1</v>
      </c>
      <c r="AV7" s="164"/>
      <c r="BQ7" s="141"/>
    </row>
    <row r="8" spans="2:69" ht="17" thickBot="1" x14ac:dyDescent="0.25">
      <c r="B8" s="208" t="s">
        <v>13</v>
      </c>
      <c r="C8" s="209">
        <v>579</v>
      </c>
      <c r="D8" s="210">
        <v>22.6</v>
      </c>
      <c r="E8" s="211"/>
      <c r="F8" s="212">
        <f t="shared" si="0"/>
        <v>28.95</v>
      </c>
      <c r="G8" s="212">
        <f t="shared" si="1"/>
        <v>28.95</v>
      </c>
      <c r="H8" s="213">
        <f t="shared" si="2"/>
        <v>1.2809734513274336</v>
      </c>
      <c r="I8" s="210">
        <f t="shared" si="3"/>
        <v>5</v>
      </c>
      <c r="J8" s="214">
        <f t="shared" si="4"/>
        <v>5.7549999999999999</v>
      </c>
      <c r="K8" s="215">
        <f>_xlfn.XLOOKUP(Drivers[[#This Row],[Driver]],$S$5:$S$44,$X$5:$X$44)</f>
        <v>0</v>
      </c>
      <c r="L8" s="215">
        <f t="shared" si="5"/>
        <v>1</v>
      </c>
      <c r="M8" s="210">
        <f t="shared" si="6"/>
        <v>0</v>
      </c>
      <c r="N8" s="216">
        <f t="shared" si="7"/>
        <v>24</v>
      </c>
      <c r="O8" s="214">
        <f t="shared" si="8"/>
        <v>1.2</v>
      </c>
      <c r="P8" s="215" t="s">
        <v>14</v>
      </c>
      <c r="R8" s="185">
        <f>IF(U7&gt;U5,1,0)</f>
        <v>1</v>
      </c>
      <c r="S8" s="161" t="s">
        <v>48</v>
      </c>
      <c r="T8" s="155" t="s">
        <v>93</v>
      </c>
      <c r="U8" s="389"/>
      <c r="V8" s="190">
        <f>V7</f>
        <v>27</v>
      </c>
      <c r="W8" s="347">
        <f>W7</f>
        <v>1.4210526315789473</v>
      </c>
      <c r="X8" s="190">
        <f>X7</f>
        <v>1</v>
      </c>
      <c r="Y8" s="193">
        <f>Y7</f>
        <v>1</v>
      </c>
      <c r="Z8" s="180">
        <f t="shared" si="9"/>
        <v>5.3549999999999995</v>
      </c>
      <c r="AA8" s="165">
        <v>4</v>
      </c>
      <c r="AB8" s="165">
        <v>5</v>
      </c>
      <c r="AC8" s="165">
        <v>3</v>
      </c>
      <c r="AD8" s="165">
        <v>4</v>
      </c>
      <c r="AE8" s="165">
        <v>5</v>
      </c>
      <c r="AF8" s="165">
        <v>3</v>
      </c>
      <c r="AG8" s="165">
        <v>5</v>
      </c>
      <c r="AH8" s="165">
        <v>3</v>
      </c>
      <c r="AI8" s="165">
        <v>4</v>
      </c>
      <c r="AJ8" s="165">
        <v>20.100000000000001</v>
      </c>
      <c r="AK8" s="165">
        <v>4</v>
      </c>
      <c r="AL8" s="165">
        <v>3</v>
      </c>
      <c r="AM8" s="165">
        <v>3</v>
      </c>
      <c r="AN8" s="165">
        <v>4</v>
      </c>
      <c r="AO8" s="165">
        <v>2</v>
      </c>
      <c r="AP8" s="165">
        <v>3</v>
      </c>
      <c r="AQ8" s="165">
        <v>14</v>
      </c>
      <c r="AR8" s="165">
        <v>8</v>
      </c>
      <c r="AS8" s="165">
        <v>5</v>
      </c>
      <c r="AT8" s="165">
        <v>4</v>
      </c>
      <c r="AU8" s="165">
        <v>1</v>
      </c>
      <c r="AV8" s="166"/>
      <c r="BQ8" s="141"/>
    </row>
    <row r="9" spans="2:69" x14ac:dyDescent="0.2">
      <c r="B9" s="208" t="s">
        <v>47</v>
      </c>
      <c r="C9" s="209">
        <v>109</v>
      </c>
      <c r="D9" s="210">
        <v>4.3</v>
      </c>
      <c r="E9" s="211"/>
      <c r="F9" s="212">
        <f t="shared" si="0"/>
        <v>5.45</v>
      </c>
      <c r="G9" s="212">
        <f t="shared" si="1"/>
        <v>5.45</v>
      </c>
      <c r="H9" s="213">
        <f t="shared" si="2"/>
        <v>1.2674418604651163</v>
      </c>
      <c r="I9" s="210">
        <f t="shared" si="3"/>
        <v>18</v>
      </c>
      <c r="J9" s="214">
        <f t="shared" si="4"/>
        <v>17.32</v>
      </c>
      <c r="K9" s="215">
        <f>_xlfn.XLOOKUP(Drivers[[#This Row],[Driver]],$S$5:$S$44,$X$5:$X$44)</f>
        <v>0</v>
      </c>
      <c r="L9" s="215">
        <f t="shared" si="5"/>
        <v>4</v>
      </c>
      <c r="M9" s="210">
        <f t="shared" si="6"/>
        <v>0</v>
      </c>
      <c r="N9" s="216">
        <f t="shared" si="7"/>
        <v>29</v>
      </c>
      <c r="O9" s="214">
        <f t="shared" si="8"/>
        <v>1.45</v>
      </c>
      <c r="P9" s="215" t="s">
        <v>38</v>
      </c>
      <c r="R9" s="185">
        <f>R10</f>
        <v>1</v>
      </c>
      <c r="S9" s="197" t="s">
        <v>119</v>
      </c>
      <c r="T9" s="156" t="s">
        <v>117</v>
      </c>
      <c r="U9" s="386">
        <v>15</v>
      </c>
      <c r="V9" s="189">
        <f>SUM(AA9:AV9)-(SUM(AA10:AV10)-(COUNTIF(AA10:AV10,20.1)*0.1))</f>
        <v>-5</v>
      </c>
      <c r="W9" s="348">
        <f>V9/($Z$4-1)</f>
        <v>-0.26315789473684209</v>
      </c>
      <c r="X9" s="186">
        <f t="shared" ref="X9" si="10">COUNTIF(AA10:AV10,1)</f>
        <v>14</v>
      </c>
      <c r="Y9" s="194">
        <f>COUNTIF(AA10:AV10,"=20.1")</f>
        <v>2</v>
      </c>
      <c r="Z9" s="181">
        <f t="shared" si="9"/>
        <v>3.7</v>
      </c>
      <c r="AA9" s="167">
        <v>2</v>
      </c>
      <c r="AB9" s="167">
        <v>4</v>
      </c>
      <c r="AC9" s="167">
        <v>2</v>
      </c>
      <c r="AD9" s="167">
        <v>1</v>
      </c>
      <c r="AE9" s="167">
        <v>3</v>
      </c>
      <c r="AF9" s="167">
        <v>2</v>
      </c>
      <c r="AG9" s="167">
        <v>4</v>
      </c>
      <c r="AH9" s="167">
        <v>2</v>
      </c>
      <c r="AI9" s="167">
        <v>1</v>
      </c>
      <c r="AJ9" s="167">
        <v>2</v>
      </c>
      <c r="AK9" s="167">
        <v>1</v>
      </c>
      <c r="AL9" s="167">
        <v>2</v>
      </c>
      <c r="AM9" s="167">
        <v>10</v>
      </c>
      <c r="AN9" s="167">
        <v>15</v>
      </c>
      <c r="AO9" s="167">
        <v>1</v>
      </c>
      <c r="AP9" s="167">
        <v>7</v>
      </c>
      <c r="AQ9" s="167">
        <v>8</v>
      </c>
      <c r="AR9" s="167">
        <v>1</v>
      </c>
      <c r="AS9" s="167">
        <v>2</v>
      </c>
      <c r="AT9" s="167">
        <v>1</v>
      </c>
      <c r="AU9" s="167">
        <v>3</v>
      </c>
      <c r="AV9" s="168"/>
      <c r="BQ9" s="141"/>
    </row>
    <row r="10" spans="2:69" ht="17" thickBot="1" x14ac:dyDescent="0.25">
      <c r="B10" s="208" t="s">
        <v>76</v>
      </c>
      <c r="C10" s="209">
        <v>620</v>
      </c>
      <c r="D10" s="210">
        <v>24.5</v>
      </c>
      <c r="E10" s="211">
        <v>10</v>
      </c>
      <c r="F10" s="212">
        <f t="shared" si="0"/>
        <v>31</v>
      </c>
      <c r="G10" s="212">
        <f t="shared" si="1"/>
        <v>41</v>
      </c>
      <c r="H10" s="213">
        <f t="shared" si="2"/>
        <v>1.6734693877551021</v>
      </c>
      <c r="I10" s="210">
        <f t="shared" si="3"/>
        <v>2</v>
      </c>
      <c r="J10" s="214">
        <f t="shared" si="4"/>
        <v>6.0650000000000004</v>
      </c>
      <c r="K10" s="215">
        <f>_xlfn.XLOOKUP(Drivers[[#This Row],[Driver]],$S$5:$S$44,$X$5:$X$44)</f>
        <v>3</v>
      </c>
      <c r="L10" s="215">
        <f t="shared" si="5"/>
        <v>3</v>
      </c>
      <c r="M10" s="210">
        <f t="shared" si="6"/>
        <v>1</v>
      </c>
      <c r="N10" s="216">
        <f t="shared" si="7"/>
        <v>-37.000000000000014</v>
      </c>
      <c r="O10" s="214">
        <f t="shared" si="8"/>
        <v>-1.8500000000000008</v>
      </c>
      <c r="P10" s="215" t="s">
        <v>23</v>
      </c>
      <c r="R10" s="185">
        <f>IF(U9&gt;U11,1,0)</f>
        <v>1</v>
      </c>
      <c r="S10" s="162" t="s">
        <v>16</v>
      </c>
      <c r="T10" s="157" t="s">
        <v>93</v>
      </c>
      <c r="U10" s="387"/>
      <c r="V10" s="191">
        <f>V9</f>
        <v>-5</v>
      </c>
      <c r="W10" s="349">
        <f>W9</f>
        <v>-0.26315789473684209</v>
      </c>
      <c r="X10" s="191">
        <f t="shared" ref="X10" si="11">X9</f>
        <v>14</v>
      </c>
      <c r="Y10" s="195">
        <f>Y9</f>
        <v>2</v>
      </c>
      <c r="Z10" s="182">
        <f t="shared" si="9"/>
        <v>3.96</v>
      </c>
      <c r="AA10" s="169">
        <v>20.100000000000001</v>
      </c>
      <c r="AB10" s="169">
        <v>1</v>
      </c>
      <c r="AC10" s="169">
        <v>20.100000000000001</v>
      </c>
      <c r="AD10" s="169">
        <v>1</v>
      </c>
      <c r="AE10" s="169">
        <v>1</v>
      </c>
      <c r="AF10" s="169">
        <v>1</v>
      </c>
      <c r="AG10" s="169">
        <v>3</v>
      </c>
      <c r="AH10" s="169">
        <v>1</v>
      </c>
      <c r="AI10" s="169">
        <v>1</v>
      </c>
      <c r="AJ10" s="169">
        <v>7</v>
      </c>
      <c r="AK10" s="169">
        <v>2</v>
      </c>
      <c r="AL10" s="169">
        <v>1</v>
      </c>
      <c r="AM10" s="169">
        <v>1</v>
      </c>
      <c r="AN10" s="169">
        <v>1</v>
      </c>
      <c r="AO10" s="169">
        <v>1</v>
      </c>
      <c r="AP10" s="169">
        <v>1</v>
      </c>
      <c r="AQ10" s="169">
        <v>7</v>
      </c>
      <c r="AR10" s="169">
        <v>1</v>
      </c>
      <c r="AS10" s="169">
        <v>1</v>
      </c>
      <c r="AT10" s="169">
        <v>1</v>
      </c>
      <c r="AU10" s="169">
        <v>6</v>
      </c>
      <c r="AV10" s="170"/>
      <c r="BQ10" s="141"/>
    </row>
    <row r="11" spans="2:69" x14ac:dyDescent="0.2">
      <c r="B11" s="208" t="s">
        <v>104</v>
      </c>
      <c r="C11" s="209">
        <v>158</v>
      </c>
      <c r="D11" s="210">
        <v>6.4</v>
      </c>
      <c r="E11" s="211"/>
      <c r="F11" s="212">
        <f t="shared" si="0"/>
        <v>7.9</v>
      </c>
      <c r="G11" s="212">
        <f t="shared" si="1"/>
        <v>7.9</v>
      </c>
      <c r="H11" s="213">
        <f t="shared" si="2"/>
        <v>1.234375</v>
      </c>
      <c r="I11" s="210">
        <f t="shared" si="3"/>
        <v>14</v>
      </c>
      <c r="J11" s="214">
        <f t="shared" si="4"/>
        <v>14.969999999999999</v>
      </c>
      <c r="K11" s="215">
        <f>_xlfn.XLOOKUP(Drivers[[#This Row],[Driver]],$S$5:$S$44,$X$5:$X$44)</f>
        <v>0</v>
      </c>
      <c r="L11" s="215">
        <f t="shared" si="5"/>
        <v>4</v>
      </c>
      <c r="M11" s="210">
        <f t="shared" si="6"/>
        <v>0</v>
      </c>
      <c r="N11" s="216">
        <f t="shared" si="7"/>
        <v>-40</v>
      </c>
      <c r="O11" s="214">
        <f t="shared" si="8"/>
        <v>-2</v>
      </c>
      <c r="P11" s="215" t="s">
        <v>40</v>
      </c>
      <c r="R11" s="185">
        <f>R12</f>
        <v>0</v>
      </c>
      <c r="S11" s="197" t="s">
        <v>119</v>
      </c>
      <c r="T11" s="156" t="s">
        <v>117</v>
      </c>
      <c r="U11" s="386">
        <v>5</v>
      </c>
      <c r="V11" s="189">
        <f>SUM(AA11:AV11)-(SUM(AA12:AV12)-(COUNTIF(AA12:AV12,20.1)*0.1))</f>
        <v>-1.0000000000000142</v>
      </c>
      <c r="W11" s="348">
        <f>V11/($Z$4-1)</f>
        <v>-5.2631578947369168E-2</v>
      </c>
      <c r="X11" s="186">
        <f t="shared" ref="X11" si="12">COUNTIF(AA12:AV12,1)</f>
        <v>2</v>
      </c>
      <c r="Y11" s="194">
        <f>COUNTIF(AA12:AV12,"=20.1")</f>
        <v>3</v>
      </c>
      <c r="Z11" s="181">
        <f t="shared" si="9"/>
        <v>5.85</v>
      </c>
      <c r="AA11" s="167">
        <v>4</v>
      </c>
      <c r="AB11" s="167">
        <v>1</v>
      </c>
      <c r="AC11" s="167">
        <v>3</v>
      </c>
      <c r="AD11" s="167">
        <v>7</v>
      </c>
      <c r="AE11" s="167">
        <v>4</v>
      </c>
      <c r="AF11" s="167">
        <v>5</v>
      </c>
      <c r="AG11" s="167">
        <v>3</v>
      </c>
      <c r="AH11" s="167">
        <v>3</v>
      </c>
      <c r="AI11" s="167">
        <v>13</v>
      </c>
      <c r="AJ11" s="167">
        <v>4</v>
      </c>
      <c r="AK11" s="167">
        <v>13</v>
      </c>
      <c r="AL11" s="167">
        <v>3</v>
      </c>
      <c r="AM11" s="167">
        <v>11</v>
      </c>
      <c r="AN11" s="167">
        <v>2</v>
      </c>
      <c r="AO11" s="167">
        <v>5</v>
      </c>
      <c r="AP11" s="167">
        <v>13</v>
      </c>
      <c r="AQ11" s="167">
        <v>2</v>
      </c>
      <c r="AR11" s="167">
        <v>4</v>
      </c>
      <c r="AS11" s="167">
        <v>9</v>
      </c>
      <c r="AT11" s="167">
        <v>4</v>
      </c>
      <c r="AU11" s="167">
        <v>4</v>
      </c>
      <c r="AV11" s="168"/>
      <c r="BQ11" s="141"/>
    </row>
    <row r="12" spans="2:69" ht="17" thickBot="1" x14ac:dyDescent="0.25">
      <c r="B12" s="208" t="s">
        <v>27</v>
      </c>
      <c r="C12" s="209">
        <v>370</v>
      </c>
      <c r="D12" s="210">
        <v>14.8</v>
      </c>
      <c r="E12" s="211"/>
      <c r="F12" s="212">
        <f t="shared" si="0"/>
        <v>18.5</v>
      </c>
      <c r="G12" s="212">
        <f t="shared" si="1"/>
        <v>18.5</v>
      </c>
      <c r="H12" s="213">
        <f t="shared" si="2"/>
        <v>1.25</v>
      </c>
      <c r="I12" s="210">
        <f t="shared" si="3"/>
        <v>7</v>
      </c>
      <c r="J12" s="214">
        <f t="shared" si="4"/>
        <v>9.51</v>
      </c>
      <c r="K12" s="215">
        <f>_xlfn.XLOOKUP(Drivers[[#This Row],[Driver]],$S$5:$S$44,$X$5:$X$44)</f>
        <v>0</v>
      </c>
      <c r="L12" s="215">
        <f t="shared" si="5"/>
        <v>2</v>
      </c>
      <c r="M12" s="210">
        <f t="shared" si="6"/>
        <v>1</v>
      </c>
      <c r="N12" s="216">
        <f t="shared" si="7"/>
        <v>-17</v>
      </c>
      <c r="O12" s="214">
        <f t="shared" si="8"/>
        <v>-0.85</v>
      </c>
      <c r="P12" s="215" t="s">
        <v>20</v>
      </c>
      <c r="R12" s="185">
        <f>IF(U11&gt;U9,1,0)</f>
        <v>0</v>
      </c>
      <c r="S12" s="162" t="s">
        <v>22</v>
      </c>
      <c r="T12" s="157" t="s">
        <v>93</v>
      </c>
      <c r="U12" s="387"/>
      <c r="V12" s="191">
        <f>V11</f>
        <v>-1.0000000000000142</v>
      </c>
      <c r="W12" s="349">
        <f>W11</f>
        <v>-5.2631578947369168E-2</v>
      </c>
      <c r="X12" s="191">
        <f t="shared" ref="X12" si="13">X11</f>
        <v>2</v>
      </c>
      <c r="Y12" s="195">
        <f>Y11</f>
        <v>3</v>
      </c>
      <c r="Z12" s="182">
        <f t="shared" si="9"/>
        <v>5.9150000000000009</v>
      </c>
      <c r="AA12" s="169">
        <v>20.100000000000001</v>
      </c>
      <c r="AB12" s="169">
        <v>4</v>
      </c>
      <c r="AC12" s="169">
        <v>2</v>
      </c>
      <c r="AD12" s="169">
        <v>2</v>
      </c>
      <c r="AE12" s="169">
        <v>4</v>
      </c>
      <c r="AF12" s="169">
        <v>2</v>
      </c>
      <c r="AG12" s="169">
        <v>1</v>
      </c>
      <c r="AH12" s="169">
        <v>2</v>
      </c>
      <c r="AI12" s="169">
        <v>20.100000000000001</v>
      </c>
      <c r="AJ12" s="169">
        <v>2</v>
      </c>
      <c r="AK12" s="169">
        <v>20.100000000000001</v>
      </c>
      <c r="AL12" s="169">
        <v>4</v>
      </c>
      <c r="AM12" s="169">
        <v>5</v>
      </c>
      <c r="AN12" s="169">
        <v>2</v>
      </c>
      <c r="AO12" s="169">
        <v>5</v>
      </c>
      <c r="AP12" s="169">
        <v>6</v>
      </c>
      <c r="AQ12" s="169">
        <v>1</v>
      </c>
      <c r="AR12" s="169">
        <v>2</v>
      </c>
      <c r="AS12" s="169">
        <v>4</v>
      </c>
      <c r="AT12" s="169">
        <v>3</v>
      </c>
      <c r="AU12" s="169">
        <v>7</v>
      </c>
      <c r="AV12" s="170"/>
      <c r="BQ12" s="141"/>
    </row>
    <row r="13" spans="2:69" x14ac:dyDescent="0.2">
      <c r="B13" s="208" t="s">
        <v>42</v>
      </c>
      <c r="C13" s="209">
        <v>309</v>
      </c>
      <c r="D13" s="210">
        <v>12.3</v>
      </c>
      <c r="E13" s="211"/>
      <c r="F13" s="212">
        <f t="shared" si="0"/>
        <v>15.45</v>
      </c>
      <c r="G13" s="212">
        <f t="shared" si="1"/>
        <v>15.45</v>
      </c>
      <c r="H13" s="213">
        <f t="shared" si="2"/>
        <v>1.2560975609756095</v>
      </c>
      <c r="I13" s="210">
        <f t="shared" si="3"/>
        <v>8</v>
      </c>
      <c r="J13" s="214">
        <f t="shared" si="4"/>
        <v>9.8099999999999987</v>
      </c>
      <c r="K13" s="215">
        <f>_xlfn.XLOOKUP(Drivers[[#This Row],[Driver]],$S$5:$S$44,$X$5:$X$44)</f>
        <v>0</v>
      </c>
      <c r="L13" s="215">
        <f t="shared" si="5"/>
        <v>2</v>
      </c>
      <c r="M13" s="210">
        <f t="shared" si="6"/>
        <v>1</v>
      </c>
      <c r="N13" s="216">
        <f t="shared" si="7"/>
        <v>55</v>
      </c>
      <c r="O13" s="214">
        <f t="shared" si="8"/>
        <v>2.75</v>
      </c>
      <c r="P13" s="215" t="s">
        <v>28</v>
      </c>
      <c r="R13" s="185">
        <f>R14</f>
        <v>1</v>
      </c>
      <c r="S13" s="160" t="s">
        <v>119</v>
      </c>
      <c r="T13" s="154" t="s">
        <v>117</v>
      </c>
      <c r="U13" s="388">
        <v>15</v>
      </c>
      <c r="V13" s="189">
        <f>SUM(AA13:AV13)-(SUM(AA14:AV14)-(COUNTIF(AA14:AV14,20.1)*0.1))</f>
        <v>-17</v>
      </c>
      <c r="W13" s="346">
        <f>V13/($Z$4-1)</f>
        <v>-0.89473684210526316</v>
      </c>
      <c r="X13" s="187">
        <f t="shared" ref="X13" si="14">COUNTIF(AA14:AV14,1)</f>
        <v>0</v>
      </c>
      <c r="Y13" s="192">
        <f>COUNTIF(AA14:AV14,"=20.1")</f>
        <v>2</v>
      </c>
      <c r="Z13" s="183">
        <f t="shared" si="9"/>
        <v>8.65</v>
      </c>
      <c r="AA13" s="163">
        <v>13</v>
      </c>
      <c r="AB13" s="163">
        <v>11</v>
      </c>
      <c r="AC13" s="163">
        <v>4</v>
      </c>
      <c r="AD13" s="163">
        <v>3</v>
      </c>
      <c r="AE13" s="163">
        <v>8</v>
      </c>
      <c r="AF13" s="163">
        <v>11</v>
      </c>
      <c r="AG13" s="163">
        <v>5</v>
      </c>
      <c r="AH13" s="163">
        <v>11</v>
      </c>
      <c r="AI13" s="163">
        <v>14</v>
      </c>
      <c r="AJ13" s="163">
        <v>6</v>
      </c>
      <c r="AK13" s="163">
        <v>15</v>
      </c>
      <c r="AL13" s="163">
        <v>5</v>
      </c>
      <c r="AM13" s="163">
        <v>4</v>
      </c>
      <c r="AN13" s="163">
        <v>18</v>
      </c>
      <c r="AO13" s="163">
        <v>7</v>
      </c>
      <c r="AP13" s="163">
        <v>3</v>
      </c>
      <c r="AQ13" s="163">
        <v>6</v>
      </c>
      <c r="AR13" s="163">
        <v>10</v>
      </c>
      <c r="AS13" s="163">
        <v>5</v>
      </c>
      <c r="AT13" s="163">
        <v>8</v>
      </c>
      <c r="AU13" s="163">
        <v>6</v>
      </c>
      <c r="AV13" s="164"/>
      <c r="BQ13" s="141"/>
    </row>
    <row r="14" spans="2:69" ht="17" thickBot="1" x14ac:dyDescent="0.25">
      <c r="B14" s="208" t="s">
        <v>22</v>
      </c>
      <c r="C14" s="209">
        <v>588</v>
      </c>
      <c r="D14" s="210">
        <v>23.2</v>
      </c>
      <c r="E14" s="211"/>
      <c r="F14" s="212">
        <f t="shared" si="0"/>
        <v>29.4</v>
      </c>
      <c r="G14" s="212">
        <f t="shared" si="1"/>
        <v>29.4</v>
      </c>
      <c r="H14" s="213">
        <f t="shared" si="2"/>
        <v>1.2672413793103448</v>
      </c>
      <c r="I14" s="210">
        <f t="shared" si="3"/>
        <v>4</v>
      </c>
      <c r="J14" s="214">
        <f t="shared" si="4"/>
        <v>5.9150000000000009</v>
      </c>
      <c r="K14" s="215">
        <f>_xlfn.XLOOKUP(Drivers[[#This Row],[Driver]],$S$5:$S$44,$X$5:$X$44)</f>
        <v>2</v>
      </c>
      <c r="L14" s="215">
        <f t="shared" si="5"/>
        <v>3</v>
      </c>
      <c r="M14" s="210">
        <f t="shared" si="6"/>
        <v>0</v>
      </c>
      <c r="N14" s="216">
        <f t="shared" si="7"/>
        <v>-1.0000000000000142</v>
      </c>
      <c r="O14" s="214">
        <f t="shared" si="8"/>
        <v>-5.0000000000000711E-2</v>
      </c>
      <c r="P14" s="215" t="s">
        <v>18</v>
      </c>
      <c r="R14" s="185">
        <f>IF(U13&gt;U15,1,0)</f>
        <v>1</v>
      </c>
      <c r="S14" s="161" t="s">
        <v>27</v>
      </c>
      <c r="T14" s="155" t="s">
        <v>93</v>
      </c>
      <c r="U14" s="389"/>
      <c r="V14" s="190">
        <f>V13</f>
        <v>-17</v>
      </c>
      <c r="W14" s="347">
        <f>W13</f>
        <v>-0.89473684210526316</v>
      </c>
      <c r="X14" s="190">
        <f t="shared" ref="X14" si="15">X13</f>
        <v>0</v>
      </c>
      <c r="Y14" s="193">
        <f>Y13</f>
        <v>2</v>
      </c>
      <c r="Z14" s="180">
        <f t="shared" si="9"/>
        <v>9.51</v>
      </c>
      <c r="AA14" s="165">
        <v>15</v>
      </c>
      <c r="AB14" s="165">
        <v>7</v>
      </c>
      <c r="AC14" s="165">
        <v>5</v>
      </c>
      <c r="AD14" s="165">
        <v>3</v>
      </c>
      <c r="AE14" s="165">
        <v>20.100000000000001</v>
      </c>
      <c r="AF14" s="165">
        <v>8</v>
      </c>
      <c r="AG14" s="165">
        <v>6</v>
      </c>
      <c r="AH14" s="165">
        <v>9</v>
      </c>
      <c r="AI14" s="165">
        <v>15</v>
      </c>
      <c r="AJ14" s="165">
        <v>6</v>
      </c>
      <c r="AK14" s="165">
        <v>7</v>
      </c>
      <c r="AL14" s="165">
        <v>7</v>
      </c>
      <c r="AM14" s="165">
        <v>7</v>
      </c>
      <c r="AN14" s="165">
        <v>12</v>
      </c>
      <c r="AO14" s="165">
        <v>7</v>
      </c>
      <c r="AP14" s="165">
        <v>7</v>
      </c>
      <c r="AQ14" s="165">
        <v>4</v>
      </c>
      <c r="AR14" s="165">
        <v>10</v>
      </c>
      <c r="AS14" s="165">
        <v>6</v>
      </c>
      <c r="AT14" s="165">
        <v>9</v>
      </c>
      <c r="AU14" s="165">
        <v>20.100000000000001</v>
      </c>
      <c r="AV14" s="166"/>
      <c r="BQ14" s="141"/>
    </row>
    <row r="15" spans="2:69" x14ac:dyDescent="0.2">
      <c r="B15" s="208" t="s">
        <v>25</v>
      </c>
      <c r="C15" s="209">
        <v>131</v>
      </c>
      <c r="D15" s="210">
        <v>5.3</v>
      </c>
      <c r="E15" s="211"/>
      <c r="F15" s="212">
        <f t="shared" si="0"/>
        <v>6.55</v>
      </c>
      <c r="G15" s="212">
        <f t="shared" si="1"/>
        <v>6.55</v>
      </c>
      <c r="H15" s="213">
        <f t="shared" si="2"/>
        <v>1.2358490566037736</v>
      </c>
      <c r="I15" s="210">
        <f t="shared" si="3"/>
        <v>17</v>
      </c>
      <c r="J15" s="214">
        <f t="shared" si="4"/>
        <v>13.615</v>
      </c>
      <c r="K15" s="215">
        <f>_xlfn.XLOOKUP(Drivers[[#This Row],[Driver]],$S$5:$S$44,$X$5:$X$44)</f>
        <v>0</v>
      </c>
      <c r="L15" s="215">
        <f t="shared" si="5"/>
        <v>3</v>
      </c>
      <c r="M15" s="210">
        <f t="shared" si="6"/>
        <v>0</v>
      </c>
      <c r="N15" s="216">
        <f t="shared" si="7"/>
        <v>-29</v>
      </c>
      <c r="O15" s="214">
        <f t="shared" si="8"/>
        <v>-1.45</v>
      </c>
      <c r="P15" s="215" t="s">
        <v>20</v>
      </c>
      <c r="R15" s="185">
        <f>R16</f>
        <v>0</v>
      </c>
      <c r="S15" s="160" t="s">
        <v>119</v>
      </c>
      <c r="T15" s="154" t="s">
        <v>117</v>
      </c>
      <c r="U15" s="388">
        <v>5</v>
      </c>
      <c r="V15" s="189">
        <f>SUM(AA15:AV15)-(SUM(AA16:AV16)-(COUNTIF(AA16:AV16,20.1)*0.1))</f>
        <v>-29</v>
      </c>
      <c r="W15" s="346">
        <f>V15/($Z$4-1)</f>
        <v>-1.5263157894736843</v>
      </c>
      <c r="X15" s="187">
        <f t="shared" ref="X15" si="16">COUNTIF(AA16:AV16,1)</f>
        <v>0</v>
      </c>
      <c r="Y15" s="192">
        <f>COUNTIF(AA16:AV16,"=20.1")</f>
        <v>3</v>
      </c>
      <c r="Z15" s="179">
        <f t="shared" si="9"/>
        <v>12.15</v>
      </c>
      <c r="AA15" s="163">
        <v>17</v>
      </c>
      <c r="AB15" s="163">
        <v>12</v>
      </c>
      <c r="AC15" s="163">
        <v>7</v>
      </c>
      <c r="AD15" s="163">
        <v>6</v>
      </c>
      <c r="AE15" s="163">
        <v>14</v>
      </c>
      <c r="AF15" s="163">
        <v>9</v>
      </c>
      <c r="AG15" s="163">
        <v>14</v>
      </c>
      <c r="AH15" s="163">
        <v>12</v>
      </c>
      <c r="AI15" s="163">
        <v>9</v>
      </c>
      <c r="AJ15" s="163">
        <v>14</v>
      </c>
      <c r="AK15" s="163">
        <v>16</v>
      </c>
      <c r="AL15" s="163">
        <v>11</v>
      </c>
      <c r="AM15" s="163">
        <v>9</v>
      </c>
      <c r="AN15" s="163">
        <v>7</v>
      </c>
      <c r="AO15" s="163">
        <v>17</v>
      </c>
      <c r="AP15" s="163">
        <v>4</v>
      </c>
      <c r="AQ15" s="163">
        <v>16</v>
      </c>
      <c r="AR15" s="163">
        <v>11</v>
      </c>
      <c r="AS15" s="163">
        <v>16</v>
      </c>
      <c r="AT15" s="163">
        <v>11</v>
      </c>
      <c r="AU15" s="163">
        <v>11</v>
      </c>
      <c r="AV15" s="164"/>
      <c r="BQ15" s="141"/>
    </row>
    <row r="16" spans="2:69" ht="17" thickBot="1" x14ac:dyDescent="0.25">
      <c r="B16" s="208" t="s">
        <v>48</v>
      </c>
      <c r="C16" s="209">
        <v>617</v>
      </c>
      <c r="D16" s="210">
        <v>24.1</v>
      </c>
      <c r="E16" s="211">
        <v>15</v>
      </c>
      <c r="F16" s="212">
        <f t="shared" si="0"/>
        <v>30.85</v>
      </c>
      <c r="G16" s="212">
        <f t="shared" si="1"/>
        <v>45.85</v>
      </c>
      <c r="H16" s="213">
        <f t="shared" si="2"/>
        <v>1.9024896265560165</v>
      </c>
      <c r="I16" s="210">
        <f t="shared" si="3"/>
        <v>3</v>
      </c>
      <c r="J16" s="214">
        <f t="shared" si="4"/>
        <v>5.3549999999999995</v>
      </c>
      <c r="K16" s="215">
        <f>_xlfn.XLOOKUP(Drivers[[#This Row],[Driver]],$S$5:$S$44,$X$5:$X$44)</f>
        <v>1</v>
      </c>
      <c r="L16" s="215">
        <f t="shared" si="5"/>
        <v>1</v>
      </c>
      <c r="M16" s="210">
        <f t="shared" si="6"/>
        <v>1</v>
      </c>
      <c r="N16" s="216">
        <f t="shared" si="7"/>
        <v>27</v>
      </c>
      <c r="O16" s="214">
        <f t="shared" si="8"/>
        <v>1.35</v>
      </c>
      <c r="P16" s="215" t="s">
        <v>14</v>
      </c>
      <c r="R16" s="185">
        <f>IF(U15&gt;U13,1,0)</f>
        <v>0</v>
      </c>
      <c r="S16" s="161" t="s">
        <v>25</v>
      </c>
      <c r="T16" s="155" t="s">
        <v>93</v>
      </c>
      <c r="U16" s="389"/>
      <c r="V16" s="190">
        <f>V15</f>
        <v>-29</v>
      </c>
      <c r="W16" s="347">
        <f>W15</f>
        <v>-1.5263157894736843</v>
      </c>
      <c r="X16" s="190">
        <f t="shared" ref="X16" si="17">X15</f>
        <v>0</v>
      </c>
      <c r="Y16" s="193">
        <f>Y15</f>
        <v>3</v>
      </c>
      <c r="Z16" s="180">
        <f t="shared" si="9"/>
        <v>13.615</v>
      </c>
      <c r="AA16" s="165">
        <v>14</v>
      </c>
      <c r="AB16" s="165">
        <v>20.100000000000001</v>
      </c>
      <c r="AC16" s="165">
        <v>6</v>
      </c>
      <c r="AD16" s="165">
        <v>18</v>
      </c>
      <c r="AE16" s="165">
        <v>13</v>
      </c>
      <c r="AF16" s="165">
        <v>12</v>
      </c>
      <c r="AG16" s="165">
        <v>13</v>
      </c>
      <c r="AH16" s="165">
        <v>8</v>
      </c>
      <c r="AI16" s="165">
        <v>11</v>
      </c>
      <c r="AJ16" s="165">
        <v>13</v>
      </c>
      <c r="AK16" s="165">
        <v>9</v>
      </c>
      <c r="AL16" s="165">
        <v>9</v>
      </c>
      <c r="AM16" s="165">
        <v>15</v>
      </c>
      <c r="AN16" s="165">
        <v>15</v>
      </c>
      <c r="AO16" s="165">
        <v>17</v>
      </c>
      <c r="AP16" s="165">
        <v>20.100000000000001</v>
      </c>
      <c r="AQ16" s="165">
        <v>5</v>
      </c>
      <c r="AR16" s="165">
        <v>11</v>
      </c>
      <c r="AS16" s="165">
        <v>16</v>
      </c>
      <c r="AT16" s="165">
        <v>7</v>
      </c>
      <c r="AU16" s="165">
        <v>20.100000000000001</v>
      </c>
      <c r="AV16" s="166"/>
      <c r="BQ16" s="141"/>
    </row>
    <row r="17" spans="2:69" x14ac:dyDescent="0.2">
      <c r="B17" s="208" t="s">
        <v>32</v>
      </c>
      <c r="C17" s="209">
        <v>491</v>
      </c>
      <c r="D17" s="210">
        <v>19.399999999999999</v>
      </c>
      <c r="E17" s="211"/>
      <c r="F17" s="212">
        <f t="shared" si="0"/>
        <v>24.55</v>
      </c>
      <c r="G17" s="212">
        <f t="shared" si="1"/>
        <v>24.55</v>
      </c>
      <c r="H17" s="213">
        <f t="shared" si="2"/>
        <v>1.2654639175257734</v>
      </c>
      <c r="I17" s="210">
        <f t="shared" si="3"/>
        <v>6</v>
      </c>
      <c r="J17" s="214">
        <f t="shared" si="4"/>
        <v>8.629999999999999</v>
      </c>
      <c r="K17" s="215">
        <f>_xlfn.XLOOKUP(Drivers[[#This Row],[Driver]],$S$5:$S$44,$X$5:$X$44)</f>
        <v>1</v>
      </c>
      <c r="L17" s="215">
        <f t="shared" si="5"/>
        <v>6</v>
      </c>
      <c r="M17" s="210">
        <f t="shared" si="6"/>
        <v>0</v>
      </c>
      <c r="N17" s="216">
        <f t="shared" si="7"/>
        <v>-76</v>
      </c>
      <c r="O17" s="214">
        <f t="shared" si="8"/>
        <v>-3.8</v>
      </c>
      <c r="P17" s="215" t="s">
        <v>23</v>
      </c>
      <c r="R17" s="185">
        <f>R18</f>
        <v>0</v>
      </c>
      <c r="S17" s="197" t="s">
        <v>119</v>
      </c>
      <c r="T17" s="156" t="s">
        <v>117</v>
      </c>
      <c r="U17" s="386">
        <v>9</v>
      </c>
      <c r="V17" s="189">
        <f>SUM(AA17:AV17)-(SUM(AA18:AV18)-(COUNTIF(AA18:AV18,20.1)*0.1))</f>
        <v>-76</v>
      </c>
      <c r="W17" s="348">
        <f>V17/($Z$4-1)</f>
        <v>-4</v>
      </c>
      <c r="X17" s="186">
        <f t="shared" ref="X17" si="18">COUNTIF(AA18:AV18,1)</f>
        <v>1</v>
      </c>
      <c r="Y17" s="194">
        <f>COUNTIF(AA18:AV18,"=20.1")</f>
        <v>6</v>
      </c>
      <c r="Z17" s="181">
        <f t="shared" si="9"/>
        <v>4.8</v>
      </c>
      <c r="AA17" s="167">
        <v>3</v>
      </c>
      <c r="AB17" s="167">
        <v>3</v>
      </c>
      <c r="AC17" s="167">
        <v>9</v>
      </c>
      <c r="AD17" s="167">
        <v>10</v>
      </c>
      <c r="AE17" s="167">
        <v>2</v>
      </c>
      <c r="AF17" s="167">
        <v>3</v>
      </c>
      <c r="AG17" s="167">
        <v>2</v>
      </c>
      <c r="AH17" s="167">
        <v>4</v>
      </c>
      <c r="AI17" s="167">
        <v>3</v>
      </c>
      <c r="AJ17" s="167">
        <v>1</v>
      </c>
      <c r="AK17" s="167">
        <v>3</v>
      </c>
      <c r="AL17" s="167">
        <v>9</v>
      </c>
      <c r="AM17" s="167">
        <v>2</v>
      </c>
      <c r="AN17" s="167">
        <v>1</v>
      </c>
      <c r="AO17" s="167">
        <v>3</v>
      </c>
      <c r="AP17" s="167">
        <v>18</v>
      </c>
      <c r="AQ17" s="167">
        <v>4</v>
      </c>
      <c r="AR17" s="167">
        <v>3</v>
      </c>
      <c r="AS17" s="167">
        <v>1</v>
      </c>
      <c r="AT17" s="167">
        <v>5</v>
      </c>
      <c r="AU17" s="167">
        <v>7</v>
      </c>
      <c r="AV17" s="168"/>
      <c r="BQ17" s="141"/>
    </row>
    <row r="18" spans="2:69" ht="17" thickBot="1" x14ac:dyDescent="0.25">
      <c r="B18" s="208" t="s">
        <v>49</v>
      </c>
      <c r="C18" s="209">
        <v>141</v>
      </c>
      <c r="D18" s="210">
        <v>5.6</v>
      </c>
      <c r="E18" s="211"/>
      <c r="F18" s="212">
        <f t="shared" si="0"/>
        <v>7.05</v>
      </c>
      <c r="G18" s="212">
        <f t="shared" si="1"/>
        <v>7.05</v>
      </c>
      <c r="H18" s="213">
        <f t="shared" si="2"/>
        <v>1.2589285714285714</v>
      </c>
      <c r="I18" s="210">
        <f t="shared" si="3"/>
        <v>16</v>
      </c>
      <c r="J18" s="214">
        <f t="shared" si="4"/>
        <v>15.114999999999998</v>
      </c>
      <c r="K18" s="215">
        <f>_xlfn.XLOOKUP(Drivers[[#This Row],[Driver]],$S$5:$S$44,$X$5:$X$44)</f>
        <v>0</v>
      </c>
      <c r="L18" s="215">
        <f t="shared" si="5"/>
        <v>3</v>
      </c>
      <c r="M18" s="210">
        <f t="shared" si="6"/>
        <v>1</v>
      </c>
      <c r="N18" s="216">
        <f t="shared" si="7"/>
        <v>-8.9999999999999432</v>
      </c>
      <c r="O18" s="214">
        <f t="shared" si="8"/>
        <v>-0.44999999999999718</v>
      </c>
      <c r="P18" s="215" t="s">
        <v>40</v>
      </c>
      <c r="R18" s="185">
        <f>IF(U17&gt;U19,1,0)</f>
        <v>0</v>
      </c>
      <c r="S18" s="162" t="s">
        <v>32</v>
      </c>
      <c r="T18" s="157" t="s">
        <v>93</v>
      </c>
      <c r="U18" s="387"/>
      <c r="V18" s="191">
        <f>V17</f>
        <v>-76</v>
      </c>
      <c r="W18" s="349">
        <f>W17</f>
        <v>-4</v>
      </c>
      <c r="X18" s="191">
        <f t="shared" ref="X18" si="19">X17</f>
        <v>1</v>
      </c>
      <c r="Y18" s="195">
        <f>Y17</f>
        <v>6</v>
      </c>
      <c r="Z18" s="182">
        <f t="shared" si="9"/>
        <v>8.629999999999999</v>
      </c>
      <c r="AA18" s="169">
        <v>2</v>
      </c>
      <c r="AB18" s="169">
        <v>3</v>
      </c>
      <c r="AC18" s="169">
        <v>20.100000000000001</v>
      </c>
      <c r="AD18" s="169">
        <v>20.100000000000001</v>
      </c>
      <c r="AE18" s="169">
        <v>3</v>
      </c>
      <c r="AF18" s="169">
        <v>4</v>
      </c>
      <c r="AG18" s="169">
        <v>2</v>
      </c>
      <c r="AH18" s="169">
        <v>20.100000000000001</v>
      </c>
      <c r="AI18" s="169">
        <v>2</v>
      </c>
      <c r="AJ18" s="169">
        <v>1</v>
      </c>
      <c r="AK18" s="169">
        <v>20.100000000000001</v>
      </c>
      <c r="AL18" s="169">
        <v>5</v>
      </c>
      <c r="AM18" s="169">
        <v>4</v>
      </c>
      <c r="AN18" s="169">
        <v>3</v>
      </c>
      <c r="AO18" s="169">
        <v>8</v>
      </c>
      <c r="AP18" s="169">
        <v>4</v>
      </c>
      <c r="AQ18" s="169">
        <v>3</v>
      </c>
      <c r="AR18" s="169">
        <v>20.100000000000001</v>
      </c>
      <c r="AS18" s="169">
        <v>20.100000000000001</v>
      </c>
      <c r="AT18" s="169">
        <v>5</v>
      </c>
      <c r="AU18" s="169">
        <v>3</v>
      </c>
      <c r="AV18" s="170"/>
      <c r="BG18" s="140"/>
      <c r="BQ18" s="141"/>
    </row>
    <row r="19" spans="2:69" x14ac:dyDescent="0.2">
      <c r="B19" s="208" t="s">
        <v>39</v>
      </c>
      <c r="C19" s="209">
        <v>229</v>
      </c>
      <c r="D19" s="210">
        <v>8.9</v>
      </c>
      <c r="E19" s="211"/>
      <c r="F19" s="212">
        <f t="shared" si="0"/>
        <v>11.45</v>
      </c>
      <c r="G19" s="212">
        <f t="shared" si="1"/>
        <v>11.45</v>
      </c>
      <c r="H19" s="213">
        <f t="shared" si="2"/>
        <v>1.2865168539325842</v>
      </c>
      <c r="I19" s="210">
        <f t="shared" si="3"/>
        <v>11</v>
      </c>
      <c r="J19" s="214">
        <f t="shared" si="4"/>
        <v>13.264999999999997</v>
      </c>
      <c r="K19" s="215">
        <f>_xlfn.XLOOKUP(Drivers[[#This Row],[Driver]],$S$5:$S$44,$X$5:$X$44)</f>
        <v>0</v>
      </c>
      <c r="L19" s="215">
        <f t="shared" si="5"/>
        <v>3</v>
      </c>
      <c r="M19" s="210">
        <f t="shared" si="6"/>
        <v>0</v>
      </c>
      <c r="N19" s="216">
        <f t="shared" si="7"/>
        <v>56.000000000000057</v>
      </c>
      <c r="O19" s="214">
        <f t="shared" si="8"/>
        <v>2.8000000000000029</v>
      </c>
      <c r="P19" s="215" t="s">
        <v>26</v>
      </c>
      <c r="R19" s="185">
        <f>R20</f>
        <v>1</v>
      </c>
      <c r="S19" s="197" t="s">
        <v>119</v>
      </c>
      <c r="T19" s="156" t="s">
        <v>117</v>
      </c>
      <c r="U19" s="386">
        <v>11</v>
      </c>
      <c r="V19" s="189">
        <f>SUM(AA19:AV19)-(SUM(AA20:AV20)-(COUNTIF(AA20:AV20,20.1)*0.1))</f>
        <v>-37.000000000000014</v>
      </c>
      <c r="W19" s="348">
        <f>V19/($Z$4-1)</f>
        <v>-1.9473684210526323</v>
      </c>
      <c r="X19" s="186">
        <f t="shared" ref="X19" si="20">COUNTIF(AA20:AV20,1)</f>
        <v>3</v>
      </c>
      <c r="Y19" s="194">
        <f>COUNTIF(AA20:AV20,"=20.1")</f>
        <v>3</v>
      </c>
      <c r="Z19" s="181">
        <f t="shared" si="9"/>
        <v>4.2</v>
      </c>
      <c r="AA19" s="167">
        <v>1</v>
      </c>
      <c r="AB19" s="167">
        <v>2</v>
      </c>
      <c r="AC19" s="167">
        <v>1</v>
      </c>
      <c r="AD19" s="167">
        <v>2</v>
      </c>
      <c r="AE19" s="167">
        <v>1</v>
      </c>
      <c r="AF19" s="167">
        <v>1</v>
      </c>
      <c r="AG19" s="167">
        <v>1</v>
      </c>
      <c r="AH19" s="167">
        <v>1</v>
      </c>
      <c r="AI19" s="167">
        <v>19</v>
      </c>
      <c r="AJ19" s="167">
        <v>3</v>
      </c>
      <c r="AK19" s="167">
        <v>2</v>
      </c>
      <c r="AL19" s="167">
        <v>1</v>
      </c>
      <c r="AM19" s="167">
        <v>3</v>
      </c>
      <c r="AN19" s="167">
        <v>16</v>
      </c>
      <c r="AO19" s="167">
        <v>2</v>
      </c>
      <c r="AP19" s="167">
        <v>1</v>
      </c>
      <c r="AQ19" s="167">
        <v>1</v>
      </c>
      <c r="AR19" s="167">
        <v>2</v>
      </c>
      <c r="AS19" s="167">
        <v>12</v>
      </c>
      <c r="AT19" s="167">
        <v>7</v>
      </c>
      <c r="AU19" s="167">
        <v>5</v>
      </c>
      <c r="AV19" s="168"/>
      <c r="BG19" s="140"/>
      <c r="BQ19" s="141"/>
    </row>
    <row r="20" spans="2:69" ht="17" thickBot="1" x14ac:dyDescent="0.25">
      <c r="B20" s="208" t="s">
        <v>44</v>
      </c>
      <c r="C20" s="209">
        <v>67</v>
      </c>
      <c r="D20" s="210">
        <v>4</v>
      </c>
      <c r="E20" s="211"/>
      <c r="F20" s="212">
        <f t="shared" si="0"/>
        <v>3.35</v>
      </c>
      <c r="G20" s="212">
        <f t="shared" si="1"/>
        <v>3.35</v>
      </c>
      <c r="H20" s="213">
        <f t="shared" si="2"/>
        <v>0.83750000000000002</v>
      </c>
      <c r="I20" s="210">
        <f t="shared" si="3"/>
        <v>19</v>
      </c>
      <c r="J20" s="214">
        <f t="shared" si="4"/>
        <v>15.88</v>
      </c>
      <c r="K20" s="215">
        <f>_xlfn.XLOOKUP(Drivers[[#This Row],[Driver]],$S$5:$S$44,$X$5:$X$44)</f>
        <v>0</v>
      </c>
      <c r="L20" s="215">
        <f t="shared" si="5"/>
        <v>6</v>
      </c>
      <c r="M20" s="210">
        <f t="shared" si="6"/>
        <v>0</v>
      </c>
      <c r="N20" s="216">
        <f t="shared" si="7"/>
        <v>-34</v>
      </c>
      <c r="O20" s="214">
        <f t="shared" si="8"/>
        <v>-1.7</v>
      </c>
      <c r="P20" s="215" t="s">
        <v>31</v>
      </c>
      <c r="R20" s="185">
        <f>IF(U19&gt;U17,1,0)</f>
        <v>1</v>
      </c>
      <c r="S20" s="162" t="s">
        <v>30</v>
      </c>
      <c r="T20" s="157" t="s">
        <v>93</v>
      </c>
      <c r="U20" s="387"/>
      <c r="V20" s="191">
        <f>V19</f>
        <v>-37.000000000000014</v>
      </c>
      <c r="W20" s="349">
        <f>W19</f>
        <v>-1.9473684210526323</v>
      </c>
      <c r="X20" s="191">
        <f t="shared" ref="X20" si="21">X19</f>
        <v>3</v>
      </c>
      <c r="Y20" s="195">
        <f>Y19</f>
        <v>3</v>
      </c>
      <c r="Z20" s="182">
        <f t="shared" si="9"/>
        <v>6.0650000000000004</v>
      </c>
      <c r="AA20" s="169">
        <v>1</v>
      </c>
      <c r="AB20" s="169">
        <v>2</v>
      </c>
      <c r="AC20" s="169">
        <v>1</v>
      </c>
      <c r="AD20" s="169">
        <v>6</v>
      </c>
      <c r="AE20" s="169">
        <v>2</v>
      </c>
      <c r="AF20" s="169">
        <v>20.100000000000001</v>
      </c>
      <c r="AG20" s="169">
        <v>4</v>
      </c>
      <c r="AH20" s="169">
        <v>20.100000000000001</v>
      </c>
      <c r="AI20" s="169">
        <v>5</v>
      </c>
      <c r="AJ20" s="169">
        <v>4</v>
      </c>
      <c r="AK20" s="169">
        <v>1</v>
      </c>
      <c r="AL20" s="169">
        <v>20.100000000000001</v>
      </c>
      <c r="AM20" s="169">
        <v>6</v>
      </c>
      <c r="AN20" s="169">
        <v>6</v>
      </c>
      <c r="AO20" s="169">
        <v>3</v>
      </c>
      <c r="AP20" s="169">
        <v>2</v>
      </c>
      <c r="AQ20" s="169">
        <v>2</v>
      </c>
      <c r="AR20" s="169">
        <v>3</v>
      </c>
      <c r="AS20" s="169">
        <v>3</v>
      </c>
      <c r="AT20" s="169">
        <v>6</v>
      </c>
      <c r="AU20" s="169">
        <v>4</v>
      </c>
      <c r="AV20" s="170"/>
      <c r="BG20" s="140"/>
      <c r="BQ20" s="141"/>
    </row>
    <row r="21" spans="2:69" x14ac:dyDescent="0.2">
      <c r="B21" s="208" t="s">
        <v>16</v>
      </c>
      <c r="C21" s="209">
        <v>854</v>
      </c>
      <c r="D21" s="210">
        <v>34.1</v>
      </c>
      <c r="E21" s="211"/>
      <c r="F21" s="212">
        <f t="shared" si="0"/>
        <v>42.7</v>
      </c>
      <c r="G21" s="212">
        <f t="shared" si="1"/>
        <v>42.7</v>
      </c>
      <c r="H21" s="213">
        <f t="shared" si="2"/>
        <v>1.2521994134897361</v>
      </c>
      <c r="I21" s="210">
        <f t="shared" si="3"/>
        <v>1</v>
      </c>
      <c r="J21" s="214">
        <f t="shared" si="4"/>
        <v>3.96</v>
      </c>
      <c r="K21" s="215">
        <f>_xlfn.XLOOKUP(Drivers[[#This Row],[Driver]],$S$5:$S$44,$X$5:$X$44)</f>
        <v>14</v>
      </c>
      <c r="L21" s="215">
        <f t="shared" si="5"/>
        <v>2</v>
      </c>
      <c r="M21" s="210">
        <f t="shared" si="6"/>
        <v>1</v>
      </c>
      <c r="N21" s="216">
        <f t="shared" si="7"/>
        <v>-5</v>
      </c>
      <c r="O21" s="214">
        <f t="shared" si="8"/>
        <v>-0.25</v>
      </c>
      <c r="P21" s="215" t="s">
        <v>18</v>
      </c>
      <c r="R21" s="185">
        <f>R22</f>
        <v>1</v>
      </c>
      <c r="S21" s="160" t="s">
        <v>119</v>
      </c>
      <c r="T21" s="154" t="s">
        <v>117</v>
      </c>
      <c r="U21" s="388">
        <v>12</v>
      </c>
      <c r="V21" s="189">
        <f>SUM(AA21:AV21)-(SUM(AA22:AV22)-(COUNTIF(AA22:AV22,20.1)*0.1))</f>
        <v>55</v>
      </c>
      <c r="W21" s="346">
        <f>V21/($Z$4-1)</f>
        <v>2.8947368421052633</v>
      </c>
      <c r="X21" s="187">
        <f t="shared" ref="X21" si="22">COUNTIF(AA22:AV22,1)</f>
        <v>0</v>
      </c>
      <c r="Y21" s="192">
        <f>COUNTIF(AA22:AV22,"=20.1")</f>
        <v>2</v>
      </c>
      <c r="Z21" s="179">
        <f t="shared" si="9"/>
        <v>12.55</v>
      </c>
      <c r="AA21" s="163">
        <v>11</v>
      </c>
      <c r="AB21" s="163">
        <v>5</v>
      </c>
      <c r="AC21" s="163">
        <v>8</v>
      </c>
      <c r="AD21" s="163">
        <v>19</v>
      </c>
      <c r="AE21" s="163">
        <v>20</v>
      </c>
      <c r="AF21" s="163">
        <v>12</v>
      </c>
      <c r="AG21" s="163">
        <v>10</v>
      </c>
      <c r="AH21" s="163">
        <v>13</v>
      </c>
      <c r="AI21" s="163">
        <v>7</v>
      </c>
      <c r="AJ21" s="163">
        <v>15</v>
      </c>
      <c r="AK21" s="163">
        <v>5</v>
      </c>
      <c r="AL21" s="163">
        <v>12</v>
      </c>
      <c r="AM21" s="163">
        <v>5</v>
      </c>
      <c r="AN21" s="163">
        <v>17</v>
      </c>
      <c r="AO21" s="163">
        <v>12</v>
      </c>
      <c r="AP21" s="163">
        <v>14</v>
      </c>
      <c r="AQ21" s="163">
        <v>17</v>
      </c>
      <c r="AR21" s="163">
        <v>5</v>
      </c>
      <c r="AS21" s="163">
        <v>17</v>
      </c>
      <c r="AT21" s="163">
        <v>10</v>
      </c>
      <c r="AU21" s="163">
        <v>17</v>
      </c>
      <c r="AV21" s="164"/>
      <c r="BG21" s="144"/>
      <c r="BQ21" s="141"/>
    </row>
    <row r="22" spans="2:69" ht="17" thickBot="1" x14ac:dyDescent="0.25">
      <c r="B22" s="208" t="s">
        <v>37</v>
      </c>
      <c r="C22" s="209">
        <v>258</v>
      </c>
      <c r="D22" s="210">
        <v>10.4</v>
      </c>
      <c r="E22" s="211"/>
      <c r="F22" s="212">
        <f t="shared" si="0"/>
        <v>12.9</v>
      </c>
      <c r="G22" s="212">
        <f t="shared" si="1"/>
        <v>12.9</v>
      </c>
      <c r="H22" s="213">
        <f t="shared" si="2"/>
        <v>1.2403846153846154</v>
      </c>
      <c r="I22" s="210">
        <f t="shared" si="3"/>
        <v>9</v>
      </c>
      <c r="J22" s="214">
        <f t="shared" si="4"/>
        <v>12.565</v>
      </c>
      <c r="K22" s="215">
        <f>_xlfn.XLOOKUP(Drivers[[#This Row],[Driver]],$S$5:$S$44,$X$5:$X$44)</f>
        <v>0</v>
      </c>
      <c r="L22" s="215">
        <f t="shared" si="5"/>
        <v>3</v>
      </c>
      <c r="M22" s="210">
        <f t="shared" si="6"/>
        <v>1</v>
      </c>
      <c r="N22" s="216">
        <f t="shared" si="7"/>
        <v>41.000000000000028</v>
      </c>
      <c r="O22" s="214">
        <f t="shared" si="8"/>
        <v>2.0500000000000016</v>
      </c>
      <c r="P22" s="215" t="s">
        <v>26</v>
      </c>
      <c r="R22" s="185">
        <f>IF(U21&gt;U23,1,0)</f>
        <v>1</v>
      </c>
      <c r="S22" s="161" t="s">
        <v>42</v>
      </c>
      <c r="T22" s="155" t="s">
        <v>93</v>
      </c>
      <c r="U22" s="389"/>
      <c r="V22" s="190">
        <f>V21</f>
        <v>55</v>
      </c>
      <c r="W22" s="347">
        <f>W21</f>
        <v>2.8947368421052633</v>
      </c>
      <c r="X22" s="190">
        <f t="shared" ref="X22" si="23">X21</f>
        <v>0</v>
      </c>
      <c r="Y22" s="193">
        <f>Y21</f>
        <v>2</v>
      </c>
      <c r="Z22" s="180">
        <f t="shared" si="9"/>
        <v>9.8099999999999987</v>
      </c>
      <c r="AA22" s="165">
        <v>7</v>
      </c>
      <c r="AB22" s="165">
        <v>6</v>
      </c>
      <c r="AC22" s="165">
        <v>7</v>
      </c>
      <c r="AD22" s="165">
        <v>14</v>
      </c>
      <c r="AE22" s="165">
        <v>8</v>
      </c>
      <c r="AF22" s="165">
        <v>7</v>
      </c>
      <c r="AG22" s="165">
        <v>12</v>
      </c>
      <c r="AH22" s="165">
        <v>10</v>
      </c>
      <c r="AI22" s="165">
        <v>6</v>
      </c>
      <c r="AJ22" s="165">
        <v>20.100000000000001</v>
      </c>
      <c r="AK22" s="165">
        <v>5</v>
      </c>
      <c r="AL22" s="165">
        <v>8</v>
      </c>
      <c r="AM22" s="165">
        <v>9</v>
      </c>
      <c r="AN22" s="165">
        <v>7</v>
      </c>
      <c r="AO22" s="165">
        <v>9</v>
      </c>
      <c r="AP22" s="165">
        <v>11</v>
      </c>
      <c r="AQ22" s="165">
        <v>20.100000000000001</v>
      </c>
      <c r="AR22" s="165">
        <v>4</v>
      </c>
      <c r="AS22" s="165">
        <v>10</v>
      </c>
      <c r="AT22" s="165">
        <v>8</v>
      </c>
      <c r="AU22" s="165">
        <v>8</v>
      </c>
      <c r="AV22" s="166"/>
      <c r="BG22" s="138"/>
      <c r="BQ22" s="141"/>
    </row>
    <row r="23" spans="2:69" ht="17" thickBot="1" x14ac:dyDescent="0.25">
      <c r="B23" s="217" t="s">
        <v>101</v>
      </c>
      <c r="C23" s="218">
        <v>104</v>
      </c>
      <c r="D23" s="219">
        <v>4</v>
      </c>
      <c r="E23" s="220"/>
      <c r="F23" s="212">
        <f t="shared" si="0"/>
        <v>5.2</v>
      </c>
      <c r="G23" s="212">
        <f t="shared" si="1"/>
        <v>5.2</v>
      </c>
      <c r="H23" s="213">
        <f t="shared" si="2"/>
        <v>1.3</v>
      </c>
      <c r="I23" s="210">
        <f t="shared" si="3"/>
        <v>19</v>
      </c>
      <c r="J23" s="214">
        <f t="shared" si="4"/>
        <v>15.324999999999999</v>
      </c>
      <c r="K23" s="215">
        <f>_xlfn.XLOOKUP(Drivers[[#This Row],[Driver]],$S$5:$S$44,$X$5:$X$44)</f>
        <v>0</v>
      </c>
      <c r="L23" s="215">
        <f t="shared" si="5"/>
        <v>5</v>
      </c>
      <c r="M23" s="210">
        <f t="shared" si="6"/>
        <v>0</v>
      </c>
      <c r="N23" s="216">
        <f t="shared" si="7"/>
        <v>-3</v>
      </c>
      <c r="O23" s="214">
        <f t="shared" si="8"/>
        <v>-0.15</v>
      </c>
      <c r="P23" s="215" t="s">
        <v>33</v>
      </c>
      <c r="R23" s="185">
        <f>R24</f>
        <v>0</v>
      </c>
      <c r="S23" s="160" t="s">
        <v>119</v>
      </c>
      <c r="T23" s="154" t="s">
        <v>117</v>
      </c>
      <c r="U23" s="388">
        <v>8</v>
      </c>
      <c r="V23" s="189">
        <f>SUM(AA23:AV23)-(SUM(AA24:AV24)-(COUNTIF(AA24:AV24,20.1)*0.1))</f>
        <v>-52.999999999999972</v>
      </c>
      <c r="W23" s="346">
        <f>V23/($Z$4-1)</f>
        <v>-2.7894736842105248</v>
      </c>
      <c r="X23" s="187">
        <f t="shared" ref="X23" si="24">COUNTIF(AA24:AV24,1)</f>
        <v>0</v>
      </c>
      <c r="Y23" s="192">
        <f>COUNTIF(AA24:AV24,"=20.1")</f>
        <v>5</v>
      </c>
      <c r="Z23" s="183">
        <f t="shared" si="9"/>
        <v>9.15</v>
      </c>
      <c r="AA23" s="163">
        <v>8</v>
      </c>
      <c r="AB23" s="163">
        <v>7</v>
      </c>
      <c r="AC23" s="163">
        <v>10</v>
      </c>
      <c r="AD23" s="163">
        <v>5</v>
      </c>
      <c r="AE23" s="163">
        <v>11</v>
      </c>
      <c r="AF23" s="163">
        <v>20</v>
      </c>
      <c r="AG23" s="163">
        <v>7</v>
      </c>
      <c r="AH23" s="163">
        <v>10</v>
      </c>
      <c r="AI23" s="163">
        <v>2</v>
      </c>
      <c r="AJ23" s="163">
        <v>7</v>
      </c>
      <c r="AK23" s="163">
        <v>8</v>
      </c>
      <c r="AL23" s="163">
        <v>7</v>
      </c>
      <c r="AM23" s="163">
        <v>6</v>
      </c>
      <c r="AN23" s="163">
        <v>3</v>
      </c>
      <c r="AO23" s="163">
        <v>13</v>
      </c>
      <c r="AP23" s="163">
        <v>6</v>
      </c>
      <c r="AQ23" s="163">
        <v>5</v>
      </c>
      <c r="AR23" s="163">
        <v>7</v>
      </c>
      <c r="AS23" s="163">
        <v>14</v>
      </c>
      <c r="AT23" s="163">
        <v>9</v>
      </c>
      <c r="AU23" s="163">
        <v>18</v>
      </c>
      <c r="AV23" s="164"/>
      <c r="BB23" s="139" t="s">
        <v>51</v>
      </c>
      <c r="BC23" s="139">
        <v>0</v>
      </c>
      <c r="BD23" s="139">
        <v>0</v>
      </c>
      <c r="BE23" s="146"/>
      <c r="BF23" s="139"/>
      <c r="BG23" s="139"/>
      <c r="BH23" s="137"/>
      <c r="BM23" s="140"/>
      <c r="BN23" s="140"/>
      <c r="BO23" s="140"/>
    </row>
    <row r="24" spans="2:69" ht="17" thickBot="1" x14ac:dyDescent="0.25">
      <c r="B24" s="137"/>
      <c r="D24" s="145"/>
      <c r="E24" s="145"/>
      <c r="F24" s="145"/>
      <c r="G24" s="145"/>
      <c r="H24" s="145"/>
      <c r="I24" s="137"/>
      <c r="J24" s="137"/>
      <c r="K24" s="137"/>
      <c r="L24" s="137"/>
      <c r="M24" s="137"/>
      <c r="N24" s="137"/>
      <c r="O24" s="137"/>
      <c r="P24" s="137"/>
      <c r="R24" s="185">
        <f>IF(U23&gt;U21,1,0)</f>
        <v>0</v>
      </c>
      <c r="S24" s="161" t="s">
        <v>41</v>
      </c>
      <c r="T24" s="155" t="s">
        <v>93</v>
      </c>
      <c r="U24" s="389"/>
      <c r="V24" s="190">
        <f>V23</f>
        <v>-52.999999999999972</v>
      </c>
      <c r="W24" s="347">
        <f>W23</f>
        <v>-2.7894736842105248</v>
      </c>
      <c r="X24" s="190">
        <f>X23</f>
        <v>0</v>
      </c>
      <c r="Y24" s="193">
        <f>Y23</f>
        <v>5</v>
      </c>
      <c r="Z24" s="180">
        <f t="shared" si="9"/>
        <v>11.824999999999999</v>
      </c>
      <c r="AA24" s="165">
        <v>9</v>
      </c>
      <c r="AB24" s="165">
        <v>20.100000000000001</v>
      </c>
      <c r="AC24" s="165">
        <v>17</v>
      </c>
      <c r="AD24" s="165">
        <v>20.100000000000001</v>
      </c>
      <c r="AE24" s="165">
        <v>11</v>
      </c>
      <c r="AF24" s="165">
        <v>9</v>
      </c>
      <c r="AG24" s="165">
        <v>7</v>
      </c>
      <c r="AH24" s="165">
        <v>7</v>
      </c>
      <c r="AI24" s="165">
        <v>9</v>
      </c>
      <c r="AJ24" s="165">
        <v>5</v>
      </c>
      <c r="AK24" s="165">
        <v>10</v>
      </c>
      <c r="AL24" s="165">
        <v>6</v>
      </c>
      <c r="AM24" s="165">
        <v>8</v>
      </c>
      <c r="AN24" s="165">
        <v>5</v>
      </c>
      <c r="AO24" s="165">
        <v>6</v>
      </c>
      <c r="AP24" s="165">
        <v>20.100000000000001</v>
      </c>
      <c r="AQ24" s="165">
        <v>20.100000000000001</v>
      </c>
      <c r="AR24" s="165">
        <v>7</v>
      </c>
      <c r="AS24" s="165">
        <v>15</v>
      </c>
      <c r="AT24" s="165">
        <v>20.100000000000001</v>
      </c>
      <c r="AU24" s="165">
        <v>5</v>
      </c>
      <c r="AV24" s="166"/>
    </row>
    <row r="25" spans="2:69" x14ac:dyDescent="0.2">
      <c r="D25" s="145"/>
      <c r="E25" s="145"/>
      <c r="F25" s="145"/>
      <c r="G25" s="145"/>
      <c r="H25" s="145"/>
      <c r="R25" s="185">
        <f>R26</f>
        <v>0</v>
      </c>
      <c r="S25" s="197" t="s">
        <v>119</v>
      </c>
      <c r="T25" s="156" t="s">
        <v>117</v>
      </c>
      <c r="U25" s="386">
        <v>9</v>
      </c>
      <c r="V25" s="189">
        <f>SUM(AA25:AV25)-(SUM(AA26:AV26)-(COUNTIF(AA26:AV26,20.1)*0.1))</f>
        <v>56.000000000000057</v>
      </c>
      <c r="W25" s="348">
        <f>V25/($Z$4-1)</f>
        <v>2.9473684210526345</v>
      </c>
      <c r="X25" s="186">
        <f t="shared" ref="X25" si="25">COUNTIF(AA26:AV26,1)</f>
        <v>0</v>
      </c>
      <c r="Y25" s="194">
        <f>COUNTIF(AA26:AV26,"=20.1")</f>
        <v>3</v>
      </c>
      <c r="Z25" s="184">
        <f t="shared" si="9"/>
        <v>16.05</v>
      </c>
      <c r="AA25" s="167">
        <v>19</v>
      </c>
      <c r="AB25" s="167">
        <v>15</v>
      </c>
      <c r="AC25" s="167">
        <v>20</v>
      </c>
      <c r="AD25" s="167">
        <v>15</v>
      </c>
      <c r="AE25" s="167">
        <v>10</v>
      </c>
      <c r="AF25" s="167">
        <v>17</v>
      </c>
      <c r="AG25" s="167">
        <v>18</v>
      </c>
      <c r="AH25" s="167">
        <v>19</v>
      </c>
      <c r="AI25" s="167">
        <v>18</v>
      </c>
      <c r="AJ25" s="167">
        <v>20</v>
      </c>
      <c r="AK25" s="167">
        <v>17</v>
      </c>
      <c r="AL25" s="167">
        <v>17</v>
      </c>
      <c r="AM25" s="167">
        <v>14</v>
      </c>
      <c r="AN25" s="167">
        <v>9</v>
      </c>
      <c r="AO25" s="167">
        <v>10</v>
      </c>
      <c r="AP25" s="167">
        <v>12</v>
      </c>
      <c r="AQ25" s="167">
        <v>11</v>
      </c>
      <c r="AR25" s="167">
        <v>19</v>
      </c>
      <c r="AS25" s="167">
        <v>5</v>
      </c>
      <c r="AT25" s="167">
        <v>20</v>
      </c>
      <c r="AU25" s="167">
        <v>16</v>
      </c>
      <c r="AV25" s="168"/>
    </row>
    <row r="26" spans="2:69" ht="17" thickBot="1" x14ac:dyDescent="0.25">
      <c r="B26" s="200"/>
      <c r="C26" s="200"/>
      <c r="D26" s="200"/>
      <c r="E26" s="200"/>
      <c r="F26" s="200"/>
      <c r="G26" s="200"/>
      <c r="H26" s="200"/>
      <c r="R26" s="185">
        <f>IF(U25&gt;U27,1,0)</f>
        <v>0</v>
      </c>
      <c r="S26" s="162" t="s">
        <v>39</v>
      </c>
      <c r="T26" s="157" t="s">
        <v>93</v>
      </c>
      <c r="U26" s="387"/>
      <c r="V26" s="191">
        <f>V25</f>
        <v>56.000000000000057</v>
      </c>
      <c r="W26" s="349">
        <f>W25</f>
        <v>2.9473684210526345</v>
      </c>
      <c r="X26" s="191">
        <f t="shared" ref="X26" si="26">X25</f>
        <v>0</v>
      </c>
      <c r="Y26" s="195">
        <f>Y25</f>
        <v>3</v>
      </c>
      <c r="Z26" s="182">
        <f t="shared" si="9"/>
        <v>13.264999999999997</v>
      </c>
      <c r="AA26" s="169">
        <v>12</v>
      </c>
      <c r="AB26" s="169">
        <v>13</v>
      </c>
      <c r="AC26" s="169">
        <v>12</v>
      </c>
      <c r="AD26" s="169">
        <v>10</v>
      </c>
      <c r="AE26" s="169">
        <v>10</v>
      </c>
      <c r="AF26" s="169">
        <v>15</v>
      </c>
      <c r="AG26" s="169">
        <v>14</v>
      </c>
      <c r="AH26" s="169">
        <v>20.100000000000001</v>
      </c>
      <c r="AI26" s="169">
        <v>10</v>
      </c>
      <c r="AJ26" s="169">
        <v>11</v>
      </c>
      <c r="AK26" s="169">
        <v>13</v>
      </c>
      <c r="AL26" s="169">
        <v>10</v>
      </c>
      <c r="AM26" s="169">
        <v>11</v>
      </c>
      <c r="AN26" s="169">
        <v>11</v>
      </c>
      <c r="AO26" s="169">
        <v>10</v>
      </c>
      <c r="AP26" s="169">
        <v>20.100000000000001</v>
      </c>
      <c r="AQ26" s="169">
        <v>6</v>
      </c>
      <c r="AR26" s="169">
        <v>12</v>
      </c>
      <c r="AS26" s="169">
        <v>20.100000000000001</v>
      </c>
      <c r="AT26" s="169">
        <v>15</v>
      </c>
      <c r="AU26" s="169">
        <v>10</v>
      </c>
      <c r="AV26" s="170"/>
    </row>
    <row r="27" spans="2:69" ht="17" thickBot="1" x14ac:dyDescent="0.25">
      <c r="B27" s="148" t="s">
        <v>137</v>
      </c>
      <c r="C27" s="221" t="s">
        <v>136</v>
      </c>
      <c r="D27" s="142" t="s">
        <v>1</v>
      </c>
      <c r="E27" s="207" t="s">
        <v>91</v>
      </c>
      <c r="F27" s="142" t="s">
        <v>6</v>
      </c>
      <c r="G27" s="143" t="s">
        <v>135</v>
      </c>
      <c r="H27" s="142" t="s">
        <v>5</v>
      </c>
      <c r="I27" s="143" t="s">
        <v>130</v>
      </c>
      <c r="J27" s="143" t="s">
        <v>132</v>
      </c>
      <c r="K27" s="143" t="s">
        <v>146</v>
      </c>
      <c r="L27" s="143" t="s">
        <v>95</v>
      </c>
      <c r="Q27" s="147"/>
      <c r="R27" s="185">
        <f>R28</f>
        <v>1</v>
      </c>
      <c r="S27" s="197" t="s">
        <v>119</v>
      </c>
      <c r="T27" s="156" t="s">
        <v>117</v>
      </c>
      <c r="U27" s="386">
        <v>11</v>
      </c>
      <c r="V27" s="189">
        <f>SUM(AA27:AV27)-(SUM(AA28:AV28)-(COUNTIF(AA28:AV28,20.1)*0.1))</f>
        <v>41.000000000000028</v>
      </c>
      <c r="W27" s="348">
        <f>V27/($Z$4-1)</f>
        <v>2.1578947368421066</v>
      </c>
      <c r="X27" s="186">
        <f t="shared" ref="X27" si="27">COUNTIF(AA28:AV28,1)</f>
        <v>0</v>
      </c>
      <c r="Y27" s="194">
        <f>COUNTIF(AA28:AV28,"=20.1")</f>
        <v>3</v>
      </c>
      <c r="Z27" s="181">
        <f t="shared" si="9"/>
        <v>14.6</v>
      </c>
      <c r="AA27" s="175">
        <v>17</v>
      </c>
      <c r="AB27" s="175">
        <v>18</v>
      </c>
      <c r="AC27" s="167">
        <v>17</v>
      </c>
      <c r="AD27" s="167">
        <v>9</v>
      </c>
      <c r="AE27" s="167">
        <v>13</v>
      </c>
      <c r="AF27" s="167">
        <v>16</v>
      </c>
      <c r="AG27" s="167">
        <v>9</v>
      </c>
      <c r="AH27" s="167">
        <v>9</v>
      </c>
      <c r="AI27" s="167">
        <v>17</v>
      </c>
      <c r="AJ27" s="167">
        <v>18</v>
      </c>
      <c r="AK27" s="167">
        <v>20</v>
      </c>
      <c r="AL27" s="167">
        <v>14</v>
      </c>
      <c r="AM27" s="167">
        <v>18</v>
      </c>
      <c r="AN27" s="167">
        <v>10</v>
      </c>
      <c r="AO27" s="167">
        <v>19</v>
      </c>
      <c r="AP27" s="167">
        <v>11</v>
      </c>
      <c r="AQ27" s="167">
        <v>13</v>
      </c>
      <c r="AR27" s="167">
        <v>9</v>
      </c>
      <c r="AS27" s="167">
        <v>10</v>
      </c>
      <c r="AT27" s="167">
        <v>16</v>
      </c>
      <c r="AU27" s="167">
        <v>9</v>
      </c>
      <c r="AV27" s="168"/>
    </row>
    <row r="28" spans="2:69" ht="17" thickBot="1" x14ac:dyDescent="0.25">
      <c r="B28" s="211" t="s">
        <v>18</v>
      </c>
      <c r="C28" s="222">
        <v>1301</v>
      </c>
      <c r="D28" s="210">
        <v>40.299999999999997</v>
      </c>
      <c r="E28" s="211">
        <v>5</v>
      </c>
      <c r="F28" s="212">
        <f t="shared" ref="F28:F37" si="28">C28/$Z$4</f>
        <v>65.05</v>
      </c>
      <c r="G28" s="212">
        <f t="shared" ref="G28:G37" si="29">E28+F28</f>
        <v>70.05</v>
      </c>
      <c r="H28" s="213">
        <f t="shared" ref="H28:H37" si="30">G28/D28</f>
        <v>1.7382133995037221</v>
      </c>
      <c r="I28" s="210">
        <f t="shared" ref="I28:I37" si="31">RANK(D28,$D$28:$D$37)</f>
        <v>1</v>
      </c>
      <c r="J28" s="209">
        <f>(_xlfn.XLOOKUP(Constructors[[#This Row],[Contructor]],Drivers[Team],Drivers[Avg. Pos.],,,1)+_xlfn.XLOOKUP(Constructors[[#This Row],[Contructor]],Drivers[Team],Drivers[Avg. Pos.],,,-1))/2</f>
        <v>4.9375</v>
      </c>
      <c r="K28" s="209">
        <f>(_xlfn.XLOOKUP(Constructors[[#This Row],[Contructor]],Drivers[Team],Drivers[Wins],,,1)+_xlfn.XLOOKUP(Constructors[[#This Row],[Contructor]],Drivers[Team],Drivers[Wins],,,-1))</f>
        <v>16</v>
      </c>
      <c r="L28" s="209">
        <f>(_xlfn.XLOOKUP(Constructors[[#This Row],[Contructor]],Drivers[Team],Drivers[DNF],,,1)+_xlfn.XLOOKUP(Constructors[[#This Row],[Contructor]],Drivers[Team],Drivers[DNF],,,-1))</f>
        <v>5</v>
      </c>
      <c r="M28" s="137"/>
      <c r="O28" s="206"/>
      <c r="Q28" s="137"/>
      <c r="R28" s="185">
        <f>IF(U27&gt;U25,1,0)</f>
        <v>1</v>
      </c>
      <c r="S28" s="162" t="s">
        <v>37</v>
      </c>
      <c r="T28" s="157" t="s">
        <v>93</v>
      </c>
      <c r="U28" s="387"/>
      <c r="V28" s="191">
        <f>V27</f>
        <v>41.000000000000028</v>
      </c>
      <c r="W28" s="350">
        <f>W27</f>
        <v>2.1578947368421066</v>
      </c>
      <c r="X28" s="188">
        <f t="shared" ref="X28" si="32">X27</f>
        <v>0</v>
      </c>
      <c r="Y28" s="196">
        <f>Y27</f>
        <v>3</v>
      </c>
      <c r="Z28" s="182">
        <f t="shared" si="9"/>
        <v>12.565</v>
      </c>
      <c r="AA28" s="176">
        <v>17</v>
      </c>
      <c r="AB28" s="176">
        <v>12</v>
      </c>
      <c r="AC28" s="169">
        <v>20.100000000000001</v>
      </c>
      <c r="AD28" s="169">
        <v>8</v>
      </c>
      <c r="AE28" s="169">
        <v>20.100000000000001</v>
      </c>
      <c r="AF28" s="169">
        <v>11</v>
      </c>
      <c r="AG28" s="169">
        <v>10</v>
      </c>
      <c r="AH28" s="169">
        <v>6</v>
      </c>
      <c r="AI28" s="169">
        <v>12</v>
      </c>
      <c r="AJ28" s="169">
        <v>9</v>
      </c>
      <c r="AK28" s="169">
        <v>17</v>
      </c>
      <c r="AL28" s="169">
        <v>11</v>
      </c>
      <c r="AM28" s="169">
        <v>10</v>
      </c>
      <c r="AN28" s="169">
        <v>8</v>
      </c>
      <c r="AO28" s="169">
        <v>14</v>
      </c>
      <c r="AP28" s="169">
        <v>20.100000000000001</v>
      </c>
      <c r="AQ28" s="169">
        <v>8</v>
      </c>
      <c r="AR28" s="169">
        <v>6</v>
      </c>
      <c r="AS28" s="169">
        <v>7</v>
      </c>
      <c r="AT28" s="169">
        <v>14</v>
      </c>
      <c r="AU28" s="169">
        <v>11</v>
      </c>
      <c r="AV28" s="170"/>
    </row>
    <row r="29" spans="2:69" x14ac:dyDescent="0.2">
      <c r="B29" s="211" t="s">
        <v>14</v>
      </c>
      <c r="C29" s="222">
        <v>1080</v>
      </c>
      <c r="D29" s="210">
        <v>32.5</v>
      </c>
      <c r="E29" s="211"/>
      <c r="F29" s="212">
        <f t="shared" si="28"/>
        <v>54</v>
      </c>
      <c r="G29" s="212">
        <f t="shared" si="29"/>
        <v>54</v>
      </c>
      <c r="H29" s="213">
        <f t="shared" si="30"/>
        <v>1.6615384615384616</v>
      </c>
      <c r="I29" s="210">
        <f t="shared" si="31"/>
        <v>2</v>
      </c>
      <c r="J29" s="209">
        <f>(_xlfn.XLOOKUP(Constructors[[#This Row],[Contructor]],Drivers[Team],Drivers[Avg. Pos.],,,1)+_xlfn.XLOOKUP(Constructors[[#This Row],[Contructor]],Drivers[Team],Drivers[Avg. Pos.],,,-1))/2</f>
        <v>5.5549999999999997</v>
      </c>
      <c r="K29" s="209">
        <f>(_xlfn.XLOOKUP(Constructors[[#This Row],[Contructor]],Drivers[Team],Drivers[Wins],,,1)+_xlfn.XLOOKUP(Constructors[[#This Row],[Contructor]],Drivers[Team],Drivers[Wins],,,-1))</f>
        <v>1</v>
      </c>
      <c r="L29" s="209">
        <f>(_xlfn.XLOOKUP(Constructors[[#This Row],[Contructor]],Drivers[Team],Drivers[DNF],,,1)+_xlfn.XLOOKUP(Constructors[[#This Row],[Contructor]],Drivers[Team],Drivers[DNF],,,-1))</f>
        <v>2</v>
      </c>
      <c r="M29" s="137"/>
      <c r="Q29" s="137"/>
      <c r="R29" s="185">
        <f>R30</f>
        <v>0</v>
      </c>
      <c r="S29" s="160" t="s">
        <v>119</v>
      </c>
      <c r="T29" s="154" t="s">
        <v>117</v>
      </c>
      <c r="U29" s="388">
        <v>6</v>
      </c>
      <c r="V29" s="189">
        <f>SUM(AA29:AV29)-(SUM(AA30:AV30)-(COUNTIF(AA30:AV30,20.1)*0.1))</f>
        <v>-3</v>
      </c>
      <c r="W29" s="346">
        <f>V29/($Z$4-1)</f>
        <v>-0.15789473684210525</v>
      </c>
      <c r="X29" s="187">
        <f t="shared" ref="X29" si="33">COUNTIF(AA30:AV30,1)</f>
        <v>0</v>
      </c>
      <c r="Y29" s="192">
        <f>COUNTIF(AA30:AV30,"=20.1")</f>
        <v>5</v>
      </c>
      <c r="Z29" s="183">
        <f>SUM(AA29:AV29)/($Z$4)</f>
        <v>15.15</v>
      </c>
      <c r="AA29" s="163">
        <v>15</v>
      </c>
      <c r="AB29" s="163">
        <v>13</v>
      </c>
      <c r="AC29" s="163">
        <v>14</v>
      </c>
      <c r="AD29" s="163">
        <v>14</v>
      </c>
      <c r="AE29" s="163">
        <v>17</v>
      </c>
      <c r="AF29" s="163">
        <v>15</v>
      </c>
      <c r="AG29" s="163">
        <v>20</v>
      </c>
      <c r="AH29" s="163">
        <v>14</v>
      </c>
      <c r="AI29" s="163">
        <v>10</v>
      </c>
      <c r="AJ29" s="163">
        <v>9</v>
      </c>
      <c r="AK29" s="163">
        <v>18</v>
      </c>
      <c r="AL29" s="163">
        <v>18</v>
      </c>
      <c r="AM29" s="163">
        <v>12</v>
      </c>
      <c r="AN29" s="163">
        <v>19</v>
      </c>
      <c r="AO29" s="163">
        <v>14</v>
      </c>
      <c r="AP29" s="163">
        <v>9</v>
      </c>
      <c r="AQ29" s="163">
        <v>14</v>
      </c>
      <c r="AR29" s="163">
        <v>14</v>
      </c>
      <c r="AS29" s="163">
        <v>19</v>
      </c>
      <c r="AT29" s="163">
        <v>12</v>
      </c>
      <c r="AU29" s="163">
        <v>13</v>
      </c>
      <c r="AV29" s="164"/>
    </row>
    <row r="30" spans="2:69" ht="17" thickBot="1" x14ac:dyDescent="0.25">
      <c r="B30" s="211" t="s">
        <v>23</v>
      </c>
      <c r="C30" s="222">
        <v>978</v>
      </c>
      <c r="D30" s="210">
        <v>29.9</v>
      </c>
      <c r="E30" s="211">
        <v>10</v>
      </c>
      <c r="F30" s="212">
        <f t="shared" si="28"/>
        <v>48.9</v>
      </c>
      <c r="G30" s="212">
        <f t="shared" si="29"/>
        <v>58.9</v>
      </c>
      <c r="H30" s="213">
        <f t="shared" si="30"/>
        <v>1.9698996655518395</v>
      </c>
      <c r="I30" s="210">
        <f t="shared" si="31"/>
        <v>3</v>
      </c>
      <c r="J30" s="209">
        <f>(_xlfn.XLOOKUP(Constructors[[#This Row],[Contructor]],Drivers[Team],Drivers[Avg. Pos.],,,1)+_xlfn.XLOOKUP(Constructors[[#This Row],[Contructor]],Drivers[Team],Drivers[Avg. Pos.],,,-1))/2</f>
        <v>7.3475000000000001</v>
      </c>
      <c r="K30" s="209">
        <f>(_xlfn.XLOOKUP(Constructors[[#This Row],[Contructor]],Drivers[Team],Drivers[Wins],,,1)+_xlfn.XLOOKUP(Constructors[[#This Row],[Contructor]],Drivers[Team],Drivers[Wins],,,-1))</f>
        <v>4</v>
      </c>
      <c r="L30" s="209">
        <f>(_xlfn.XLOOKUP(Constructors[[#This Row],[Contructor]],Drivers[Team],Drivers[DNF],,,1)+_xlfn.XLOOKUP(Constructors[[#This Row],[Contructor]],Drivers[Team],Drivers[DNF],,,-1))</f>
        <v>9</v>
      </c>
      <c r="M30" s="137"/>
      <c r="Q30" s="137"/>
      <c r="R30" s="185">
        <f>IF(U29&gt;U31,1,0)</f>
        <v>0</v>
      </c>
      <c r="S30" s="161" t="s">
        <v>101</v>
      </c>
      <c r="T30" s="155" t="s">
        <v>93</v>
      </c>
      <c r="U30" s="389"/>
      <c r="V30" s="190">
        <f>V29</f>
        <v>-3</v>
      </c>
      <c r="W30" s="347">
        <f>W29</f>
        <v>-0.15789473684210525</v>
      </c>
      <c r="X30" s="190">
        <f t="shared" ref="X30" si="34">X29</f>
        <v>0</v>
      </c>
      <c r="Y30" s="193">
        <f>Y29</f>
        <v>5</v>
      </c>
      <c r="Z30" s="180">
        <f>SUM(AA30:AV30)/($Z$4)</f>
        <v>15.324999999999999</v>
      </c>
      <c r="AA30" s="165">
        <v>10</v>
      </c>
      <c r="AB30" s="165">
        <v>11</v>
      </c>
      <c r="AC30" s="165">
        <v>11</v>
      </c>
      <c r="AD30" s="165">
        <v>15</v>
      </c>
      <c r="AE30" s="165">
        <v>20.100000000000001</v>
      </c>
      <c r="AF30" s="165">
        <v>20.100000000000001</v>
      </c>
      <c r="AG30" s="165">
        <v>16</v>
      </c>
      <c r="AH30" s="165">
        <v>20.100000000000001</v>
      </c>
      <c r="AI30" s="165">
        <v>8</v>
      </c>
      <c r="AJ30" s="165">
        <v>20.100000000000001</v>
      </c>
      <c r="AK30" s="165">
        <v>14</v>
      </c>
      <c r="AL30" s="165">
        <v>16</v>
      </c>
      <c r="AM30" s="165">
        <v>13</v>
      </c>
      <c r="AN30" s="165">
        <v>14</v>
      </c>
      <c r="AO30" s="165">
        <v>16</v>
      </c>
      <c r="AP30" s="165">
        <v>10</v>
      </c>
      <c r="AQ30" s="165">
        <v>20.100000000000001</v>
      </c>
      <c r="AR30" s="165">
        <v>16</v>
      </c>
      <c r="AS30" s="165">
        <v>11</v>
      </c>
      <c r="AT30" s="165">
        <v>13</v>
      </c>
      <c r="AU30" s="165">
        <v>12</v>
      </c>
      <c r="AV30" s="166"/>
    </row>
    <row r="31" spans="2:69" x14ac:dyDescent="0.2">
      <c r="B31" s="211" t="s">
        <v>28</v>
      </c>
      <c r="C31" s="222">
        <v>451</v>
      </c>
      <c r="D31" s="210">
        <v>12.8</v>
      </c>
      <c r="E31" s="211">
        <v>5</v>
      </c>
      <c r="F31" s="212">
        <f t="shared" si="28"/>
        <v>22.55</v>
      </c>
      <c r="G31" s="212">
        <f t="shared" si="29"/>
        <v>27.55</v>
      </c>
      <c r="H31" s="213">
        <f t="shared" si="30"/>
        <v>2.15234375</v>
      </c>
      <c r="I31" s="210">
        <f t="shared" si="31"/>
        <v>4</v>
      </c>
      <c r="J31" s="209">
        <f>(_xlfn.XLOOKUP(Constructors[[#This Row],[Contructor]],Drivers[Team],Drivers[Avg. Pos.],,,1)+_xlfn.XLOOKUP(Constructors[[#This Row],[Contructor]],Drivers[Team],Drivers[Avg. Pos.],,,-1))/2</f>
        <v>10.817499999999999</v>
      </c>
      <c r="K31" s="209">
        <f>(_xlfn.XLOOKUP(Constructors[[#This Row],[Contructor]],Drivers[Team],Drivers[Wins],,,1)+_xlfn.XLOOKUP(Constructors[[#This Row],[Contructor]],Drivers[Team],Drivers[Wins],,,-1))</f>
        <v>0</v>
      </c>
      <c r="L31" s="209">
        <f>(_xlfn.XLOOKUP(Constructors[[#This Row],[Contructor]],Drivers[Team],Drivers[DNF],,,1)+_xlfn.XLOOKUP(Constructors[[#This Row],[Contructor]],Drivers[Team],Drivers[DNF],,,-1))</f>
        <v>7</v>
      </c>
      <c r="M31" s="137"/>
      <c r="Q31" s="137"/>
      <c r="R31" s="185">
        <f>R32</f>
        <v>1</v>
      </c>
      <c r="S31" s="160" t="s">
        <v>119</v>
      </c>
      <c r="T31" s="154" t="s">
        <v>117</v>
      </c>
      <c r="U31" s="388">
        <v>14</v>
      </c>
      <c r="V31" s="189">
        <f>SUM(AA31:AV31)-(SUM(AA32:AV32)-(COUNTIF(AA32:AV32,20.1)*0.1))</f>
        <v>-33.999999999999943</v>
      </c>
      <c r="W31" s="346">
        <f>V31/($Z$4-1)</f>
        <v>-1.7894736842105232</v>
      </c>
      <c r="X31" s="187">
        <f t="shared" ref="X31" si="35">COUNTIF(AA32:AV32,1)</f>
        <v>0</v>
      </c>
      <c r="Y31" s="192">
        <f>COUNTIF(AA32:AV32,"=20.1")</f>
        <v>6</v>
      </c>
      <c r="Z31" s="179">
        <f>SUM(AA31:AV31)/$Z$4-1</f>
        <v>10.4</v>
      </c>
      <c r="AA31" s="163">
        <v>6</v>
      </c>
      <c r="AB31" s="163">
        <v>8</v>
      </c>
      <c r="AC31" s="163">
        <v>12</v>
      </c>
      <c r="AD31" s="163">
        <v>8</v>
      </c>
      <c r="AE31" s="163">
        <v>5</v>
      </c>
      <c r="AF31" s="163">
        <v>7</v>
      </c>
      <c r="AG31" s="163">
        <v>12</v>
      </c>
      <c r="AH31" s="163">
        <v>15</v>
      </c>
      <c r="AI31" s="163">
        <v>11</v>
      </c>
      <c r="AJ31" s="163">
        <v>12</v>
      </c>
      <c r="AK31" s="163">
        <v>12</v>
      </c>
      <c r="AL31" s="163">
        <v>13</v>
      </c>
      <c r="AM31" s="163">
        <v>8</v>
      </c>
      <c r="AN31" s="163">
        <v>14</v>
      </c>
      <c r="AO31" s="163">
        <v>16</v>
      </c>
      <c r="AP31" s="163">
        <v>15</v>
      </c>
      <c r="AQ31" s="163">
        <v>15</v>
      </c>
      <c r="AR31" s="163">
        <v>12</v>
      </c>
      <c r="AS31" s="163">
        <v>7</v>
      </c>
      <c r="AT31" s="163">
        <v>6</v>
      </c>
      <c r="AU31" s="163">
        <v>14</v>
      </c>
      <c r="AV31" s="164"/>
    </row>
    <row r="32" spans="2:69" ht="17" thickBot="1" x14ac:dyDescent="0.25">
      <c r="B32" s="211" t="s">
        <v>20</v>
      </c>
      <c r="C32" s="222">
        <v>373</v>
      </c>
      <c r="D32" s="210">
        <v>11.6</v>
      </c>
      <c r="E32" s="211"/>
      <c r="F32" s="212">
        <f t="shared" si="28"/>
        <v>18.649999999999999</v>
      </c>
      <c r="G32" s="212">
        <f t="shared" si="29"/>
        <v>18.649999999999999</v>
      </c>
      <c r="H32" s="213">
        <f t="shared" si="30"/>
        <v>1.607758620689655</v>
      </c>
      <c r="I32" s="210">
        <f t="shared" si="31"/>
        <v>6</v>
      </c>
      <c r="J32" s="209">
        <f>(_xlfn.XLOOKUP(Constructors[[#This Row],[Contructor]],Drivers[Team],Drivers[Avg. Pos.],,,1)+_xlfn.XLOOKUP(Constructors[[#This Row],[Contructor]],Drivers[Team],Drivers[Avg. Pos.],,,-1))/2</f>
        <v>11.5625</v>
      </c>
      <c r="K32" s="209">
        <f>(_xlfn.XLOOKUP(Constructors[[#This Row],[Contructor]],Drivers[Team],Drivers[Wins],,,1)+_xlfn.XLOOKUP(Constructors[[#This Row],[Contructor]],Drivers[Team],Drivers[Wins],,,-1))</f>
        <v>0</v>
      </c>
      <c r="L32" s="209">
        <f>(_xlfn.XLOOKUP(Constructors[[#This Row],[Contructor]],Drivers[Team],Drivers[DNF],,,1)+_xlfn.XLOOKUP(Constructors[[#This Row],[Contructor]],Drivers[Team],Drivers[DNF],,,-1))</f>
        <v>5</v>
      </c>
      <c r="M32" s="137"/>
      <c r="Q32" s="137"/>
      <c r="R32" s="185">
        <f>IF(U31&gt;U29,1,0)</f>
        <v>1</v>
      </c>
      <c r="S32" s="161" t="s">
        <v>17</v>
      </c>
      <c r="T32" s="155" t="s">
        <v>93</v>
      </c>
      <c r="U32" s="389"/>
      <c r="V32" s="190">
        <f>V31</f>
        <v>-33.999999999999943</v>
      </c>
      <c r="W32" s="347">
        <f>W31</f>
        <v>-1.7894736842105232</v>
      </c>
      <c r="X32" s="190">
        <f t="shared" ref="X32" si="36">X31</f>
        <v>0</v>
      </c>
      <c r="Y32" s="193">
        <f>Y31</f>
        <v>6</v>
      </c>
      <c r="Z32" s="180">
        <f>SUM(AA32:AV32)/$Z$4</f>
        <v>13.129999999999999</v>
      </c>
      <c r="AA32" s="165">
        <v>6</v>
      </c>
      <c r="AB32" s="165">
        <v>20.100000000000001</v>
      </c>
      <c r="AC32" s="165">
        <v>8</v>
      </c>
      <c r="AD32" s="165">
        <v>5</v>
      </c>
      <c r="AE32" s="165">
        <v>7</v>
      </c>
      <c r="AF32" s="165">
        <v>6</v>
      </c>
      <c r="AG32" s="165">
        <v>9</v>
      </c>
      <c r="AH32" s="165">
        <v>11</v>
      </c>
      <c r="AI32" s="165">
        <v>7</v>
      </c>
      <c r="AJ32" s="165">
        <v>20.100000000000001</v>
      </c>
      <c r="AK32" s="165">
        <v>11</v>
      </c>
      <c r="AL32" s="165">
        <v>14</v>
      </c>
      <c r="AM32" s="165">
        <v>20.100000000000001</v>
      </c>
      <c r="AN32" s="165">
        <v>20.100000000000001</v>
      </c>
      <c r="AO32" s="165">
        <v>20.100000000000001</v>
      </c>
      <c r="AP32" s="165">
        <v>13</v>
      </c>
      <c r="AQ32" s="165">
        <v>11</v>
      </c>
      <c r="AR32" s="165">
        <v>15</v>
      </c>
      <c r="AS32" s="165">
        <v>20.100000000000001</v>
      </c>
      <c r="AT32" s="165">
        <v>10</v>
      </c>
      <c r="AU32" s="165">
        <v>9</v>
      </c>
      <c r="AV32" s="166"/>
    </row>
    <row r="33" spans="2:48" x14ac:dyDescent="0.2">
      <c r="B33" s="211" t="s">
        <v>26</v>
      </c>
      <c r="C33" s="222">
        <v>379</v>
      </c>
      <c r="D33" s="210">
        <v>11.7</v>
      </c>
      <c r="E33" s="211"/>
      <c r="F33" s="212">
        <f t="shared" si="28"/>
        <v>18.95</v>
      </c>
      <c r="G33" s="212">
        <f t="shared" si="29"/>
        <v>18.95</v>
      </c>
      <c r="H33" s="213">
        <f t="shared" si="30"/>
        <v>1.6196581196581197</v>
      </c>
      <c r="I33" s="210">
        <f t="shared" si="31"/>
        <v>5</v>
      </c>
      <c r="J33" s="209">
        <f>(_xlfn.XLOOKUP(Constructors[[#This Row],[Contructor]],Drivers[Team],Drivers[Avg. Pos.],,,1)+_xlfn.XLOOKUP(Constructors[[#This Row],[Contructor]],Drivers[Team],Drivers[Avg. Pos.],,,-1))/2</f>
        <v>12.914999999999999</v>
      </c>
      <c r="K33" s="209">
        <f>(_xlfn.XLOOKUP(Constructors[[#This Row],[Contructor]],Drivers[Team],Drivers[Wins],,,1)+_xlfn.XLOOKUP(Constructors[[#This Row],[Contructor]],Drivers[Team],Drivers[Wins],,,-1))</f>
        <v>0</v>
      </c>
      <c r="L33" s="209">
        <f>(_xlfn.XLOOKUP(Constructors[[#This Row],[Contructor]],Drivers[Team],Drivers[DNF],,,1)+_xlfn.XLOOKUP(Constructors[[#This Row],[Contructor]],Drivers[Team],Drivers[DNF],,,-1))</f>
        <v>6</v>
      </c>
      <c r="M33" s="137"/>
      <c r="Q33" s="137"/>
      <c r="R33" s="185">
        <f>R34</f>
        <v>1</v>
      </c>
      <c r="S33" s="197" t="s">
        <v>119</v>
      </c>
      <c r="T33" s="156" t="s">
        <v>117</v>
      </c>
      <c r="U33" s="386">
        <v>15</v>
      </c>
      <c r="V33" s="189">
        <f>SUM(AA33:AV33)-(SUM(AA34:AV34)-(COUNTIF(AA34:AV34,20.1)*0.1))</f>
        <v>-19</v>
      </c>
      <c r="W33" s="348">
        <f>V33/($Z$4-1)</f>
        <v>-1</v>
      </c>
      <c r="X33" s="186">
        <f t="shared" ref="X33" si="37">COUNTIF(AA34:AV34,1)</f>
        <v>0</v>
      </c>
      <c r="Y33" s="194">
        <f>COUNTIF(AA34:AV34,"=20.1")</f>
        <v>3</v>
      </c>
      <c r="Z33" s="181">
        <f>SUM(AA33:AV33)/$Z$4</f>
        <v>12.3</v>
      </c>
      <c r="AA33" s="167">
        <v>10</v>
      </c>
      <c r="AB33" s="167">
        <v>9</v>
      </c>
      <c r="AC33" s="167">
        <v>11</v>
      </c>
      <c r="AD33" s="167">
        <v>17</v>
      </c>
      <c r="AE33" s="167">
        <v>7</v>
      </c>
      <c r="AF33" s="167">
        <v>14</v>
      </c>
      <c r="AG33" s="167">
        <v>17</v>
      </c>
      <c r="AH33" s="167">
        <v>6</v>
      </c>
      <c r="AI33" s="167">
        <v>16</v>
      </c>
      <c r="AJ33" s="167">
        <v>11</v>
      </c>
      <c r="AK33" s="167">
        <v>10</v>
      </c>
      <c r="AL33" s="167">
        <v>16</v>
      </c>
      <c r="AM33" s="167">
        <v>19</v>
      </c>
      <c r="AN33" s="167">
        <v>8</v>
      </c>
      <c r="AO33" s="167">
        <v>11</v>
      </c>
      <c r="AP33" s="167">
        <v>5</v>
      </c>
      <c r="AQ33" s="167">
        <v>7</v>
      </c>
      <c r="AR33" s="167">
        <v>17</v>
      </c>
      <c r="AS33" s="167">
        <v>11</v>
      </c>
      <c r="AT33" s="167">
        <v>14</v>
      </c>
      <c r="AU33" s="167">
        <v>10</v>
      </c>
      <c r="AV33" s="168"/>
    </row>
    <row r="34" spans="2:48" ht="17" thickBot="1" x14ac:dyDescent="0.25">
      <c r="B34" s="211" t="s">
        <v>33</v>
      </c>
      <c r="C34" s="222">
        <v>196</v>
      </c>
      <c r="D34" s="210">
        <v>5.8</v>
      </c>
      <c r="E34" s="211"/>
      <c r="F34" s="212">
        <f t="shared" si="28"/>
        <v>9.8000000000000007</v>
      </c>
      <c r="G34" s="212">
        <f t="shared" si="29"/>
        <v>9.8000000000000007</v>
      </c>
      <c r="H34" s="213">
        <f t="shared" si="30"/>
        <v>1.6896551724137934</v>
      </c>
      <c r="I34" s="210">
        <f t="shared" si="31"/>
        <v>8</v>
      </c>
      <c r="J34" s="209">
        <f>(_xlfn.XLOOKUP(Constructors[[#This Row],[Contructor]],Drivers[Team],Drivers[Avg. Pos.],,,1)+_xlfn.XLOOKUP(Constructors[[#This Row],[Contructor]],Drivers[Team],Drivers[Avg. Pos.],,,-1))/2</f>
        <v>14.227499999999999</v>
      </c>
      <c r="K34" s="209">
        <f>(_xlfn.XLOOKUP(Constructors[[#This Row],[Contructor]],Drivers[Team],Drivers[Wins],,,1)+_xlfn.XLOOKUP(Constructors[[#This Row],[Contructor]],Drivers[Team],Drivers[Wins],,,-1))</f>
        <v>0</v>
      </c>
      <c r="L34" s="209">
        <f>(_xlfn.XLOOKUP(Constructors[[#This Row],[Contructor]],Drivers[Team],Drivers[DNF],,,1)+_xlfn.XLOOKUP(Constructors[[#This Row],[Contructor]],Drivers[Team],Drivers[DNF],,,-1))</f>
        <v>11</v>
      </c>
      <c r="M34" s="137"/>
      <c r="Q34" s="137"/>
      <c r="R34" s="185">
        <f>IF(U33&gt;U35,1,0)</f>
        <v>1</v>
      </c>
      <c r="S34" s="162" t="s">
        <v>43</v>
      </c>
      <c r="T34" s="157" t="s">
        <v>93</v>
      </c>
      <c r="U34" s="387"/>
      <c r="V34" s="191">
        <f>V33</f>
        <v>-19</v>
      </c>
      <c r="W34" s="349">
        <f>W33</f>
        <v>-1</v>
      </c>
      <c r="X34" s="191">
        <f t="shared" ref="X34" si="38">X33</f>
        <v>0</v>
      </c>
      <c r="Y34" s="195">
        <f>Y33</f>
        <v>3</v>
      </c>
      <c r="Z34" s="182">
        <f>SUM(AA34:AV34)/$Z$4</f>
        <v>13.265000000000001</v>
      </c>
      <c r="AA34" s="169">
        <v>20.100000000000001</v>
      </c>
      <c r="AB34" s="169">
        <v>8</v>
      </c>
      <c r="AC34" s="169">
        <v>9</v>
      </c>
      <c r="AD34" s="169">
        <v>12</v>
      </c>
      <c r="AE34" s="169">
        <v>20.100000000000001</v>
      </c>
      <c r="AF34" s="169">
        <v>13</v>
      </c>
      <c r="AG34" s="169">
        <v>11</v>
      </c>
      <c r="AH34" s="169">
        <v>5</v>
      </c>
      <c r="AI34" s="169">
        <v>14</v>
      </c>
      <c r="AJ34" s="169">
        <v>20.100000000000001</v>
      </c>
      <c r="AK34" s="169">
        <v>15</v>
      </c>
      <c r="AL34" s="169">
        <v>12</v>
      </c>
      <c r="AM34" s="169">
        <v>12</v>
      </c>
      <c r="AN34" s="169">
        <v>9</v>
      </c>
      <c r="AO34" s="169">
        <v>11</v>
      </c>
      <c r="AP34" s="169">
        <v>8</v>
      </c>
      <c r="AQ34" s="169">
        <v>10</v>
      </c>
      <c r="AR34" s="169">
        <v>18</v>
      </c>
      <c r="AS34" s="169">
        <v>13</v>
      </c>
      <c r="AT34" s="169">
        <v>11</v>
      </c>
      <c r="AU34" s="169">
        <v>14</v>
      </c>
      <c r="AV34" s="170"/>
    </row>
    <row r="35" spans="2:48" x14ac:dyDescent="0.2">
      <c r="B35" s="211" t="s">
        <v>40</v>
      </c>
      <c r="C35" s="222">
        <v>191</v>
      </c>
      <c r="D35" s="210">
        <v>6</v>
      </c>
      <c r="E35" s="211"/>
      <c r="F35" s="212">
        <f t="shared" si="28"/>
        <v>9.5500000000000007</v>
      </c>
      <c r="G35" s="212">
        <f t="shared" si="29"/>
        <v>9.5500000000000007</v>
      </c>
      <c r="H35" s="213">
        <f t="shared" si="30"/>
        <v>1.5916666666666668</v>
      </c>
      <c r="I35" s="210">
        <f t="shared" si="31"/>
        <v>7</v>
      </c>
      <c r="J35" s="209">
        <f>(_xlfn.XLOOKUP(Constructors[[#This Row],[Contructor]],Drivers[Team],Drivers[Avg. Pos.],,,1)+_xlfn.XLOOKUP(Constructors[[#This Row],[Contructor]],Drivers[Team],Drivers[Avg. Pos.],,,-1))/2</f>
        <v>15.042499999999999</v>
      </c>
      <c r="K35" s="209">
        <f>(_xlfn.XLOOKUP(Constructors[[#This Row],[Contructor]],Drivers[Team],Drivers[Wins],,,1)+_xlfn.XLOOKUP(Constructors[[#This Row],[Contructor]],Drivers[Team],Drivers[Wins],,,-1))</f>
        <v>0</v>
      </c>
      <c r="L35" s="209">
        <f>(_xlfn.XLOOKUP(Constructors[[#This Row],[Contructor]],Drivers[Team],Drivers[DNF],,,1)+_xlfn.XLOOKUP(Constructors[[#This Row],[Contructor]],Drivers[Team],Drivers[DNF],,,-1))</f>
        <v>7</v>
      </c>
      <c r="M35" s="137"/>
      <c r="Q35" s="137"/>
      <c r="R35" s="185">
        <f>R36</f>
        <v>0</v>
      </c>
      <c r="S35" s="197" t="s">
        <v>119</v>
      </c>
      <c r="T35" s="156" t="s">
        <v>117</v>
      </c>
      <c r="U35" s="386">
        <v>6</v>
      </c>
      <c r="V35" s="189">
        <f>SUM(AA35:AV35)-(SUM(AA36:AV36)-(COUNTIF(AA36:AV36,20.1)*0.1))</f>
        <v>-34</v>
      </c>
      <c r="W35" s="348">
        <f>V35/($Z$4-1)</f>
        <v>-1.7894736842105263</v>
      </c>
      <c r="X35" s="186">
        <f t="shared" ref="X35" si="39">COUNTIF(AA36:AV36,1)</f>
        <v>0</v>
      </c>
      <c r="Y35" s="194">
        <f>COUNTIF(AA36:AV36,"=20.1")</f>
        <v>6</v>
      </c>
      <c r="Z35" s="181">
        <f>SUM(AA35:AV35)/$Z$4</f>
        <v>14.15</v>
      </c>
      <c r="AA35" s="167">
        <v>16</v>
      </c>
      <c r="AB35" s="167">
        <v>20</v>
      </c>
      <c r="AC35" s="167">
        <v>13</v>
      </c>
      <c r="AD35" s="167">
        <v>16</v>
      </c>
      <c r="AE35" s="167">
        <v>9</v>
      </c>
      <c r="AF35" s="167">
        <v>13</v>
      </c>
      <c r="AG35" s="167">
        <v>11</v>
      </c>
      <c r="AH35" s="167">
        <v>8</v>
      </c>
      <c r="AI35" s="167">
        <v>20</v>
      </c>
      <c r="AJ35" s="167">
        <v>13</v>
      </c>
      <c r="AK35" s="167">
        <v>14</v>
      </c>
      <c r="AL35" s="167">
        <v>8</v>
      </c>
      <c r="AM35" s="167">
        <v>16</v>
      </c>
      <c r="AN35" s="167">
        <v>13</v>
      </c>
      <c r="AO35" s="167">
        <v>9</v>
      </c>
      <c r="AP35" s="167">
        <v>20</v>
      </c>
      <c r="AQ35" s="167">
        <v>10</v>
      </c>
      <c r="AR35" s="167">
        <v>13</v>
      </c>
      <c r="AS35" s="167">
        <v>13</v>
      </c>
      <c r="AT35" s="167">
        <v>13</v>
      </c>
      <c r="AU35" s="167">
        <v>15</v>
      </c>
      <c r="AV35" s="168"/>
    </row>
    <row r="36" spans="2:48" ht="17" thickBot="1" x14ac:dyDescent="0.25">
      <c r="B36" s="211" t="s">
        <v>31</v>
      </c>
      <c r="C36" s="222">
        <v>150</v>
      </c>
      <c r="D36" s="210">
        <v>4.9000000000000004</v>
      </c>
      <c r="E36" s="211"/>
      <c r="F36" s="212">
        <f t="shared" si="28"/>
        <v>7.5</v>
      </c>
      <c r="G36" s="212">
        <f t="shared" si="29"/>
        <v>7.5</v>
      </c>
      <c r="H36" s="213">
        <f t="shared" si="30"/>
        <v>1.5306122448979591</v>
      </c>
      <c r="I36" s="210">
        <f t="shared" si="31"/>
        <v>10</v>
      </c>
      <c r="J36" s="209">
        <f>(_xlfn.XLOOKUP(Constructors[[#This Row],[Contructor]],Drivers[Team],Drivers[Avg. Pos.],,,1)+_xlfn.XLOOKUP(Constructors[[#This Row],[Contructor]],Drivers[Team],Drivers[Avg. Pos.],,,-1))/2</f>
        <v>14.572500000000002</v>
      </c>
      <c r="K36" s="209">
        <f>(_xlfn.XLOOKUP(Constructors[[#This Row],[Contructor]],Drivers[Team],Drivers[Wins],,,1)+_xlfn.XLOOKUP(Constructors[[#This Row],[Contructor]],Drivers[Team],Drivers[Wins],,,-1))</f>
        <v>0</v>
      </c>
      <c r="L36" s="209">
        <f>(_xlfn.XLOOKUP(Constructors[[#This Row],[Contructor]],Drivers[Team],Drivers[DNF],,,1)+_xlfn.XLOOKUP(Constructors[[#This Row],[Contructor]],Drivers[Team],Drivers[DNF],,,-1))</f>
        <v>9</v>
      </c>
      <c r="M36" s="137"/>
      <c r="Q36" s="137"/>
      <c r="R36" s="185">
        <f>IF(U35&gt;U33,1,0)</f>
        <v>0</v>
      </c>
      <c r="S36" s="162" t="s">
        <v>44</v>
      </c>
      <c r="T36" s="157" t="s">
        <v>93</v>
      </c>
      <c r="U36" s="387"/>
      <c r="V36" s="191">
        <f>V35</f>
        <v>-34</v>
      </c>
      <c r="W36" s="349">
        <f>W35</f>
        <v>-1.7894736842105263</v>
      </c>
      <c r="X36" s="191">
        <f t="shared" ref="X36" si="40">X35</f>
        <v>0</v>
      </c>
      <c r="Y36" s="195">
        <f>Y35</f>
        <v>6</v>
      </c>
      <c r="Z36" s="182">
        <f>SUM(AA36:AV36)/$Z$4</f>
        <v>15.88</v>
      </c>
      <c r="AA36" s="169">
        <v>8</v>
      </c>
      <c r="AB36" s="169">
        <v>20.100000000000001</v>
      </c>
      <c r="AC36" s="169">
        <v>15</v>
      </c>
      <c r="AD36" s="169">
        <v>7</v>
      </c>
      <c r="AE36" s="169">
        <v>12</v>
      </c>
      <c r="AF36" s="169">
        <v>10</v>
      </c>
      <c r="AG36" s="169">
        <v>17</v>
      </c>
      <c r="AH36" s="169">
        <v>13</v>
      </c>
      <c r="AI36" s="169">
        <v>20.100000000000001</v>
      </c>
      <c r="AJ36" s="169">
        <v>14</v>
      </c>
      <c r="AK36" s="169">
        <v>16</v>
      </c>
      <c r="AL36" s="169">
        <v>20.100000000000001</v>
      </c>
      <c r="AM36" s="169">
        <v>19</v>
      </c>
      <c r="AN36" s="169">
        <v>13</v>
      </c>
      <c r="AO36" s="169">
        <v>20.100000000000001</v>
      </c>
      <c r="AP36" s="169">
        <v>14</v>
      </c>
      <c r="AQ36" s="169">
        <v>20.100000000000001</v>
      </c>
      <c r="AR36" s="169">
        <v>13</v>
      </c>
      <c r="AS36" s="169">
        <v>9</v>
      </c>
      <c r="AT36" s="169">
        <v>20.100000000000001</v>
      </c>
      <c r="AU36" s="169">
        <v>17</v>
      </c>
      <c r="AV36" s="170"/>
    </row>
    <row r="37" spans="2:48" x14ac:dyDescent="0.2">
      <c r="B37" s="211" t="s">
        <v>38</v>
      </c>
      <c r="C37" s="222">
        <v>170</v>
      </c>
      <c r="D37" s="210">
        <v>5.2</v>
      </c>
      <c r="E37" s="211"/>
      <c r="F37" s="212">
        <f t="shared" si="28"/>
        <v>8.5</v>
      </c>
      <c r="G37" s="212">
        <f t="shared" si="29"/>
        <v>8.5</v>
      </c>
      <c r="H37" s="213">
        <f t="shared" si="30"/>
        <v>1.6346153846153846</v>
      </c>
      <c r="I37" s="210">
        <f t="shared" si="31"/>
        <v>9</v>
      </c>
      <c r="J37" s="209">
        <f>(_xlfn.XLOOKUP(Constructors[[#This Row],[Contructor]],Drivers[Team],Drivers[Avg. Pos.],,,1)+_xlfn.XLOOKUP(Constructors[[#This Row],[Contructor]],Drivers[Team],Drivers[Avg. Pos.],,,-1))/2</f>
        <v>15.969999999999999</v>
      </c>
      <c r="K37" s="209">
        <f>(_xlfn.XLOOKUP(Constructors[[#This Row],[Contructor]],Drivers[Team],Drivers[Wins],,,1)+_xlfn.XLOOKUP(Constructors[[#This Row],[Contructor]],Drivers[Team],Drivers[Wins],,,-1))</f>
        <v>0</v>
      </c>
      <c r="L37" s="209">
        <f>(_xlfn.XLOOKUP(Constructors[[#This Row],[Contructor]],Drivers[Team],Drivers[DNF],,,1)+_xlfn.XLOOKUP(Constructors[[#This Row],[Contructor]],Drivers[Team],Drivers[DNF],,,-1))</f>
        <v>8</v>
      </c>
      <c r="M37" s="137"/>
      <c r="Q37" s="137"/>
      <c r="R37" s="185">
        <f>R38</f>
        <v>1</v>
      </c>
      <c r="S37" s="160" t="s">
        <v>119</v>
      </c>
      <c r="T37" s="154" t="s">
        <v>117</v>
      </c>
      <c r="U37" s="388">
        <v>16</v>
      </c>
      <c r="V37" s="189">
        <f>SUM(AA37:AV37)-(SUM(AA38:AV38)-(COUNTIF(AA38:AV38,20.1)*0.1))</f>
        <v>24</v>
      </c>
      <c r="W37" s="346">
        <f>V37/($Z$4-1)</f>
        <v>1.263157894736842</v>
      </c>
      <c r="X37" s="187">
        <f t="shared" ref="X37" si="41">COUNTIF(AA38:AV38,1)</f>
        <v>0</v>
      </c>
      <c r="Y37" s="192">
        <f>COUNTIF(AA38:AV38,"=20.1")</f>
        <v>4</v>
      </c>
      <c r="Z37" s="179">
        <f>SUM(AA37:AV37)/($Z$4)</f>
        <v>15.8</v>
      </c>
      <c r="AA37" s="163">
        <v>14</v>
      </c>
      <c r="AB37" s="163">
        <v>17</v>
      </c>
      <c r="AC37" s="163">
        <v>20</v>
      </c>
      <c r="AD37" s="163">
        <v>20</v>
      </c>
      <c r="AE37" s="163">
        <v>18</v>
      </c>
      <c r="AF37" s="163">
        <v>18</v>
      </c>
      <c r="AG37" s="163">
        <v>16</v>
      </c>
      <c r="AH37" s="163">
        <v>17</v>
      </c>
      <c r="AI37" s="163">
        <v>12</v>
      </c>
      <c r="AJ37" s="163">
        <v>16</v>
      </c>
      <c r="AK37" s="163">
        <v>11</v>
      </c>
      <c r="AL37" s="163">
        <v>15</v>
      </c>
      <c r="AM37" s="163">
        <v>17</v>
      </c>
      <c r="AN37" s="163">
        <v>6</v>
      </c>
      <c r="AO37" s="163">
        <v>13</v>
      </c>
      <c r="AP37" s="163">
        <v>8</v>
      </c>
      <c r="AQ37" s="163">
        <v>17</v>
      </c>
      <c r="AR37" s="163">
        <v>16</v>
      </c>
      <c r="AS37" s="163">
        <v>8</v>
      </c>
      <c r="AT37" s="163">
        <v>17</v>
      </c>
      <c r="AU37" s="163">
        <v>20</v>
      </c>
      <c r="AV37" s="164"/>
    </row>
    <row r="38" spans="2:48" ht="17" thickBot="1" x14ac:dyDescent="0.25">
      <c r="R38" s="185">
        <f>IF(U37&gt;U39,1,0)</f>
        <v>1</v>
      </c>
      <c r="S38" s="161" t="s">
        <v>88</v>
      </c>
      <c r="T38" s="155" t="s">
        <v>93</v>
      </c>
      <c r="U38" s="389"/>
      <c r="V38" s="190">
        <f>V37</f>
        <v>24</v>
      </c>
      <c r="W38" s="347">
        <f>W37</f>
        <v>1.263157894736842</v>
      </c>
      <c r="X38" s="190">
        <f t="shared" ref="X38" si="42">X37</f>
        <v>0</v>
      </c>
      <c r="Y38" s="193">
        <f>Y37</f>
        <v>4</v>
      </c>
      <c r="Z38" s="180">
        <f>SUM(AA38:AV38)/($Z$4)</f>
        <v>14.62</v>
      </c>
      <c r="AA38" s="165">
        <v>13</v>
      </c>
      <c r="AB38" s="165">
        <v>14</v>
      </c>
      <c r="AC38" s="165">
        <v>10</v>
      </c>
      <c r="AD38" s="165">
        <v>11</v>
      </c>
      <c r="AE38" s="165">
        <v>9</v>
      </c>
      <c r="AF38" s="165">
        <v>18</v>
      </c>
      <c r="AG38" s="165">
        <v>20.100000000000001</v>
      </c>
      <c r="AH38" s="165">
        <v>12</v>
      </c>
      <c r="AI38" s="165">
        <v>13</v>
      </c>
      <c r="AJ38" s="165">
        <v>20.100000000000001</v>
      </c>
      <c r="AK38" s="165">
        <v>12</v>
      </c>
      <c r="AL38" s="165">
        <v>13</v>
      </c>
      <c r="AM38" s="165">
        <v>17</v>
      </c>
      <c r="AN38" s="165">
        <v>10</v>
      </c>
      <c r="AO38" s="165">
        <v>12</v>
      </c>
      <c r="AP38" s="198">
        <v>9</v>
      </c>
      <c r="AQ38" s="165">
        <v>20.100000000000001</v>
      </c>
      <c r="AR38" s="165">
        <v>20.100000000000001</v>
      </c>
      <c r="AS38" s="165">
        <v>12</v>
      </c>
      <c r="AT38" s="165">
        <v>12</v>
      </c>
      <c r="AU38" s="165">
        <v>15</v>
      </c>
      <c r="AV38" s="166"/>
    </row>
    <row r="39" spans="2:48" x14ac:dyDescent="0.2">
      <c r="R39" s="185">
        <f>R40</f>
        <v>0</v>
      </c>
      <c r="S39" s="160" t="s">
        <v>119</v>
      </c>
      <c r="T39" s="154" t="s">
        <v>117</v>
      </c>
      <c r="U39" s="388">
        <v>4</v>
      </c>
      <c r="V39" s="189">
        <f>SUM(AA39:AV39)-(SUM(AA40:AV40)-(COUNTIF(AA40:AV40,20.1)*0.1))</f>
        <v>29</v>
      </c>
      <c r="W39" s="346">
        <f>V39/($Z$4-1)</f>
        <v>1.5263157894736843</v>
      </c>
      <c r="X39" s="187">
        <f t="shared" ref="X39" si="43">COUNTIF(AA40:AV40,1)</f>
        <v>0</v>
      </c>
      <c r="Y39" s="192">
        <f>COUNTIF(AA40:AV40,"=20.1")</f>
        <v>4</v>
      </c>
      <c r="Z39" s="183">
        <f t="shared" ref="Z39:Z44" si="44">SUM(AA39:AV39)/$Z$4</f>
        <v>18.75</v>
      </c>
      <c r="AA39" s="163">
        <v>20</v>
      </c>
      <c r="AB39" s="163">
        <v>19</v>
      </c>
      <c r="AC39" s="163">
        <v>18</v>
      </c>
      <c r="AD39" s="163">
        <v>18</v>
      </c>
      <c r="AE39" s="163">
        <v>19</v>
      </c>
      <c r="AF39" s="163">
        <v>19</v>
      </c>
      <c r="AG39" s="163">
        <v>19</v>
      </c>
      <c r="AH39" s="163">
        <v>18</v>
      </c>
      <c r="AI39" s="163">
        <v>19</v>
      </c>
      <c r="AJ39" s="163">
        <v>10</v>
      </c>
      <c r="AK39" s="163">
        <v>19</v>
      </c>
      <c r="AL39" s="163">
        <v>20</v>
      </c>
      <c r="AM39" s="163">
        <v>20</v>
      </c>
      <c r="AN39" s="163">
        <v>11</v>
      </c>
      <c r="AO39" s="163">
        <v>20</v>
      </c>
      <c r="AP39" s="163">
        <v>10</v>
      </c>
      <c r="AQ39" s="163">
        <v>19</v>
      </c>
      <c r="AR39" s="163">
        <v>20</v>
      </c>
      <c r="AS39" s="163">
        <v>20</v>
      </c>
      <c r="AT39" s="163">
        <v>18</v>
      </c>
      <c r="AU39" s="163">
        <v>19</v>
      </c>
      <c r="AV39" s="164"/>
    </row>
    <row r="40" spans="2:48" ht="17" thickBot="1" x14ac:dyDescent="0.25">
      <c r="R40" s="185">
        <f>IF(U39&gt;U37,1,0)</f>
        <v>0</v>
      </c>
      <c r="S40" s="161" t="s">
        <v>47</v>
      </c>
      <c r="T40" s="155" t="s">
        <v>93</v>
      </c>
      <c r="U40" s="389"/>
      <c r="V40" s="190">
        <f>V39</f>
        <v>29</v>
      </c>
      <c r="W40" s="347">
        <f>W39</f>
        <v>1.5263157894736843</v>
      </c>
      <c r="X40" s="190">
        <f t="shared" ref="X40" si="45">X39</f>
        <v>0</v>
      </c>
      <c r="Y40" s="193">
        <f>Y39</f>
        <v>4</v>
      </c>
      <c r="Z40" s="180">
        <f t="shared" si="44"/>
        <v>17.32</v>
      </c>
      <c r="AA40" s="165">
        <v>16</v>
      </c>
      <c r="AB40" s="165">
        <v>20.100000000000001</v>
      </c>
      <c r="AC40" s="165">
        <v>16</v>
      </c>
      <c r="AD40" s="165">
        <v>16</v>
      </c>
      <c r="AE40" s="165">
        <v>14</v>
      </c>
      <c r="AF40" s="165">
        <v>17</v>
      </c>
      <c r="AG40" s="165">
        <v>15</v>
      </c>
      <c r="AH40" s="165">
        <v>15</v>
      </c>
      <c r="AI40" s="165">
        <v>16</v>
      </c>
      <c r="AJ40" s="165">
        <v>12</v>
      </c>
      <c r="AK40" s="165">
        <v>20.100000000000001</v>
      </c>
      <c r="AL40" s="165">
        <v>20.100000000000001</v>
      </c>
      <c r="AM40" s="165">
        <v>18</v>
      </c>
      <c r="AN40" s="165">
        <v>18</v>
      </c>
      <c r="AO40" s="165">
        <v>18</v>
      </c>
      <c r="AP40" s="165">
        <v>15</v>
      </c>
      <c r="AQ40" s="165">
        <v>20.100000000000001</v>
      </c>
      <c r="AR40" s="165">
        <v>9</v>
      </c>
      <c r="AS40" s="165">
        <v>17</v>
      </c>
      <c r="AT40" s="165">
        <v>18</v>
      </c>
      <c r="AU40" s="165">
        <v>16</v>
      </c>
      <c r="AV40" s="166"/>
    </row>
    <row r="41" spans="2:48" x14ac:dyDescent="0.2">
      <c r="R41" s="185">
        <f>R42</f>
        <v>1</v>
      </c>
      <c r="S41" s="197" t="s">
        <v>119</v>
      </c>
      <c r="T41" s="156" t="s">
        <v>117</v>
      </c>
      <c r="U41" s="386">
        <v>12</v>
      </c>
      <c r="V41" s="189">
        <f>SUM(AA41:AV41)-(SUM(AA42:AV42)-(COUNTIF(AA42:AV42,20.1)*0.1))</f>
        <v>-8.9999999999999432</v>
      </c>
      <c r="W41" s="348">
        <f>V41/($Z$4-1)</f>
        <v>-0.47368421052631282</v>
      </c>
      <c r="X41" s="186">
        <f t="shared" ref="X41" si="46">COUNTIF(AA42:AV42,1)</f>
        <v>0</v>
      </c>
      <c r="Y41" s="194">
        <f>COUNTIF(AA42:AV42,"=20.1")</f>
        <v>3</v>
      </c>
      <c r="Z41" s="181">
        <f t="shared" si="44"/>
        <v>14.65</v>
      </c>
      <c r="AA41" s="167">
        <v>12</v>
      </c>
      <c r="AB41" s="167">
        <v>14</v>
      </c>
      <c r="AC41" s="167">
        <v>15</v>
      </c>
      <c r="AD41" s="167">
        <v>12</v>
      </c>
      <c r="AE41" s="167">
        <v>15</v>
      </c>
      <c r="AF41" s="167">
        <v>10</v>
      </c>
      <c r="AG41" s="167">
        <v>15</v>
      </c>
      <c r="AH41" s="167">
        <v>20</v>
      </c>
      <c r="AI41" s="167">
        <v>6</v>
      </c>
      <c r="AJ41" s="167">
        <v>19</v>
      </c>
      <c r="AK41" s="167">
        <v>7</v>
      </c>
      <c r="AL41" s="167">
        <v>19</v>
      </c>
      <c r="AM41" s="167">
        <v>15</v>
      </c>
      <c r="AN41" s="167">
        <v>20</v>
      </c>
      <c r="AO41" s="167">
        <v>8</v>
      </c>
      <c r="AP41" s="167">
        <v>17</v>
      </c>
      <c r="AQ41" s="167">
        <v>12</v>
      </c>
      <c r="AR41" s="167">
        <v>15</v>
      </c>
      <c r="AS41" s="167">
        <v>15</v>
      </c>
      <c r="AT41" s="167">
        <v>15</v>
      </c>
      <c r="AU41" s="167">
        <v>12</v>
      </c>
      <c r="AV41" s="168"/>
    </row>
    <row r="42" spans="2:48" ht="17" thickBot="1" x14ac:dyDescent="0.25">
      <c r="R42" s="185">
        <f>IF(U41&gt;U43,1,0)</f>
        <v>1</v>
      </c>
      <c r="S42" s="162" t="s">
        <v>49</v>
      </c>
      <c r="T42" s="157" t="s">
        <v>93</v>
      </c>
      <c r="U42" s="387"/>
      <c r="V42" s="191">
        <f>V41</f>
        <v>-8.9999999999999432</v>
      </c>
      <c r="W42" s="349">
        <f>W41</f>
        <v>-0.47368421052631282</v>
      </c>
      <c r="X42" s="191">
        <f t="shared" ref="X42" si="47">X41</f>
        <v>0</v>
      </c>
      <c r="Y42" s="195">
        <f>Y41</f>
        <v>3</v>
      </c>
      <c r="Z42" s="182">
        <f t="shared" si="44"/>
        <v>15.114999999999998</v>
      </c>
      <c r="AA42" s="169">
        <v>11</v>
      </c>
      <c r="AB42" s="169">
        <v>20.100000000000001</v>
      </c>
      <c r="AC42" s="169">
        <v>13</v>
      </c>
      <c r="AD42" s="169">
        <v>17</v>
      </c>
      <c r="AE42" s="169">
        <v>15</v>
      </c>
      <c r="AF42" s="169">
        <v>14</v>
      </c>
      <c r="AG42" s="169">
        <v>20.100000000000001</v>
      </c>
      <c r="AH42" s="169">
        <v>14</v>
      </c>
      <c r="AI42" s="169">
        <v>20.100000000000001</v>
      </c>
      <c r="AJ42" s="169">
        <v>8</v>
      </c>
      <c r="AK42" s="169">
        <v>6</v>
      </c>
      <c r="AL42" s="169">
        <v>15</v>
      </c>
      <c r="AM42" s="169">
        <v>14</v>
      </c>
      <c r="AN42" s="169">
        <v>17</v>
      </c>
      <c r="AO42" s="169">
        <v>13</v>
      </c>
      <c r="AP42" s="169">
        <v>12</v>
      </c>
      <c r="AQ42" s="169">
        <v>13</v>
      </c>
      <c r="AR42" s="169">
        <v>17</v>
      </c>
      <c r="AS42" s="169">
        <v>14</v>
      </c>
      <c r="AT42" s="169">
        <v>16</v>
      </c>
      <c r="AU42" s="169">
        <v>13</v>
      </c>
      <c r="AV42" s="170"/>
    </row>
    <row r="43" spans="2:48" x14ac:dyDescent="0.2">
      <c r="B43" s="223"/>
      <c r="C43" s="223"/>
      <c r="D43" s="202"/>
      <c r="R43" s="185">
        <f>R44</f>
        <v>0</v>
      </c>
      <c r="S43" s="197" t="s">
        <v>119</v>
      </c>
      <c r="T43" s="156" t="s">
        <v>117</v>
      </c>
      <c r="U43" s="386">
        <v>8</v>
      </c>
      <c r="V43" s="189">
        <f>SUM(AA43:AV43)-(SUM(AA44:AV44)-(COUNTIF(AA44:AV44,20.1)*0.1))</f>
        <v>-40</v>
      </c>
      <c r="W43" s="348">
        <f>V43/($Z$4-1)</f>
        <v>-2.1052631578947367</v>
      </c>
      <c r="X43" s="186">
        <f t="shared" ref="X43" si="48">COUNTIF(AA44:AV44,1)</f>
        <v>0</v>
      </c>
      <c r="Y43" s="194">
        <f>COUNTIF(AA44:AV44,"=20.1")</f>
        <v>4</v>
      </c>
      <c r="Z43" s="181">
        <f t="shared" si="44"/>
        <v>12.95</v>
      </c>
      <c r="AA43" s="167">
        <v>7</v>
      </c>
      <c r="AB43" s="167">
        <v>10</v>
      </c>
      <c r="AC43" s="167">
        <v>16</v>
      </c>
      <c r="AD43" s="167">
        <v>4</v>
      </c>
      <c r="AE43" s="167">
        <v>16</v>
      </c>
      <c r="AF43" s="167">
        <v>8</v>
      </c>
      <c r="AG43" s="167">
        <v>13</v>
      </c>
      <c r="AH43" s="167">
        <v>16</v>
      </c>
      <c r="AI43" s="167">
        <v>5</v>
      </c>
      <c r="AJ43" s="167">
        <v>17</v>
      </c>
      <c r="AK43" s="167">
        <v>6</v>
      </c>
      <c r="AL43" s="167">
        <v>10</v>
      </c>
      <c r="AM43" s="167">
        <v>13</v>
      </c>
      <c r="AN43" s="167">
        <v>12</v>
      </c>
      <c r="AO43" s="167">
        <v>18</v>
      </c>
      <c r="AP43" s="167">
        <v>16</v>
      </c>
      <c r="AQ43" s="167">
        <v>9</v>
      </c>
      <c r="AR43" s="167">
        <v>18</v>
      </c>
      <c r="AS43" s="167">
        <v>18</v>
      </c>
      <c r="AT43" s="167">
        <v>19</v>
      </c>
      <c r="AU43" s="167">
        <v>8</v>
      </c>
      <c r="AV43" s="168"/>
    </row>
    <row r="44" spans="2:48" ht="17" thickBot="1" x14ac:dyDescent="0.25">
      <c r="B44" s="223"/>
      <c r="C44" s="223"/>
      <c r="D44" s="202"/>
      <c r="R44" s="185">
        <f>IF(U43&gt;U41,1,0)</f>
        <v>0</v>
      </c>
      <c r="S44" s="162" t="s">
        <v>104</v>
      </c>
      <c r="T44" s="157" t="s">
        <v>93</v>
      </c>
      <c r="U44" s="387"/>
      <c r="V44" s="191">
        <f>V43</f>
        <v>-40</v>
      </c>
      <c r="W44" s="349">
        <f>W43</f>
        <v>-2.1052631578947367</v>
      </c>
      <c r="X44" s="191">
        <f t="shared" ref="X44" si="49">X43</f>
        <v>0</v>
      </c>
      <c r="Y44" s="195">
        <f>Y43</f>
        <v>4</v>
      </c>
      <c r="Z44" s="182">
        <f t="shared" si="44"/>
        <v>14.969999999999999</v>
      </c>
      <c r="AA44" s="169">
        <v>5</v>
      </c>
      <c r="AB44" s="169">
        <v>9</v>
      </c>
      <c r="AC44" s="169">
        <v>14</v>
      </c>
      <c r="AD44" s="169">
        <v>9</v>
      </c>
      <c r="AE44" s="169">
        <v>16</v>
      </c>
      <c r="AF44" s="169">
        <v>17</v>
      </c>
      <c r="AG44" s="169">
        <v>20.100000000000001</v>
      </c>
      <c r="AH44" s="169">
        <v>20.100000000000001</v>
      </c>
      <c r="AI44" s="169">
        <v>17</v>
      </c>
      <c r="AJ44" s="169">
        <v>10</v>
      </c>
      <c r="AK44" s="169">
        <v>8</v>
      </c>
      <c r="AL44" s="169">
        <v>20.100000000000001</v>
      </c>
      <c r="AM44" s="169">
        <v>16</v>
      </c>
      <c r="AN44" s="169">
        <v>16</v>
      </c>
      <c r="AO44" s="169">
        <v>15</v>
      </c>
      <c r="AP44" s="169">
        <v>16</v>
      </c>
      <c r="AQ44" s="169">
        <v>12</v>
      </c>
      <c r="AR44" s="169">
        <v>14</v>
      </c>
      <c r="AS44" s="169">
        <v>8</v>
      </c>
      <c r="AT44" s="169">
        <v>17</v>
      </c>
      <c r="AU44" s="169">
        <v>20.100000000000001</v>
      </c>
      <c r="AV44" s="170"/>
    </row>
  </sheetData>
  <mergeCells count="20">
    <mergeCell ref="U31:U32"/>
    <mergeCell ref="U29:U30"/>
    <mergeCell ref="U27:U28"/>
    <mergeCell ref="U43:U44"/>
    <mergeCell ref="U41:U42"/>
    <mergeCell ref="U39:U40"/>
    <mergeCell ref="U37:U38"/>
    <mergeCell ref="U35:U36"/>
    <mergeCell ref="U33:U34"/>
    <mergeCell ref="U9:U10"/>
    <mergeCell ref="U7:U8"/>
    <mergeCell ref="U5:U6"/>
    <mergeCell ref="U11:U12"/>
    <mergeCell ref="U25:U26"/>
    <mergeCell ref="U23:U24"/>
    <mergeCell ref="U21:U22"/>
    <mergeCell ref="U19:U20"/>
    <mergeCell ref="U17:U18"/>
    <mergeCell ref="U15:U16"/>
    <mergeCell ref="U13:U14"/>
  </mergeCells>
  <phoneticPr fontId="5" type="noConversion"/>
  <conditionalFormatting sqref="N1">
    <cfRule type="cellIs" dxfId="67" priority="191" operator="lessThan">
      <formula>0</formula>
    </cfRule>
  </conditionalFormatting>
  <conditionalFormatting sqref="BE23">
    <cfRule type="top10" dxfId="66" priority="134" percent="1" rank="25"/>
  </conditionalFormatting>
  <conditionalFormatting sqref="R5:R44">
    <cfRule type="cellIs" dxfId="65" priority="77" operator="equal">
      <formula>1</formula>
    </cfRule>
  </conditionalFormatting>
  <conditionalFormatting sqref="AA5:AV44">
    <cfRule type="cellIs" dxfId="64" priority="56" operator="equal">
      <formula>20.1</formula>
    </cfRule>
  </conditionalFormatting>
  <conditionalFormatting sqref="V5 V7 V9 V11 V13 V15 V17 V19 V21 V23 V25 V27 V29 V31 V33 V35 V37 V39 V41 V43">
    <cfRule type="cellIs" dxfId="63" priority="45" operator="lessThan">
      <formula>0</formula>
    </cfRule>
  </conditionalFormatting>
  <pageMargins left="0.7" right="0.7" top="0.75" bottom="0.75" header="0.3" footer="0.3"/>
  <ignoredErrors>
    <ignoredError sqref="R6:R44 V6:X44" formula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55C-A444-EB41-867E-150105931E42}">
  <dimension ref="A1:AG59"/>
  <sheetViews>
    <sheetView tabSelected="1" zoomScale="75" zoomScaleNormal="75" workbookViewId="0">
      <selection activeCell="I8" sqref="I8"/>
    </sheetView>
  </sheetViews>
  <sheetFormatPr baseColWidth="10" defaultRowHeight="16" x14ac:dyDescent="0.2"/>
  <cols>
    <col min="1" max="1" width="13.33203125" style="225" customWidth="1"/>
    <col min="2" max="2" width="10.1640625" style="225" customWidth="1"/>
    <col min="3" max="3" width="12.1640625" style="225" customWidth="1"/>
    <col min="4" max="4" width="10.83203125" style="225" customWidth="1"/>
    <col min="5" max="5" width="2.33203125" style="225" customWidth="1"/>
    <col min="6" max="6" width="3.1640625" style="225" customWidth="1"/>
    <col min="7" max="7" width="9.33203125" style="225" customWidth="1"/>
    <col min="8" max="8" width="7.1640625" style="225" bestFit="1" customWidth="1"/>
    <col min="9" max="9" width="10.83203125" style="225" customWidth="1"/>
    <col min="10" max="11" width="10.83203125" style="225"/>
    <col min="12" max="14" width="10.83203125" style="225" customWidth="1"/>
    <col min="15" max="15" width="11.83203125" style="225" bestFit="1" customWidth="1"/>
    <col min="16" max="16" width="10.83203125" style="225"/>
    <col min="17" max="17" width="10.83203125" style="225" customWidth="1"/>
    <col min="18" max="18" width="6.1640625" style="225" customWidth="1"/>
    <col min="19" max="19" width="10.83203125" style="225" customWidth="1"/>
    <col min="20" max="21" width="3.33203125" style="225" customWidth="1"/>
    <col min="22" max="22" width="10.83203125" style="225" customWidth="1"/>
    <col min="23" max="23" width="11.6640625" style="225" customWidth="1"/>
    <col min="24" max="24" width="5.83203125" style="225" customWidth="1"/>
    <col min="25" max="25" width="10.83203125" style="225" customWidth="1"/>
    <col min="26" max="26" width="3.33203125" style="225" customWidth="1"/>
    <col min="27" max="28" width="10.83203125" style="225" customWidth="1"/>
    <col min="29" max="29" width="5.83203125" style="225" customWidth="1"/>
    <col min="30" max="16384" width="10.83203125" style="225"/>
  </cols>
  <sheetData>
    <row r="1" spans="1:32" x14ac:dyDescent="0.2">
      <c r="A1" s="313" t="s">
        <v>141</v>
      </c>
    </row>
    <row r="2" spans="1:32" ht="17" thickBot="1" x14ac:dyDescent="0.25">
      <c r="A2" s="313" t="s">
        <v>142</v>
      </c>
    </row>
    <row r="3" spans="1:32" ht="17" thickBot="1" x14ac:dyDescent="0.25">
      <c r="D3" s="226"/>
      <c r="E3" s="227"/>
      <c r="F3" s="227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7"/>
      <c r="Z3" s="227"/>
      <c r="AA3" s="227"/>
      <c r="AB3" s="227"/>
      <c r="AC3" s="227"/>
      <c r="AD3" s="229"/>
    </row>
    <row r="4" spans="1:32" ht="20" customHeight="1" thickBot="1" x14ac:dyDescent="0.25">
      <c r="D4" s="315" t="s">
        <v>144</v>
      </c>
      <c r="E4" s="316"/>
      <c r="F4" s="314" t="s">
        <v>125</v>
      </c>
      <c r="G4" s="316"/>
      <c r="H4" s="233"/>
      <c r="I4" s="234" t="s">
        <v>78</v>
      </c>
      <c r="J4" s="235" t="s">
        <v>135</v>
      </c>
      <c r="K4" s="236" t="s">
        <v>1</v>
      </c>
      <c r="L4" s="236" t="s">
        <v>91</v>
      </c>
      <c r="M4" s="236" t="s">
        <v>105</v>
      </c>
      <c r="N4" s="236" t="s">
        <v>146</v>
      </c>
      <c r="O4" s="236" t="s">
        <v>133</v>
      </c>
      <c r="P4" s="236" t="s">
        <v>134</v>
      </c>
      <c r="Q4" s="236" t="s">
        <v>129</v>
      </c>
      <c r="R4" s="352"/>
      <c r="S4" s="232"/>
      <c r="T4" s="357" t="s">
        <v>126</v>
      </c>
      <c r="U4" s="358" t="s">
        <v>127</v>
      </c>
      <c r="V4" s="371" t="s">
        <v>3</v>
      </c>
      <c r="W4" s="359" t="s">
        <v>1</v>
      </c>
      <c r="X4" s="360" t="s">
        <v>139</v>
      </c>
      <c r="Y4" s="231"/>
      <c r="Z4" s="319" t="s">
        <v>127</v>
      </c>
      <c r="AA4" s="371" t="s">
        <v>7</v>
      </c>
      <c r="AB4" s="359" t="s">
        <v>1</v>
      </c>
      <c r="AC4" s="360" t="s">
        <v>139</v>
      </c>
      <c r="AD4" s="238"/>
      <c r="AE4" s="239" t="s">
        <v>5</v>
      </c>
    </row>
    <row r="5" spans="1:32" ht="16" customHeight="1" x14ac:dyDescent="0.2">
      <c r="A5" s="372"/>
      <c r="D5" s="317" t="s">
        <v>86</v>
      </c>
      <c r="E5" s="231"/>
      <c r="F5" s="240" t="str">
        <f>IF(ISTEXT(I5),IF(COUNTIF($D$5:$D$10,I5)&gt;0,"",1),"")</f>
        <v/>
      </c>
      <c r="G5" s="232" t="str">
        <f>IF(F5=1,"-----------","")</f>
        <v/>
      </c>
      <c r="H5" s="241" t="s">
        <v>126</v>
      </c>
      <c r="I5" s="242" t="s">
        <v>143</v>
      </c>
      <c r="J5" s="243">
        <f>(_xlfn.XLOOKUP(I5,'2022'!$B$4:$B$23,'2022'!$G$4:$G$23,0))*IF(H5="TD",2,IF(H5="MD",3,1))</f>
        <v>85.4</v>
      </c>
      <c r="K5" s="244">
        <f>_xlfn.XLOOKUP(I5,'2022'!$B$4:$B$23,'2022'!$D$4:$D$23,0)</f>
        <v>34.1</v>
      </c>
      <c r="L5" s="245">
        <f>_xlfn.XLOOKUP(I5,'2022'!$B$4:$B$23,'2022'!$E$4:$E$23,"")</f>
        <v>0</v>
      </c>
      <c r="M5" s="245">
        <f>_xlfn.XLOOKUP(I5,'2022'!$B$4:$B$23,'2022'!$L$4:$L$23,0)</f>
        <v>2</v>
      </c>
      <c r="N5" s="323">
        <f>_xlfn.XLOOKUP(I5,Drivers[Driver],Drivers[Wins],"")</f>
        <v>14</v>
      </c>
      <c r="O5" s="328">
        <f>_xlfn.XLOOKUP(I5,'2022'!$S$5:$S$44,'2022'!$W$5:$W$44,0)</f>
        <v>-0.26315789473684209</v>
      </c>
      <c r="P5" s="245">
        <f>_xlfn.XLOOKUP(I5,'2022'!$B$4:$B$23,'2022'!$J$4:$J$23,"")</f>
        <v>3.96</v>
      </c>
      <c r="Q5" s="245">
        <f>_xlfn.XLOOKUP(I5,'2022'!$B$4:$B$23,'2022'!$M$4:$M$23,"")</f>
        <v>1</v>
      </c>
      <c r="R5" s="353"/>
      <c r="S5" s="232"/>
      <c r="T5" s="361">
        <f>IF(_xlfn.XLOOKUP(V5,'2022'!$B$4:$B$23,'2022'!$D$4:$D$23,"")&lt;20,_xlfn.XLOOKUP(V5,'2022'!$B$4:$B$23,'2022'!$G$4:$G$23),"")</f>
        <v>8.4499999999999993</v>
      </c>
      <c r="U5" s="362">
        <f t="shared" ref="U5:U24" si="0">W5</f>
        <v>6.2</v>
      </c>
      <c r="V5" s="366" t="str">
        <f>IF(OR($P$13&lt;'2022'!D4,IF(ISTEXT(_xlfn.XLOOKUP('2022'!B4,$I$5:$I$10,$K$5:$K$10,"")),FALSE,TRUE)),"",'2022'!B4)</f>
        <v>Albon</v>
      </c>
      <c r="W5" s="363" cm="1">
        <f t="array" ref="W5">_xlfn.XLOOKUP(V5,'2022'!$B$4:$B$23,_xlfn.XLOOKUP($W$4,'2022'!$C$3:$P$3,'2022'!$C$4:$P$23,""),"")</f>
        <v>6.2</v>
      </c>
      <c r="X5" s="365">
        <f>IF(W5=0,"",IF(ISNUMBER(W5),IF(OR($W$4="Price",$W$4="Avg. Pos."),RANK(W5,$W$5:$W$24,1),RANK(W5,$W$5:$W$24,0)),""))</f>
        <v>6</v>
      </c>
      <c r="Y5" s="231"/>
      <c r="Z5" s="320" t="str">
        <f t="shared" ref="Z5:Z14" si="1">AB5</f>
        <v/>
      </c>
      <c r="AA5" s="364" t="str">
        <f>IF(OR($P$13&lt;'2022'!D28,IF(ISTEXT(_xlfn.XLOOKUP('2022'!B28,$I$10,$K$10,"")),FALSE,TRUE)),"",'2022'!B28)</f>
        <v/>
      </c>
      <c r="AB5" s="363" t="str" cm="1">
        <f t="array" ref="AB5">_xlfn.XLOOKUP(AA5,'2022'!$B$28:$B$37,_xlfn.XLOOKUP($AB$4,'2022'!$C$27:$L$27,'2022'!$C$28:$L$37,""),"")</f>
        <v/>
      </c>
      <c r="AC5" s="365" t="str">
        <f>IF(AB5=0,"",IF(ISNUMBER(AB5),IF(OR($AB$4="Price",$AB$4="Avg. Pos."),RANK(AB5,$AB$5:$AB$14,1),RANK(AB5,$AB$5:$AB$14,0)),""))</f>
        <v/>
      </c>
      <c r="AD5" s="238"/>
      <c r="AE5" s="239" t="s">
        <v>135</v>
      </c>
      <c r="AF5" s="210"/>
    </row>
    <row r="6" spans="1:32" ht="16" customHeight="1" x14ac:dyDescent="0.2">
      <c r="D6" s="317" t="s">
        <v>147</v>
      </c>
      <c r="E6" s="231"/>
      <c r="F6" s="240">
        <f t="shared" ref="F6:F10" si="2">IF(ISTEXT(I6),IF(COUNTIF($D$5:$D$10,I6)&gt;0,"",1),"")</f>
        <v>1</v>
      </c>
      <c r="G6" s="232" t="str">
        <f t="shared" ref="G6:G10" si="3">IF(F6=1,"-----------","")</f>
        <v>-----------</v>
      </c>
      <c r="H6" s="247"/>
      <c r="I6" s="242" t="s">
        <v>13</v>
      </c>
      <c r="J6" s="248">
        <f>(_xlfn.XLOOKUP(I6,'2022'!$B$4:$B$23,'2022'!$G$4:$G$23,0))*IF(H6="TD",2,IF(H6="MD",3,1))</f>
        <v>28.95</v>
      </c>
      <c r="K6" s="249">
        <f>_xlfn.XLOOKUP(I6,'2022'!$B$4:$B$23,'2022'!$D$4:$D$23,0)</f>
        <v>22.6</v>
      </c>
      <c r="L6" s="250">
        <f>_xlfn.XLOOKUP(I6,'2022'!$B$4:$B$23,'2022'!$E$4:$E$23,"")</f>
        <v>0</v>
      </c>
      <c r="M6" s="250">
        <f>_xlfn.XLOOKUP(I6,'2022'!$B$4:$B$23,'2022'!$L$4:$L$23,0)</f>
        <v>1</v>
      </c>
      <c r="N6" s="323">
        <f>_xlfn.XLOOKUP(I6,Drivers[Driver],Drivers[Wins],"")</f>
        <v>0</v>
      </c>
      <c r="O6" s="249">
        <f>_xlfn.XLOOKUP(I6,'2022'!$S$5:$S$44,'2022'!$W$5:$W$44,0)</f>
        <v>1.263157894736842</v>
      </c>
      <c r="P6" s="250">
        <f>_xlfn.XLOOKUP(I6,'2022'!$B$4:$B$23,'2022'!$J$4:$J$23,"")</f>
        <v>5.7549999999999999</v>
      </c>
      <c r="Q6" s="250">
        <f>_xlfn.XLOOKUP(I6,'2022'!$B$4:$B$23,'2022'!$M$4:$M$23,"")</f>
        <v>0</v>
      </c>
      <c r="R6" s="353"/>
      <c r="S6" s="232"/>
      <c r="T6" s="320">
        <f>IF(_xlfn.XLOOKUP(V6,'2022'!$B$4:$B$23,'2022'!$D$4:$D$23,"")&lt;20,_xlfn.XLOOKUP(V6,'2022'!$B$4:$B$23,'2022'!$G$4:$G$23),"")</f>
        <v>14</v>
      </c>
      <c r="U6" s="246">
        <f t="shared" si="0"/>
        <v>9.9</v>
      </c>
      <c r="V6" s="366" t="str">
        <f>IF(OR($P$13&lt;'2022'!D5,IF(ISTEXT(_xlfn.XLOOKUP('2022'!B5,$I$5:$I$10,$K$5:$K$10,"")),FALSE,TRUE)),"",'2022'!B5)</f>
        <v>Alonso</v>
      </c>
      <c r="W6" s="341" cm="1">
        <f t="array" ref="W6">_xlfn.XLOOKUP(V6,'2022'!$B$4:$B$23,_xlfn.XLOOKUP($W$4,'2022'!$C$3:$P$3,'2022'!$C$4:$P$23,""),"")</f>
        <v>9.9</v>
      </c>
      <c r="X6" s="367">
        <f t="shared" ref="X6:X24" si="4">IF(W6=0,"",IF(ISNUMBER(W6),IF(OR($W$4="Price",$W$4="Avg. Pos."),RANK(W6,$W$5:$W$24,1),RANK(W6,$W$5:$W$24,0)),""))</f>
        <v>11</v>
      </c>
      <c r="Y6" s="231"/>
      <c r="Z6" s="320" t="str">
        <f t="shared" si="1"/>
        <v/>
      </c>
      <c r="AA6" s="366" t="str">
        <f>IF(OR($P$13&lt;'2022'!D29,IF(ISTEXT(_xlfn.XLOOKUP('2022'!B29,$I$10,$K$10,"")),FALSE,TRUE)),"",'2022'!B29)</f>
        <v/>
      </c>
      <c r="AB6" s="341" t="str" cm="1">
        <f t="array" ref="AB6">_xlfn.XLOOKUP(AA6,'2022'!$B$28:$B$37,_xlfn.XLOOKUP($AB$4,'2022'!$C$27:$L$27,'2022'!$C$28:$L$37,""),"")</f>
        <v/>
      </c>
      <c r="AC6" s="367" t="str">
        <f t="shared" ref="AC6:AC14" si="5">IF(AB6=0,"",IF(ISNUMBER(AB6),IF(OR($AB$4="Price",$AB$4="Avg. Pos."),RANK(AB6,$AB$5:$AB$14,1),RANK(AB6,$AB$5:$AB$14,0)),""))</f>
        <v/>
      </c>
      <c r="AD6" s="238"/>
      <c r="AE6" s="239" t="s">
        <v>1</v>
      </c>
      <c r="AF6" s="373"/>
    </row>
    <row r="7" spans="1:32" x14ac:dyDescent="0.2">
      <c r="C7" s="251"/>
      <c r="D7" s="317" t="s">
        <v>143</v>
      </c>
      <c r="E7" s="231"/>
      <c r="F7" s="240">
        <f t="shared" si="2"/>
        <v>1</v>
      </c>
      <c r="G7" s="232" t="str">
        <f t="shared" si="3"/>
        <v>-----------</v>
      </c>
      <c r="H7" s="247"/>
      <c r="I7" s="242" t="s">
        <v>76</v>
      </c>
      <c r="J7" s="248">
        <f>(_xlfn.XLOOKUP(I7,'2022'!$B$4:$B$23,'2022'!$G$4:$G$23,0))*IF(H7="TD",2,IF(H7="MD",3,1))</f>
        <v>41</v>
      </c>
      <c r="K7" s="249">
        <f>_xlfn.XLOOKUP(I7,'2022'!$B$4:$B$23,'2022'!$D$4:$D$23,0)</f>
        <v>24.5</v>
      </c>
      <c r="L7" s="250">
        <f>_xlfn.XLOOKUP(I7,'2022'!$B$4:$B$23,'2022'!$E$4:$E$23,"")</f>
        <v>10</v>
      </c>
      <c r="M7" s="250">
        <f>_xlfn.XLOOKUP(I7,'2022'!$B$4:$B$23,'2022'!$L$4:$L$23,0)</f>
        <v>3</v>
      </c>
      <c r="N7" s="323">
        <f>_xlfn.XLOOKUP(I7,Drivers[Driver],Drivers[Wins],"")</f>
        <v>3</v>
      </c>
      <c r="O7" s="249">
        <f>_xlfn.XLOOKUP(I7,'2022'!$S$5:$S$44,'2022'!$W$5:$W$44,0)</f>
        <v>-1.9473684210526323</v>
      </c>
      <c r="P7" s="250">
        <f>_xlfn.XLOOKUP(I7,'2022'!$B$4:$B$23,'2022'!$J$4:$J$23,"")</f>
        <v>6.0650000000000004</v>
      </c>
      <c r="Q7" s="250">
        <f>_xlfn.XLOOKUP(I7,'2022'!$B$4:$B$23,'2022'!$M$4:$M$23,"")</f>
        <v>1</v>
      </c>
      <c r="R7" s="353"/>
      <c r="S7" s="232"/>
      <c r="T7" s="320">
        <f>IF(_xlfn.XLOOKUP(V7,'2022'!$B$4:$B$23,'2022'!$D$4:$D$23,"")&lt;20,_xlfn.XLOOKUP(V7,'2022'!$B$4:$B$23,'2022'!$G$4:$G$23),"")</f>
        <v>10.5</v>
      </c>
      <c r="U7" s="246">
        <f t="shared" si="0"/>
        <v>8.1</v>
      </c>
      <c r="V7" s="366" t="str">
        <f>IF(OR($P$13&lt;'2022'!D6,IF(ISTEXT(_xlfn.XLOOKUP('2022'!B6,$I$5:$I$10,$K$5:$K$10,"")),FALSE,TRUE)),"",'2022'!B6)</f>
        <v>Bottas</v>
      </c>
      <c r="W7" s="341" cm="1">
        <f t="array" ref="W7">_xlfn.XLOOKUP(V7,'2022'!$B$4:$B$23,_xlfn.XLOOKUP($W$4,'2022'!$C$3:$P$3,'2022'!$C$4:$P$23,""),"")</f>
        <v>8.1</v>
      </c>
      <c r="X7" s="367">
        <f t="shared" si="4"/>
        <v>9</v>
      </c>
      <c r="Y7" s="231"/>
      <c r="Z7" s="320" t="str">
        <f t="shared" si="1"/>
        <v/>
      </c>
      <c r="AA7" s="368" t="str">
        <f>IF(OR($P$13&lt;'2022'!D30,IF(ISTEXT(_xlfn.XLOOKUP('2022'!B30,$I$10,$K$10,"")),FALSE,TRUE)),"",'2022'!B30)</f>
        <v/>
      </c>
      <c r="AB7" s="341" t="str" cm="1">
        <f t="array" ref="AB7">_xlfn.XLOOKUP(AA7,'2022'!$B$28:$B$37,_xlfn.XLOOKUP($AB$4,'2022'!$C$27:$L$27,'2022'!$C$28:$L$37,""),"")</f>
        <v/>
      </c>
      <c r="AC7" s="367" t="str">
        <f t="shared" si="5"/>
        <v/>
      </c>
      <c r="AD7" s="238"/>
      <c r="AE7" s="239" t="s">
        <v>91</v>
      </c>
      <c r="AF7" s="373"/>
    </row>
    <row r="8" spans="1:32" x14ac:dyDescent="0.2">
      <c r="D8" s="318" t="s">
        <v>114</v>
      </c>
      <c r="E8" s="231"/>
      <c r="F8" s="240" t="str">
        <f t="shared" si="2"/>
        <v/>
      </c>
      <c r="G8" s="232" t="str">
        <f t="shared" si="3"/>
        <v/>
      </c>
      <c r="H8" s="247"/>
      <c r="I8" s="242" t="s">
        <v>114</v>
      </c>
      <c r="J8" s="248">
        <f>(_xlfn.XLOOKUP(I8,'2022'!$B$4:$B$23,'2022'!$G$4:$G$23,0))*IF(H8="TD",2,IF(H8="MD",3,1))</f>
        <v>29.4</v>
      </c>
      <c r="K8" s="249">
        <f>_xlfn.XLOOKUP(I8,'2022'!$B$4:$B$23,'2022'!$D$4:$D$23,0)</f>
        <v>23.2</v>
      </c>
      <c r="L8" s="250">
        <f>_xlfn.XLOOKUP(I8,'2022'!$B$4:$B$23,'2022'!$E$4:$E$23,"")</f>
        <v>0</v>
      </c>
      <c r="M8" s="250">
        <f>_xlfn.XLOOKUP(I8,'2022'!$B$4:$B$23,'2022'!$L$4:$L$23,0)</f>
        <v>3</v>
      </c>
      <c r="N8" s="323">
        <f>_xlfn.XLOOKUP(I8,Drivers[Driver],Drivers[Wins],"")</f>
        <v>2</v>
      </c>
      <c r="O8" s="249">
        <f>_xlfn.XLOOKUP(I8,'2022'!$S$5:$S$44,'2022'!$W$5:$W$44,0)</f>
        <v>-5.2631578947369168E-2</v>
      </c>
      <c r="P8" s="250">
        <f>_xlfn.XLOOKUP(I8,'2022'!$B$4:$B$23,'2022'!$J$4:$J$23,"")</f>
        <v>5.9150000000000009</v>
      </c>
      <c r="Q8" s="250">
        <f>_xlfn.XLOOKUP(I8,'2022'!$B$4:$B$23,'2022'!$M$4:$M$23,"")</f>
        <v>0</v>
      </c>
      <c r="R8" s="353"/>
      <c r="S8" s="232"/>
      <c r="T8" s="320">
        <f>IF(_xlfn.XLOOKUP(V8,'2022'!$B$4:$B$23,'2022'!$D$4:$D$23,"")&lt;20,_xlfn.XLOOKUP(V8,'2022'!$B$4:$B$23,'2022'!$G$4:$G$23),"")</f>
        <v>9.6999999999999993</v>
      </c>
      <c r="U8" s="246">
        <f t="shared" si="0"/>
        <v>8</v>
      </c>
      <c r="V8" s="366" t="str">
        <f>IF(OR($P$13&lt;'2022'!D7,IF(ISTEXT(_xlfn.XLOOKUP('2022'!B7,$I$5:$I$10,$K$5:$K$10,"")),FALSE,TRUE)),"",'2022'!B7)</f>
        <v>Gasly</v>
      </c>
      <c r="W8" s="341" cm="1">
        <f t="array" ref="W8">_xlfn.XLOOKUP(V8,'2022'!$B$4:$B$23,_xlfn.XLOOKUP($W$4,'2022'!$C$3:$P$3,'2022'!$C$4:$P$23,""),"")</f>
        <v>8</v>
      </c>
      <c r="X8" s="367">
        <f t="shared" si="4"/>
        <v>8</v>
      </c>
      <c r="Y8" s="231"/>
      <c r="Z8" s="320">
        <f t="shared" si="1"/>
        <v>12.8</v>
      </c>
      <c r="AA8" s="366" t="str">
        <f>IF(OR($P$13&lt;'2022'!D31,IF(ISTEXT(_xlfn.XLOOKUP('2022'!B31,$I$10,$K$10,"")),FALSE,TRUE)),"",'2022'!B31)</f>
        <v>Alpine</v>
      </c>
      <c r="AB8" s="341" cm="1">
        <f t="array" ref="AB8">_xlfn.XLOOKUP(AA8,'2022'!$B$28:$B$37,_xlfn.XLOOKUP($AB$4,'2022'!$C$27:$L$27,'2022'!$C$28:$L$37,""),"")</f>
        <v>12.8</v>
      </c>
      <c r="AC8" s="367">
        <f t="shared" si="5"/>
        <v>7</v>
      </c>
      <c r="AD8" s="238"/>
      <c r="AE8" s="239" t="s">
        <v>132</v>
      </c>
      <c r="AF8" s="373"/>
    </row>
    <row r="9" spans="1:32" x14ac:dyDescent="0.2">
      <c r="D9" s="317" t="s">
        <v>138</v>
      </c>
      <c r="E9" s="231"/>
      <c r="F9" s="240" t="str">
        <f t="shared" si="2"/>
        <v/>
      </c>
      <c r="G9" s="232" t="str">
        <f t="shared" si="3"/>
        <v/>
      </c>
      <c r="H9" s="247"/>
      <c r="I9" s="242"/>
      <c r="J9" s="248">
        <f>(_xlfn.XLOOKUP(I9,'2022'!$B$4:$B$23,'2022'!$G$4:$G$23,0))*IF(H9="TD",2,IF(H9="MD",3,1))</f>
        <v>0</v>
      </c>
      <c r="K9" s="249">
        <f>_xlfn.XLOOKUP(I9,'2022'!$B$4:$B$23,'2022'!$D$4:$D$23,0)</f>
        <v>0</v>
      </c>
      <c r="L9" s="250" t="str">
        <f>_xlfn.XLOOKUP(I9,'2022'!$B$4:$B$23,'2022'!$E$4:$E$23,"")</f>
        <v/>
      </c>
      <c r="M9" s="250">
        <f>_xlfn.XLOOKUP(I9,'2022'!$B$4:$B$23,'2022'!$L$4:$L$23,0)</f>
        <v>0</v>
      </c>
      <c r="N9" s="323" t="str">
        <f>_xlfn.XLOOKUP(I9,Drivers[Driver],Drivers[Wins],"")</f>
        <v/>
      </c>
      <c r="O9" s="249">
        <f>_xlfn.XLOOKUP(I9,'2022'!$S$5:$S$44,'2022'!$W$5:$W$44,0)</f>
        <v>0</v>
      </c>
      <c r="P9" s="250" t="str">
        <f>_xlfn.XLOOKUP(I9,'2022'!$B$4:$B$23,'2022'!$J$4:$J$23,"")</f>
        <v/>
      </c>
      <c r="Q9" s="250" t="str">
        <f>_xlfn.XLOOKUP(I9,'2022'!$B$4:$B$23,'2022'!$M$4:$M$23,"")</f>
        <v/>
      </c>
      <c r="R9" s="353"/>
      <c r="S9" s="232"/>
      <c r="T9" s="320" t="str">
        <f>IF(_xlfn.XLOOKUP(V9,'2022'!$B$4:$B$23,'2022'!$D$4:$D$23,"")&lt;20,_xlfn.XLOOKUP(V9,'2022'!$B$4:$B$23,'2022'!$G$4:$G$23),"")</f>
        <v/>
      </c>
      <c r="U9" s="246" t="str">
        <f t="shared" si="0"/>
        <v/>
      </c>
      <c r="V9" s="366" t="str">
        <f>IF(OR($P$13&lt;'2022'!D8,IF(ISTEXT(_xlfn.XLOOKUP('2022'!B8,$I$5:$I$10,$K$5:$K$10,"")),FALSE,TRUE)),"",'2022'!B8)</f>
        <v/>
      </c>
      <c r="W9" s="341" t="str" cm="1">
        <f t="array" ref="W9">_xlfn.XLOOKUP(V9,'2022'!$B$4:$B$23,_xlfn.XLOOKUP($W$4,'2022'!$C$3:$P$3,'2022'!$C$4:$P$23,""),"")</f>
        <v/>
      </c>
      <c r="X9" s="367" t="str">
        <f t="shared" si="4"/>
        <v/>
      </c>
      <c r="Y9" s="231"/>
      <c r="Z9" s="320">
        <f t="shared" si="1"/>
        <v>11.6</v>
      </c>
      <c r="AA9" s="366" t="str">
        <f>IF(OR($P$13&lt;'2022'!D32,IF(ISTEXT(_xlfn.XLOOKUP('2022'!B32,$I$10,$K$10,"")),FALSE,TRUE)),"",'2022'!B32)</f>
        <v>McLaren</v>
      </c>
      <c r="AB9" s="341" cm="1">
        <f t="array" ref="AB9">_xlfn.XLOOKUP(AA9,'2022'!$B$28:$B$37,_xlfn.XLOOKUP($AB$4,'2022'!$C$27:$L$27,'2022'!$C$28:$L$37,""),"")</f>
        <v>11.6</v>
      </c>
      <c r="AC9" s="367">
        <f t="shared" si="5"/>
        <v>5</v>
      </c>
      <c r="AD9" s="238"/>
      <c r="AE9" s="239" t="s">
        <v>146</v>
      </c>
      <c r="AF9" s="373"/>
    </row>
    <row r="10" spans="1:32" ht="17" thickBot="1" x14ac:dyDescent="0.25">
      <c r="D10" s="317" t="s">
        <v>148</v>
      </c>
      <c r="E10" s="231"/>
      <c r="F10" s="240" t="str">
        <f t="shared" si="2"/>
        <v/>
      </c>
      <c r="G10" s="232" t="str">
        <f t="shared" si="3"/>
        <v/>
      </c>
      <c r="H10" s="254"/>
      <c r="I10" s="255"/>
      <c r="J10" s="256">
        <f>_xlfn.XLOOKUP(I10,'2022'!$B$28:$B$37,'2022'!$F$28:$F$37,0)</f>
        <v>0</v>
      </c>
      <c r="K10" s="257">
        <f>_xlfn.XLOOKUP(I10,'2022'!$B$28:$B$37,'2022'!$D$28:$D$37,0)</f>
        <v>0</v>
      </c>
      <c r="L10" s="258" t="str">
        <f>_xlfn.XLOOKUP(I10,'2022'!$B$28:$B$37,'2022'!$E$28:$E$37,"")</f>
        <v/>
      </c>
      <c r="M10" s="258"/>
      <c r="N10" s="324" t="str">
        <f>_xlfn.XLOOKUP(I10,Constructors[Contructor],Constructors[Wins],"")</f>
        <v/>
      </c>
      <c r="O10" s="257"/>
      <c r="P10" s="258" t="str">
        <f>_xlfn.XLOOKUP(I10,'2022'!$B$28:$B$37,'2022'!$J$28:$J$37,"")</f>
        <v/>
      </c>
      <c r="Q10" s="258" t="str">
        <f>_xlfn.XLOOKUP(I10,'2022'!$B$4:$B$23,'2022'!$M$4:$M$23,"")</f>
        <v/>
      </c>
      <c r="R10" s="353"/>
      <c r="S10" s="232"/>
      <c r="T10" s="320">
        <f>IF(_xlfn.XLOOKUP(V10,'2022'!$B$4:$B$23,'2022'!$D$4:$D$23,"")&lt;20,_xlfn.XLOOKUP(V10,'2022'!$B$4:$B$23,'2022'!$G$4:$G$23),"")</f>
        <v>5.45</v>
      </c>
      <c r="U10" s="246">
        <f t="shared" si="0"/>
        <v>4.3</v>
      </c>
      <c r="V10" s="366" t="str">
        <f>IF(OR($P$13&lt;'2022'!D9,IF(ISTEXT(_xlfn.XLOOKUP('2022'!B9,$I$5:$I$10,$K$5:$K$10,"")),FALSE,TRUE)),"",'2022'!B9)</f>
        <v>Latifi</v>
      </c>
      <c r="W10" s="341" cm="1">
        <f t="array" ref="W10">_xlfn.XLOOKUP(V10,'2022'!$B$4:$B$23,_xlfn.XLOOKUP($W$4,'2022'!$C$3:$P$3,'2022'!$C$4:$P$23,""),"")</f>
        <v>4.3</v>
      </c>
      <c r="X10" s="367">
        <f t="shared" si="4"/>
        <v>3</v>
      </c>
      <c r="Y10" s="231"/>
      <c r="Z10" s="320">
        <f t="shared" si="1"/>
        <v>11.7</v>
      </c>
      <c r="AA10" s="366" t="str">
        <f>IF(OR($P$13&lt;'2022'!D33,IF(ISTEXT(_xlfn.XLOOKUP('2022'!B33,$I$10,$K$10,"")),FALSE,TRUE)),"",'2022'!B33)</f>
        <v>Aston Martin</v>
      </c>
      <c r="AB10" s="341" cm="1">
        <f t="array" ref="AB10">_xlfn.XLOOKUP(AA10,'2022'!$B$28:$B$37,_xlfn.XLOOKUP($AB$4,'2022'!$C$27:$L$27,'2022'!$C$28:$L$37,""),"")</f>
        <v>11.7</v>
      </c>
      <c r="AC10" s="367">
        <f t="shared" si="5"/>
        <v>6</v>
      </c>
      <c r="AD10" s="238" t="s">
        <v>92</v>
      </c>
      <c r="AE10" s="239" t="s">
        <v>95</v>
      </c>
      <c r="AF10" s="373"/>
    </row>
    <row r="11" spans="1:32" ht="17" thickBot="1" x14ac:dyDescent="0.25">
      <c r="D11" s="230"/>
      <c r="E11" s="231"/>
      <c r="F11" s="232">
        <f>IF(SUM(F5:F10)=4,"-10",IF(SUM(F5:F10)=5,"-20",IF(SUM(F5:F10)=6,"-30",0)))</f>
        <v>0</v>
      </c>
      <c r="G11" s="231"/>
      <c r="H11" s="237" t="s">
        <v>29</v>
      </c>
      <c r="I11" s="259"/>
      <c r="J11" s="260">
        <f>SUM(J5:J10)+F11</f>
        <v>184.75000000000003</v>
      </c>
      <c r="K11" s="261">
        <f>+SUM(K5:K10)</f>
        <v>104.4</v>
      </c>
      <c r="L11" s="262">
        <f>SUM(L5:L10)</f>
        <v>10</v>
      </c>
      <c r="M11" s="262">
        <f>IF(COUNTA(I5:I10)=0,"",SUM(M5:M10))</f>
        <v>9</v>
      </c>
      <c r="N11" s="262">
        <f>SUM(N5:N10)</f>
        <v>19</v>
      </c>
      <c r="O11" s="261">
        <f>AVERAGE(O5:O9)</f>
        <v>-0.20000000000000032</v>
      </c>
      <c r="P11" s="261">
        <f>IF(SUM(P5:P10)=0,"",AVERAGE(P5:P10))</f>
        <v>5.4237500000000001</v>
      </c>
      <c r="Q11" s="262">
        <f>SUM(Q5:Q10)</f>
        <v>2</v>
      </c>
      <c r="R11" s="354"/>
      <c r="S11" s="232"/>
      <c r="T11" s="320" t="str">
        <f>IF(_xlfn.XLOOKUP(V11,'2022'!$B$4:$B$23,'2022'!$D$4:$D$23,"")&lt;20,_xlfn.XLOOKUP(V11,'2022'!$B$4:$B$23,'2022'!$G$4:$G$23),"")</f>
        <v/>
      </c>
      <c r="U11" s="246" t="str">
        <f t="shared" si="0"/>
        <v/>
      </c>
      <c r="V11" s="366" t="str">
        <f>IF(OR($P$13&lt;'2022'!D10,IF(ISTEXT(_xlfn.XLOOKUP('2022'!B10,$I$5:$I$10,$K$5:$K$10,"")),FALSE,TRUE)),"",'2022'!B10)</f>
        <v/>
      </c>
      <c r="W11" s="341" t="str" cm="1">
        <f t="array" ref="W11">_xlfn.XLOOKUP(V11,'2022'!$B$4:$B$23,_xlfn.XLOOKUP($W$4,'2022'!$C$3:$P$3,'2022'!$C$4:$P$23,""),"")</f>
        <v/>
      </c>
      <c r="X11" s="367" t="str">
        <f t="shared" si="4"/>
        <v/>
      </c>
      <c r="Y11" s="231"/>
      <c r="Z11" s="320">
        <f t="shared" si="1"/>
        <v>5.8</v>
      </c>
      <c r="AA11" s="368" t="str">
        <f>IF(OR($P$13&lt;'2022'!D34,IF(ISTEXT(_xlfn.XLOOKUP('2022'!B34,$I$10,$K$10,"")),FALSE,TRUE)),"",'2022'!B34)</f>
        <v>Alfa Romeo</v>
      </c>
      <c r="AB11" s="341" cm="1">
        <f t="array" ref="AB11">_xlfn.XLOOKUP(AA11,'2022'!$B$28:$B$37,_xlfn.XLOOKUP($AB$4,'2022'!$C$27:$L$27,'2022'!$C$28:$L$37,""),"")</f>
        <v>5.8</v>
      </c>
      <c r="AC11" s="367">
        <f t="shared" si="5"/>
        <v>3</v>
      </c>
      <c r="AD11" s="263"/>
      <c r="AE11" s="239" t="s">
        <v>129</v>
      </c>
      <c r="AF11" s="210"/>
    </row>
    <row r="12" spans="1:32" x14ac:dyDescent="0.2">
      <c r="D12" s="230"/>
      <c r="E12" s="231"/>
      <c r="F12" s="231"/>
      <c r="G12" s="232"/>
      <c r="H12" s="232"/>
      <c r="I12" s="232"/>
      <c r="J12" s="232"/>
      <c r="K12" s="232"/>
      <c r="L12" s="232"/>
      <c r="M12" s="232"/>
      <c r="N12" s="232"/>
      <c r="O12" s="343"/>
      <c r="P12" s="232"/>
      <c r="Q12" s="232"/>
      <c r="R12" s="232"/>
      <c r="S12" s="232"/>
      <c r="T12" s="320">
        <f>IF(_xlfn.XLOOKUP(V12,'2022'!$B$4:$B$23,'2022'!$D$4:$D$23,"")&lt;20,_xlfn.XLOOKUP(V12,'2022'!$B$4:$B$23,'2022'!$G$4:$G$23),"")</f>
        <v>7.9</v>
      </c>
      <c r="U12" s="246">
        <f t="shared" si="0"/>
        <v>6.4</v>
      </c>
      <c r="V12" s="366" t="str">
        <f>IF(OR($P$13&lt;'2022'!D11,IF(ISTEXT(_xlfn.XLOOKUP('2022'!B11,$I$5:$I$10,$K$5:$K$10,"")),FALSE,TRUE)),"",'2022'!B11)</f>
        <v>Magnussen</v>
      </c>
      <c r="W12" s="341" cm="1">
        <f t="array" ref="W12">_xlfn.XLOOKUP(V12,'2022'!$B$4:$B$23,_xlfn.XLOOKUP($W$4,'2022'!$C$3:$P$3,'2022'!$C$4:$P$23,""),"")</f>
        <v>6.4</v>
      </c>
      <c r="X12" s="367">
        <f t="shared" si="4"/>
        <v>7</v>
      </c>
      <c r="Y12" s="231"/>
      <c r="Z12" s="320">
        <f t="shared" si="1"/>
        <v>6</v>
      </c>
      <c r="AA12" s="366" t="str">
        <f>IF(OR($P$13&lt;'2022'!D35,IF(ISTEXT(_xlfn.XLOOKUP('2022'!B35,$I$10,$K$10,"")),FALSE,TRUE)),"",'2022'!B35)</f>
        <v>Haas</v>
      </c>
      <c r="AB12" s="341" cm="1">
        <f t="array" ref="AB12">_xlfn.XLOOKUP(AA12,'2022'!$B$28:$B$37,_xlfn.XLOOKUP($AB$4,'2022'!$C$27:$L$27,'2022'!$C$28:$L$37,""),"")</f>
        <v>6</v>
      </c>
      <c r="AC12" s="367">
        <f t="shared" si="5"/>
        <v>4</v>
      </c>
      <c r="AD12" s="264"/>
      <c r="AE12" s="239" t="s">
        <v>140</v>
      </c>
      <c r="AF12" s="210"/>
    </row>
    <row r="13" spans="1:32" x14ac:dyDescent="0.2">
      <c r="D13" s="230"/>
      <c r="E13" s="231"/>
      <c r="F13" s="231"/>
      <c r="G13" s="232"/>
      <c r="H13" s="265" t="s">
        <v>34</v>
      </c>
      <c r="I13" s="266">
        <v>120.5</v>
      </c>
      <c r="J13" s="267"/>
      <c r="K13" s="268" t="s">
        <v>35</v>
      </c>
      <c r="L13" s="266">
        <f>K11</f>
        <v>104.4</v>
      </c>
      <c r="M13" s="267"/>
      <c r="N13" s="267"/>
      <c r="O13" s="344" t="s">
        <v>36</v>
      </c>
      <c r="P13" s="266">
        <f>I13-L13</f>
        <v>16.099999999999994</v>
      </c>
      <c r="Q13" s="269"/>
      <c r="R13" s="232"/>
      <c r="S13" s="232"/>
      <c r="T13" s="320">
        <f>IF(_xlfn.XLOOKUP(V13,'2022'!$B$4:$B$23,'2022'!$D$4:$D$23,"")&lt;20,_xlfn.XLOOKUP(V13,'2022'!$B$4:$B$23,'2022'!$G$4:$G$23),"")</f>
        <v>18.5</v>
      </c>
      <c r="U13" s="246">
        <f t="shared" si="0"/>
        <v>14.8</v>
      </c>
      <c r="V13" s="366" t="str">
        <f>IF(OR($P$13&lt;'2022'!D12,IF(ISTEXT(_xlfn.XLOOKUP('2022'!B12,$I$5:$I$10,$K$5:$K$10,"")),FALSE,TRUE)),"",'2022'!B12)</f>
        <v>Norris</v>
      </c>
      <c r="W13" s="341" cm="1">
        <f t="array" ref="W13">_xlfn.XLOOKUP(V13,'2022'!$B$4:$B$23,_xlfn.XLOOKUP($W$4,'2022'!$C$3:$P$3,'2022'!$C$4:$P$23,""),"")</f>
        <v>14.8</v>
      </c>
      <c r="X13" s="367">
        <f t="shared" si="4"/>
        <v>14</v>
      </c>
      <c r="Y13" s="231"/>
      <c r="Z13" s="320">
        <f t="shared" si="1"/>
        <v>4.9000000000000004</v>
      </c>
      <c r="AA13" s="366" t="str">
        <f>IF(OR($P$13&lt;'2022'!D36,IF(ISTEXT(_xlfn.XLOOKUP('2022'!B36,$I$10,$K$10,"")),FALSE,TRUE)),"",'2022'!B36)</f>
        <v>Alpha Tauri</v>
      </c>
      <c r="AB13" s="341" cm="1">
        <f t="array" ref="AB13">_xlfn.XLOOKUP(AA13,'2022'!$B$28:$B$37,_xlfn.XLOOKUP($AB$4,'2022'!$C$27:$L$27,'2022'!$C$28:$L$37,""),"")</f>
        <v>4.9000000000000004</v>
      </c>
      <c r="AC13" s="367">
        <f t="shared" si="5"/>
        <v>1</v>
      </c>
      <c r="AD13" s="264"/>
      <c r="AF13" s="210"/>
    </row>
    <row r="14" spans="1:32" ht="17" thickBot="1" x14ac:dyDescent="0.25">
      <c r="D14" s="230"/>
      <c r="E14" s="231"/>
      <c r="F14" s="231"/>
      <c r="G14" s="232"/>
      <c r="H14" s="232"/>
      <c r="I14" s="232"/>
      <c r="J14" s="232"/>
      <c r="K14" s="232"/>
      <c r="L14" s="232"/>
      <c r="M14" s="232"/>
      <c r="N14" s="232"/>
      <c r="O14" s="343"/>
      <c r="P14" s="232"/>
      <c r="Q14" s="232"/>
      <c r="R14" s="232"/>
      <c r="S14" s="232"/>
      <c r="T14" s="320">
        <f>IF(_xlfn.XLOOKUP(V14,'2022'!$B$4:$B$23,'2022'!$D$4:$D$23,"")&lt;20,_xlfn.XLOOKUP(V14,'2022'!$B$4:$B$23,'2022'!$G$4:$G$23),"")</f>
        <v>15.45</v>
      </c>
      <c r="U14" s="246">
        <f t="shared" si="0"/>
        <v>12.3</v>
      </c>
      <c r="V14" s="366" t="str">
        <f>IF(OR($P$13&lt;'2022'!D13,IF(ISTEXT(_xlfn.XLOOKUP('2022'!B13,$I$5:$I$10,$K$5:$K$10,"")),FALSE,TRUE)),"",'2022'!B13)</f>
        <v>Ocon</v>
      </c>
      <c r="W14" s="341" cm="1">
        <f t="array" ref="W14">_xlfn.XLOOKUP(V14,'2022'!$B$4:$B$23,_xlfn.XLOOKUP($W$4,'2022'!$C$3:$P$3,'2022'!$C$4:$P$23,""),"")</f>
        <v>12.3</v>
      </c>
      <c r="X14" s="367">
        <f t="shared" si="4"/>
        <v>13</v>
      </c>
      <c r="Y14" s="231"/>
      <c r="Z14" s="321">
        <f t="shared" si="1"/>
        <v>5.2</v>
      </c>
      <c r="AA14" s="369" t="str">
        <f>IF(OR($P$13&lt;'2022'!D37,IF(ISTEXT(_xlfn.XLOOKUP('2022'!B37,$I$10,$K$10,"")),FALSE,TRUE)),"",'2022'!B37)</f>
        <v>Williams</v>
      </c>
      <c r="AB14" s="342" cm="1">
        <f t="array" ref="AB14">_xlfn.XLOOKUP(AA14,'2022'!$B$28:$B$37,_xlfn.XLOOKUP($AB$4,'2022'!$C$27:$L$27,'2022'!$C$28:$L$37,""),"")</f>
        <v>5.2</v>
      </c>
      <c r="AC14" s="370">
        <f t="shared" si="5"/>
        <v>2</v>
      </c>
      <c r="AD14" s="264"/>
      <c r="AF14" s="210"/>
    </row>
    <row r="15" spans="1:32" ht="17" thickBot="1" x14ac:dyDescent="0.25">
      <c r="D15" s="230"/>
      <c r="E15" s="231"/>
      <c r="F15" s="314" t="s">
        <v>125</v>
      </c>
      <c r="G15" s="270"/>
      <c r="H15" s="233"/>
      <c r="I15" s="234" t="s">
        <v>78</v>
      </c>
      <c r="J15" s="235" t="s">
        <v>135</v>
      </c>
      <c r="K15" s="236" t="s">
        <v>1</v>
      </c>
      <c r="L15" s="236" t="s">
        <v>91</v>
      </c>
      <c r="M15" s="236" t="s">
        <v>105</v>
      </c>
      <c r="N15" s="236" t="s">
        <v>146</v>
      </c>
      <c r="O15" s="345" t="s">
        <v>133</v>
      </c>
      <c r="P15" s="236" t="s">
        <v>134</v>
      </c>
      <c r="Q15" s="236" t="s">
        <v>129</v>
      </c>
      <c r="R15" s="352"/>
      <c r="S15" s="351"/>
      <c r="T15" s="320" t="str">
        <f>IF(_xlfn.XLOOKUP(V15,'2022'!$B$4:$B$23,'2022'!$D$4:$D$23,"")&lt;20,_xlfn.XLOOKUP(V15,'2022'!$B$4:$B$23,'2022'!$G$4:$G$23),"")</f>
        <v/>
      </c>
      <c r="U15" s="246" t="str">
        <f t="shared" si="0"/>
        <v/>
      </c>
      <c r="V15" s="366" t="str">
        <f>IF(OR($P$13&lt;'2022'!D14,IF(ISTEXT(_xlfn.XLOOKUP('2022'!B14,$I$5:$I$10,$K$5:$K$10,"")),FALSE,TRUE)),"",'2022'!B14)</f>
        <v/>
      </c>
      <c r="W15" s="341" t="str" cm="1">
        <f t="array" ref="W15">_xlfn.XLOOKUP(V15,'2022'!$B$4:$B$23,_xlfn.XLOOKUP($W$4,'2022'!$C$3:$P$3,'2022'!$C$4:$P$23,""),"")</f>
        <v/>
      </c>
      <c r="X15" s="367" t="str">
        <f t="shared" si="4"/>
        <v/>
      </c>
      <c r="Y15" s="231"/>
      <c r="Z15" s="231"/>
      <c r="AA15" s="231"/>
      <c r="AB15" s="231"/>
      <c r="AC15" s="231"/>
      <c r="AD15" s="238"/>
      <c r="AF15" s="210"/>
    </row>
    <row r="16" spans="1:32" x14ac:dyDescent="0.2">
      <c r="D16" s="230"/>
      <c r="E16" s="231"/>
      <c r="F16" s="335" t="str">
        <f>IF(ISTEXT(I16),IF(COUNTIF($D$5:$D$10,I16)&gt;0,"",1),"")</f>
        <v/>
      </c>
      <c r="G16" s="232"/>
      <c r="H16" s="241" t="s">
        <v>126</v>
      </c>
      <c r="I16" s="242" t="s">
        <v>86</v>
      </c>
      <c r="J16" s="325">
        <f>(_xlfn.XLOOKUP(I16,'2022'!$B$4:$B$23,'2022'!$G$4:$G$23,0))*IF(H16="TD",2,IF(H16="MD",3,1))</f>
        <v>37</v>
      </c>
      <c r="K16" s="326">
        <f>_xlfn.XLOOKUP(I16,'2022'!$B$4:$B$23,'2022'!$D$4:$D$23,0)</f>
        <v>14.8</v>
      </c>
      <c r="L16" s="323">
        <f>_xlfn.XLOOKUP(I16,'2022'!$B$4:$B$23,'2022'!$E$4:$E$23,"")</f>
        <v>0</v>
      </c>
      <c r="M16" s="323">
        <f>_xlfn.XLOOKUP(I16,'2022'!$B$4:$B$23,'2022'!$L$4:$L$23,0)</f>
        <v>2</v>
      </c>
      <c r="N16" s="323">
        <f>_xlfn.XLOOKUP(I16,Drivers[Driver],Drivers[Wins],"")</f>
        <v>0</v>
      </c>
      <c r="O16" s="328">
        <f>_xlfn.XLOOKUP(I16,'2022'!$S$5:$S$44,'2022'!$W$5:$W$44,0)</f>
        <v>-0.89473684210526316</v>
      </c>
      <c r="P16" s="323">
        <f>_xlfn.XLOOKUP(I16,'2022'!$B$4:$B$23,'2022'!$J$4:$J$23,"")</f>
        <v>9.51</v>
      </c>
      <c r="Q16" s="323">
        <f>_xlfn.XLOOKUP(I16,'2022'!$B$4:$B$23,'2022'!$M$4:$M$23,"")</f>
        <v>1</v>
      </c>
      <c r="R16" s="355"/>
      <c r="S16" s="232"/>
      <c r="T16" s="320">
        <f>IF(_xlfn.XLOOKUP(V16,'2022'!$B$4:$B$23,'2022'!$D$4:$D$23,"")&lt;20,_xlfn.XLOOKUP(V16,'2022'!$B$4:$B$23,'2022'!$G$4:$G$23),"")</f>
        <v>6.55</v>
      </c>
      <c r="U16" s="246">
        <f t="shared" si="0"/>
        <v>5.3</v>
      </c>
      <c r="V16" s="366" t="str">
        <f>IF(OR($P$13&lt;'2022'!D15,IF(ISTEXT(_xlfn.XLOOKUP('2022'!B15,$I$5:$I$10,$K$5:$K$10,"")),FALSE,TRUE)),"",'2022'!B15)</f>
        <v>Ricciardo</v>
      </c>
      <c r="W16" s="341" cm="1">
        <f t="array" ref="W16">_xlfn.XLOOKUP(V16,'2022'!$B$4:$B$23,_xlfn.XLOOKUP($W$4,'2022'!$C$3:$P$3,'2022'!$C$4:$P$23,""),"")</f>
        <v>5.3</v>
      </c>
      <c r="X16" s="367">
        <f t="shared" si="4"/>
        <v>4</v>
      </c>
      <c r="Y16" s="231"/>
      <c r="Z16" s="231"/>
      <c r="AA16" s="231"/>
      <c r="AB16" s="231"/>
      <c r="AC16" s="231"/>
      <c r="AD16" s="238"/>
      <c r="AF16" s="210"/>
    </row>
    <row r="17" spans="4:32" x14ac:dyDescent="0.2">
      <c r="D17" s="230"/>
      <c r="E17" s="231"/>
      <c r="F17" s="335">
        <f t="shared" ref="F17:F21" si="6">IF(ISTEXT(I17),IF(COUNTIF($D$5:$D$10,I17)&gt;0,"",1),"")</f>
        <v>1</v>
      </c>
      <c r="G17" s="232"/>
      <c r="H17" s="247"/>
      <c r="I17" s="242" t="s">
        <v>76</v>
      </c>
      <c r="J17" s="327">
        <f>(_xlfn.XLOOKUP(I17,'2022'!$B$4:$B$23,'2022'!$G$4:$G$23,0))*IF(H17="TD",2,IF(H17="MD",3,1))</f>
        <v>41</v>
      </c>
      <c r="K17" s="328">
        <f>_xlfn.XLOOKUP(I17,'2022'!$B$4:$B$23,'2022'!$D$4:$D$23,0)</f>
        <v>24.5</v>
      </c>
      <c r="L17" s="329">
        <f>_xlfn.XLOOKUP(I17,'2022'!$B$4:$B$23,'2022'!$E$4:$E$23,"")</f>
        <v>10</v>
      </c>
      <c r="M17" s="329">
        <f>_xlfn.XLOOKUP(I17,'2022'!$B$4:$B$23,'2022'!$L$4:$L$23,0)</f>
        <v>3</v>
      </c>
      <c r="N17" s="323">
        <f>_xlfn.XLOOKUP(I17,Drivers[Driver],Drivers[Wins],"")</f>
        <v>3</v>
      </c>
      <c r="O17" s="328">
        <f>_xlfn.XLOOKUP(I17,'2022'!$S$5:$S$44,'2022'!$W$5:$W$44,0)</f>
        <v>-1.9473684210526323</v>
      </c>
      <c r="P17" s="329">
        <f>_xlfn.XLOOKUP(I17,'2022'!$B$4:$B$23,'2022'!$J$4:$J$23,"")</f>
        <v>6.0650000000000004</v>
      </c>
      <c r="Q17" s="329">
        <f>_xlfn.XLOOKUP(I17,'2022'!$B$4:$B$23,'2022'!$M$4:$M$23,"")</f>
        <v>1</v>
      </c>
      <c r="R17" s="355"/>
      <c r="S17" s="232"/>
      <c r="T17" s="320" t="str">
        <f>IF(_xlfn.XLOOKUP(V17,'2022'!$B$4:$B$23,'2022'!$D$4:$D$23,"")&lt;20,_xlfn.XLOOKUP(V17,'2022'!$B$4:$B$23,'2022'!$G$4:$G$23),"")</f>
        <v/>
      </c>
      <c r="U17" s="246" t="str">
        <f t="shared" si="0"/>
        <v/>
      </c>
      <c r="V17" s="366" t="str">
        <f>IF(OR($P$13&lt;'2022'!D16,IF(ISTEXT(_xlfn.XLOOKUP('2022'!B16,$I$5:$I$10,$K$5:$K$10,"")),FALSE,TRUE)),"",'2022'!B16)</f>
        <v/>
      </c>
      <c r="W17" s="341" t="str" cm="1">
        <f t="array" ref="W17">_xlfn.XLOOKUP(V17,'2022'!$B$4:$B$23,_xlfn.XLOOKUP($W$4,'2022'!$C$3:$P$3,'2022'!$C$4:$P$23,""),"")</f>
        <v/>
      </c>
      <c r="X17" s="367" t="str">
        <f t="shared" si="4"/>
        <v/>
      </c>
      <c r="Y17" s="231"/>
      <c r="Z17" s="231"/>
      <c r="AA17" s="231"/>
      <c r="AB17" s="231"/>
      <c r="AC17" s="231"/>
      <c r="AD17" s="238"/>
      <c r="AF17" s="210"/>
    </row>
    <row r="18" spans="4:32" x14ac:dyDescent="0.2">
      <c r="D18" s="252"/>
      <c r="E18" s="231"/>
      <c r="F18" s="335">
        <f t="shared" si="6"/>
        <v>1</v>
      </c>
      <c r="G18" s="232"/>
      <c r="H18" s="247"/>
      <c r="I18" s="242" t="s">
        <v>150</v>
      </c>
      <c r="J18" s="327">
        <f>(_xlfn.XLOOKUP(I18,'2022'!$B$4:$B$23,'2022'!$G$4:$G$23,0))*IF(H18="TD",2,IF(H18="MD",3,1))</f>
        <v>45.85</v>
      </c>
      <c r="K18" s="328">
        <f>_xlfn.XLOOKUP(I18,'2022'!$B$4:$B$23,'2022'!$D$4:$D$23,0)</f>
        <v>24.1</v>
      </c>
      <c r="L18" s="329">
        <f>_xlfn.XLOOKUP(I18,'2022'!$B$4:$B$23,'2022'!$E$4:$E$23,"")</f>
        <v>15</v>
      </c>
      <c r="M18" s="329">
        <f>_xlfn.XLOOKUP(I18,'2022'!$B$4:$B$23,'2022'!$L$4:$L$23,0)</f>
        <v>1</v>
      </c>
      <c r="N18" s="323">
        <f>_xlfn.XLOOKUP(I18,Drivers[Driver],Drivers[Wins],"")</f>
        <v>1</v>
      </c>
      <c r="O18" s="328">
        <f>_xlfn.XLOOKUP(I18,'2022'!$S$5:$S$44,'2022'!$W$5:$W$44,0)</f>
        <v>1.4210526315789473</v>
      </c>
      <c r="P18" s="329">
        <f>_xlfn.XLOOKUP(I18,'2022'!$B$4:$B$23,'2022'!$J$4:$J$23,"")</f>
        <v>5.3549999999999995</v>
      </c>
      <c r="Q18" s="329">
        <f>_xlfn.XLOOKUP(I18,'2022'!$B$4:$B$23,'2022'!$M$4:$M$23,"")</f>
        <v>1</v>
      </c>
      <c r="R18" s="355"/>
      <c r="S18" s="232"/>
      <c r="T18" s="320" t="str">
        <f>IF(_xlfn.XLOOKUP(V18,'2022'!$B$4:$B$23,'2022'!$D$4:$D$23,"")&lt;20,_xlfn.XLOOKUP(V18,'2022'!$B$4:$B$23,'2022'!$G$4:$G$23),"")</f>
        <v/>
      </c>
      <c r="U18" s="246" t="str">
        <f t="shared" si="0"/>
        <v/>
      </c>
      <c r="V18" s="366" t="str">
        <f>IF(OR($P$13&lt;'2022'!D17,IF(ISTEXT(_xlfn.XLOOKUP('2022'!B17,$I$5:$I$10,$K$5:$K$10,"")),FALSE,TRUE)),"",'2022'!B17)</f>
        <v/>
      </c>
      <c r="W18" s="341" t="str" cm="1">
        <f t="array" ref="W18">_xlfn.XLOOKUP(V18,'2022'!$B$4:$B$23,_xlfn.XLOOKUP($W$4,'2022'!$C$3:$P$3,'2022'!$C$4:$P$23,""),"")</f>
        <v/>
      </c>
      <c r="X18" s="367" t="str">
        <f t="shared" si="4"/>
        <v/>
      </c>
      <c r="Y18" s="231"/>
      <c r="Z18" s="231"/>
      <c r="AA18" s="231"/>
      <c r="AB18" s="231"/>
      <c r="AC18" s="231"/>
      <c r="AD18" s="238"/>
      <c r="AF18" s="210"/>
    </row>
    <row r="19" spans="4:32" x14ac:dyDescent="0.2">
      <c r="D19" s="253"/>
      <c r="E19" s="231"/>
      <c r="F19" s="335" t="str">
        <f t="shared" si="6"/>
        <v/>
      </c>
      <c r="G19" s="232"/>
      <c r="H19" s="247"/>
      <c r="I19" s="242" t="s">
        <v>138</v>
      </c>
      <c r="J19" s="327">
        <f>(_xlfn.XLOOKUP(I19,'2022'!$B$4:$B$23,'2022'!$G$4:$G$23,0))*IF(H19="TD",2,IF(H19="MD",3,1))</f>
        <v>14</v>
      </c>
      <c r="K19" s="328">
        <f>_xlfn.XLOOKUP(I19,'2022'!$B$4:$B$23,'2022'!$D$4:$D$23,0)</f>
        <v>9.9</v>
      </c>
      <c r="L19" s="329">
        <f>_xlfn.XLOOKUP(I19,'2022'!$B$4:$B$23,'2022'!$E$4:$E$23,"")</f>
        <v>0</v>
      </c>
      <c r="M19" s="329">
        <f>_xlfn.XLOOKUP(I19,'2022'!$B$4:$B$23,'2022'!$L$4:$L$23,0)</f>
        <v>5</v>
      </c>
      <c r="N19" s="323">
        <f>_xlfn.XLOOKUP(I19,Drivers[Driver],Drivers[Wins],"")</f>
        <v>0</v>
      </c>
      <c r="O19" s="328">
        <f>_xlfn.XLOOKUP(I19,'2022'!$S$5:$S$44,'2022'!$W$5:$W$44,0)</f>
        <v>-2.7894736842105248</v>
      </c>
      <c r="P19" s="329">
        <f>_xlfn.XLOOKUP(I19,'2022'!$B$4:$B$23,'2022'!$J$4:$J$23,"")</f>
        <v>11.824999999999999</v>
      </c>
      <c r="Q19" s="329">
        <f>_xlfn.XLOOKUP(I19,'2022'!$B$4:$B$23,'2022'!$M$4:$M$23,"")</f>
        <v>0</v>
      </c>
      <c r="R19" s="355"/>
      <c r="S19" s="232"/>
      <c r="T19" s="320">
        <f>IF(_xlfn.XLOOKUP(V19,'2022'!$B$4:$B$23,'2022'!$D$4:$D$23,"")&lt;20,_xlfn.XLOOKUP(V19,'2022'!$B$4:$B$23,'2022'!$G$4:$G$23),"")</f>
        <v>7.05</v>
      </c>
      <c r="U19" s="246">
        <f t="shared" si="0"/>
        <v>5.6</v>
      </c>
      <c r="V19" s="366" t="str">
        <f>IF(OR($P$13&lt;'2022'!D18,IF(ISTEXT(_xlfn.XLOOKUP('2022'!B18,$I$5:$I$10,$K$5:$K$10,"")),FALSE,TRUE)),"",'2022'!B18)</f>
        <v>Schumacher</v>
      </c>
      <c r="W19" s="341" cm="1">
        <f t="array" ref="W19">_xlfn.XLOOKUP(V19,'2022'!$B$4:$B$23,_xlfn.XLOOKUP($W$4,'2022'!$C$3:$P$3,'2022'!$C$4:$P$23,""),"")</f>
        <v>5.6</v>
      </c>
      <c r="X19" s="367">
        <f t="shared" si="4"/>
        <v>5</v>
      </c>
      <c r="Y19" s="231"/>
      <c r="Z19" s="231"/>
      <c r="AA19" s="231"/>
      <c r="AB19" s="231"/>
      <c r="AC19" s="231"/>
      <c r="AD19" s="238"/>
    </row>
    <row r="20" spans="4:32" x14ac:dyDescent="0.2">
      <c r="D20" s="230"/>
      <c r="E20" s="231"/>
      <c r="F20" s="335">
        <f t="shared" si="6"/>
        <v>1</v>
      </c>
      <c r="G20" s="232"/>
      <c r="H20" s="247"/>
      <c r="I20" s="242" t="s">
        <v>149</v>
      </c>
      <c r="J20" s="327">
        <f>(_xlfn.XLOOKUP(I20,'2022'!$B$4:$B$23,'2022'!$G$4:$G$23,0))*IF(H20="TD",2,IF(H20="MD",3,1))</f>
        <v>15.45</v>
      </c>
      <c r="K20" s="328">
        <f>_xlfn.XLOOKUP(I20,'2022'!$B$4:$B$23,'2022'!$D$4:$D$23,0)</f>
        <v>12.3</v>
      </c>
      <c r="L20" s="329">
        <f>_xlfn.XLOOKUP(I20,'2022'!$B$4:$B$23,'2022'!$E$4:$E$23,"")</f>
        <v>0</v>
      </c>
      <c r="M20" s="329">
        <f>_xlfn.XLOOKUP(I20,'2022'!$B$4:$B$23,'2022'!$L$4:$L$23,0)</f>
        <v>2</v>
      </c>
      <c r="N20" s="323">
        <f>_xlfn.XLOOKUP(I20,Drivers[Driver],Drivers[Wins],"")</f>
        <v>0</v>
      </c>
      <c r="O20" s="328">
        <f>_xlfn.XLOOKUP(I20,'2022'!$S$5:$S$44,'2022'!$W$5:$W$44,0)</f>
        <v>2.8947368421052633</v>
      </c>
      <c r="P20" s="329">
        <f>_xlfn.XLOOKUP(I20,'2022'!$B$4:$B$23,'2022'!$J$4:$J$23,"")</f>
        <v>9.8099999999999987</v>
      </c>
      <c r="Q20" s="329">
        <f>_xlfn.XLOOKUP(I20,'2022'!$B$4:$B$23,'2022'!$M$4:$M$23,"")</f>
        <v>1</v>
      </c>
      <c r="R20" s="355"/>
      <c r="S20" s="232"/>
      <c r="T20" s="320">
        <f>IF(_xlfn.XLOOKUP(V20,'2022'!$B$4:$B$23,'2022'!$D$4:$D$23,"")&lt;20,_xlfn.XLOOKUP(V20,'2022'!$B$4:$B$23,'2022'!$G$4:$G$23),"")</f>
        <v>11.45</v>
      </c>
      <c r="U20" s="246">
        <f t="shared" si="0"/>
        <v>8.9</v>
      </c>
      <c r="V20" s="366" t="str">
        <f>IF(OR($P$13&lt;'2022'!D19,IF(ISTEXT(_xlfn.XLOOKUP('2022'!B19,$I$5:$I$10,$K$5:$K$10,"")),FALSE,TRUE)),"",'2022'!B19)</f>
        <v>Stroll</v>
      </c>
      <c r="W20" s="341" cm="1">
        <f t="array" ref="W20">_xlfn.XLOOKUP(V20,'2022'!$B$4:$B$23,_xlfn.XLOOKUP($W$4,'2022'!$C$3:$P$3,'2022'!$C$4:$P$23,""),"")</f>
        <v>8.9</v>
      </c>
      <c r="X20" s="367">
        <f t="shared" si="4"/>
        <v>10</v>
      </c>
      <c r="Y20" s="231"/>
      <c r="Z20" s="231"/>
      <c r="AA20" s="231"/>
      <c r="AB20" s="231"/>
      <c r="AC20" s="231"/>
      <c r="AD20" s="238"/>
    </row>
    <row r="21" spans="4:32" ht="17" thickBot="1" x14ac:dyDescent="0.25">
      <c r="D21" s="230"/>
      <c r="E21" s="231"/>
      <c r="F21" s="335" t="str">
        <f t="shared" si="6"/>
        <v/>
      </c>
      <c r="G21" s="232"/>
      <c r="H21" s="254"/>
      <c r="I21" s="255" t="s">
        <v>148</v>
      </c>
      <c r="J21" s="330">
        <f>_xlfn.XLOOKUP(I21,'2022'!$B$28:$B$37,'2022'!$F$28:$F$37,0)</f>
        <v>54</v>
      </c>
      <c r="K21" s="331">
        <f>_xlfn.XLOOKUP(I21,'2022'!$B$28:$B$37,'2022'!$D$28:$D$37,0)</f>
        <v>32.5</v>
      </c>
      <c r="L21" s="324">
        <f>_xlfn.XLOOKUP(I21,'2022'!$B$28:$B$37,'2022'!$E$28:$E$37,"")</f>
        <v>0</v>
      </c>
      <c r="M21" s="324"/>
      <c r="N21" s="324">
        <f>_xlfn.XLOOKUP(I21,Constructors[Contructor],Constructors[Wins],"")</f>
        <v>1</v>
      </c>
      <c r="O21" s="331"/>
      <c r="P21" s="324">
        <f>_xlfn.XLOOKUP(I21,'2022'!$B$28:$B$37,'2022'!$J$28:$J$37,"")</f>
        <v>5.5549999999999997</v>
      </c>
      <c r="Q21" s="324" t="str">
        <f>_xlfn.XLOOKUP(I21,'2022'!$B$4:$B$23,'2022'!$M$4:$M$23,"")</f>
        <v/>
      </c>
      <c r="R21" s="355"/>
      <c r="S21" s="232"/>
      <c r="T21" s="320">
        <f>IF(_xlfn.XLOOKUP(V21,'2022'!$B$4:$B$23,'2022'!$D$4:$D$23,"")&lt;20,_xlfn.XLOOKUP(V21,'2022'!$B$4:$B$23,'2022'!$G$4:$G$23),"")</f>
        <v>3.35</v>
      </c>
      <c r="U21" s="246">
        <f t="shared" si="0"/>
        <v>4</v>
      </c>
      <c r="V21" s="366" t="str">
        <f>IF(OR($P$13&lt;'2022'!D20,IF(ISTEXT(_xlfn.XLOOKUP('2022'!B20,$I$5:$I$10,$K$5:$K$10,"")),FALSE,TRUE)),"",'2022'!B20)</f>
        <v>Tsunoda</v>
      </c>
      <c r="W21" s="341" cm="1">
        <f t="array" ref="W21">_xlfn.XLOOKUP(V21,'2022'!$B$4:$B$23,_xlfn.XLOOKUP($W$4,'2022'!$C$3:$P$3,'2022'!$C$4:$P$23,""),"")</f>
        <v>4</v>
      </c>
      <c r="X21" s="367">
        <f t="shared" si="4"/>
        <v>1</v>
      </c>
      <c r="Y21" s="231"/>
      <c r="Z21" s="231"/>
      <c r="AA21" s="231"/>
      <c r="AB21" s="231"/>
      <c r="AC21" s="231"/>
      <c r="AD21" s="238"/>
    </row>
    <row r="22" spans="4:32" ht="17" thickBot="1" x14ac:dyDescent="0.25">
      <c r="D22" s="230"/>
      <c r="E22" s="231"/>
      <c r="F22" s="231"/>
      <c r="G22" s="232"/>
      <c r="H22" s="237" t="s">
        <v>29</v>
      </c>
      <c r="I22" s="259"/>
      <c r="J22" s="332">
        <f>+SUM(J16:J21)</f>
        <v>207.29999999999998</v>
      </c>
      <c r="K22" s="333">
        <f>+SUM(K16:K21)</f>
        <v>118.1</v>
      </c>
      <c r="L22" s="334">
        <f>SUM(L16:L21)</f>
        <v>25</v>
      </c>
      <c r="M22" s="334">
        <f>IF(COUNTA(I16:I21)=0,"",SUM(M16:M21))</f>
        <v>13</v>
      </c>
      <c r="N22" s="334">
        <f>SUM(N16:N21)</f>
        <v>5</v>
      </c>
      <c r="O22" s="333">
        <f>AVERAGE(O16:O20)</f>
        <v>-0.26315789473684187</v>
      </c>
      <c r="P22" s="333">
        <f>IF(SUM(P16:P21)=0,"",AVERAGE(P16:P21))</f>
        <v>8.02</v>
      </c>
      <c r="Q22" s="334">
        <f>SUM(Q16:Q21)</f>
        <v>4</v>
      </c>
      <c r="R22" s="356"/>
      <c r="S22" s="232"/>
      <c r="T22" s="320" t="str">
        <f>IF(_xlfn.XLOOKUP(V22,'2022'!$B$4:$B$23,'2022'!$D$4:$D$23,"")&lt;20,_xlfn.XLOOKUP(V22,'2022'!$B$4:$B$23,'2022'!$G$4:$G$23),"")</f>
        <v/>
      </c>
      <c r="U22" s="246" t="str">
        <f t="shared" si="0"/>
        <v/>
      </c>
      <c r="V22" s="366" t="str">
        <f>IF(OR($P$13&lt;'2022'!D21,IF(ISTEXT(_xlfn.XLOOKUP('2022'!B21,$I$5:$I$10,$K$5:$K$10,"")),FALSE,TRUE)),"",'2022'!B21)</f>
        <v/>
      </c>
      <c r="W22" s="341" t="str" cm="1">
        <f t="array" ref="W22">_xlfn.XLOOKUP(V22,'2022'!$B$4:$B$23,_xlfn.XLOOKUP($W$4,'2022'!$C$3:$P$3,'2022'!$C$4:$P$23,""),"")</f>
        <v/>
      </c>
      <c r="X22" s="367" t="str">
        <f t="shared" si="4"/>
        <v/>
      </c>
      <c r="Y22" s="231"/>
      <c r="Z22" s="231"/>
      <c r="AA22" s="231"/>
      <c r="AB22" s="231"/>
      <c r="AC22" s="231"/>
      <c r="AD22" s="238"/>
    </row>
    <row r="23" spans="4:32" x14ac:dyDescent="0.2">
      <c r="D23" s="230"/>
      <c r="E23" s="231"/>
      <c r="F23" s="231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320">
        <f>IF(_xlfn.XLOOKUP(V23,'2022'!$B$4:$B$23,'2022'!$D$4:$D$23,"")&lt;20,_xlfn.XLOOKUP(V23,'2022'!$B$4:$B$23,'2022'!$G$4:$G$23),"")</f>
        <v>12.9</v>
      </c>
      <c r="U23" s="246">
        <f t="shared" si="0"/>
        <v>10.4</v>
      </c>
      <c r="V23" s="366" t="str">
        <f>IF(OR($P$13&lt;'2022'!D22,IF(ISTEXT(_xlfn.XLOOKUP('2022'!B22,$I$5:$I$10,$K$5:$K$10,"")),FALSE,TRUE)),"",'2022'!B22)</f>
        <v>Vettel</v>
      </c>
      <c r="W23" s="341" cm="1">
        <f t="array" ref="W23">_xlfn.XLOOKUP(V23,'2022'!$B$4:$B$23,_xlfn.XLOOKUP($W$4,'2022'!$C$3:$P$3,'2022'!$C$4:$P$23,""),"")</f>
        <v>10.4</v>
      </c>
      <c r="X23" s="367">
        <f t="shared" si="4"/>
        <v>12</v>
      </c>
      <c r="Y23" s="231"/>
      <c r="Z23" s="231"/>
      <c r="AA23" s="231"/>
      <c r="AB23" s="231"/>
      <c r="AC23" s="231"/>
      <c r="AD23" s="238"/>
    </row>
    <row r="24" spans="4:32" ht="17" thickBot="1" x14ac:dyDescent="0.25">
      <c r="D24" s="230"/>
      <c r="E24" s="231"/>
      <c r="F24" s="231"/>
      <c r="G24" s="232"/>
      <c r="H24" s="265" t="s">
        <v>34</v>
      </c>
      <c r="I24" s="266">
        <f>I13</f>
        <v>120.5</v>
      </c>
      <c r="J24" s="267"/>
      <c r="K24" s="268" t="s">
        <v>35</v>
      </c>
      <c r="L24" s="266">
        <f>K22</f>
        <v>118.1</v>
      </c>
      <c r="M24" s="267"/>
      <c r="N24" s="267"/>
      <c r="O24" s="268" t="s">
        <v>36</v>
      </c>
      <c r="P24" s="266">
        <f>I24-L24</f>
        <v>2.4000000000000057</v>
      </c>
      <c r="Q24" s="269"/>
      <c r="R24" s="232"/>
      <c r="S24" s="232"/>
      <c r="T24" s="321">
        <f>IF(_xlfn.XLOOKUP(V24,'2022'!$B$4:$B$23,'2022'!$D$4:$D$23,"")&lt;20,_xlfn.XLOOKUP(V24,'2022'!$B$4:$B$23,'2022'!$G$4:$G$23),"")</f>
        <v>5.2</v>
      </c>
      <c r="U24" s="322">
        <f t="shared" si="0"/>
        <v>4</v>
      </c>
      <c r="V24" s="366" t="str">
        <f>IF(OR($P$13&lt;'2022'!D23,IF(ISTEXT(_xlfn.XLOOKUP('2022'!B23,$I$5:$I$10,$K$5:$K$10,"")),FALSE,TRUE)),"",'2022'!B23)</f>
        <v>Zhou</v>
      </c>
      <c r="W24" s="342" cm="1">
        <f t="array" ref="W24">_xlfn.XLOOKUP(V24,'2022'!$B$4:$B$23,_xlfn.XLOOKUP($W$4,'2022'!$C$3:$P$3,'2022'!$C$4:$P$23,""),"")</f>
        <v>4</v>
      </c>
      <c r="X24" s="370">
        <f t="shared" si="4"/>
        <v>1</v>
      </c>
      <c r="Y24" s="231"/>
      <c r="Z24" s="231"/>
      <c r="AA24" s="231"/>
      <c r="AB24" s="231"/>
      <c r="AC24" s="231"/>
      <c r="AD24" s="238"/>
    </row>
    <row r="25" spans="4:32" x14ac:dyDescent="0.2">
      <c r="D25" s="230"/>
      <c r="E25" s="231"/>
      <c r="F25" s="231"/>
      <c r="G25" s="272"/>
      <c r="H25" s="232"/>
      <c r="I25" s="272"/>
      <c r="J25" s="270"/>
      <c r="K25" s="272"/>
      <c r="L25" s="270"/>
      <c r="M25" s="270"/>
      <c r="N25" s="270"/>
      <c r="O25" s="270"/>
      <c r="P25" s="270"/>
      <c r="Q25" s="270"/>
      <c r="R25" s="270"/>
      <c r="S25" s="270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8"/>
    </row>
    <row r="26" spans="4:32" ht="17" thickBot="1" x14ac:dyDescent="0.25">
      <c r="D26" s="230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8"/>
      <c r="AE26" s="239"/>
    </row>
    <row r="27" spans="4:32" ht="9" customHeight="1" x14ac:dyDescent="0.2">
      <c r="D27" s="230"/>
      <c r="E27" s="226"/>
      <c r="F27" s="227"/>
      <c r="G27" s="273"/>
      <c r="H27" s="274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29"/>
      <c r="AD27" s="238"/>
      <c r="AE27" s="239"/>
    </row>
    <row r="28" spans="4:32" x14ac:dyDescent="0.2">
      <c r="D28" s="230"/>
      <c r="E28" s="230"/>
      <c r="F28" s="231"/>
      <c r="G28" s="271" t="s">
        <v>128</v>
      </c>
      <c r="H28" s="275" t="str">
        <f>IF(COUNTA(G29:G48)&gt;0,"AVG","")</f>
        <v>AVG</v>
      </c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8"/>
      <c r="AD28" s="276"/>
      <c r="AE28" s="239"/>
    </row>
    <row r="29" spans="4:32" x14ac:dyDescent="0.2">
      <c r="D29" s="230"/>
      <c r="E29" s="230"/>
      <c r="F29" s="277"/>
      <c r="G29" s="278" t="s">
        <v>138</v>
      </c>
      <c r="H29" s="279">
        <f>IF(ISTEXT(G29),_xlfn.XLOOKUP(G29,Drivers[Driver],Drivers[Avg. Pos.]),"")</f>
        <v>11.824999999999999</v>
      </c>
      <c r="I29" s="280" cm="1">
        <f t="array" ref="I29:AD29">_xlfn.XLOOKUP(G29,'2022'!$S$5:$S$44,'2022'!$AA$5:$AV$44)</f>
        <v>9</v>
      </c>
      <c r="J29" s="281">
        <v>20.100000000000001</v>
      </c>
      <c r="K29" s="281">
        <v>17</v>
      </c>
      <c r="L29" s="281">
        <v>20.100000000000001</v>
      </c>
      <c r="M29" s="281">
        <v>11</v>
      </c>
      <c r="N29" s="281">
        <v>9</v>
      </c>
      <c r="O29" s="281">
        <v>7</v>
      </c>
      <c r="P29" s="281">
        <v>7</v>
      </c>
      <c r="Q29" s="281">
        <v>9</v>
      </c>
      <c r="R29" s="281">
        <v>5</v>
      </c>
      <c r="S29" s="281">
        <v>10</v>
      </c>
      <c r="T29" s="281">
        <v>6</v>
      </c>
      <c r="U29" s="281">
        <v>8</v>
      </c>
      <c r="V29" s="281">
        <v>5</v>
      </c>
      <c r="W29" s="281">
        <v>6</v>
      </c>
      <c r="X29" s="281">
        <v>20.100000000000001</v>
      </c>
      <c r="Y29" s="281">
        <v>20.100000000000001</v>
      </c>
      <c r="Z29" s="281">
        <v>7</v>
      </c>
      <c r="AA29" s="281">
        <v>15</v>
      </c>
      <c r="AB29" s="281">
        <v>20.100000000000001</v>
      </c>
      <c r="AC29" s="276">
        <v>5</v>
      </c>
      <c r="AD29" s="264">
        <v>0</v>
      </c>
      <c r="AE29" s="282"/>
    </row>
    <row r="30" spans="4:32" x14ac:dyDescent="0.2">
      <c r="D30" s="230"/>
      <c r="E30" s="230"/>
      <c r="F30" s="283"/>
      <c r="G30" s="278" t="s">
        <v>149</v>
      </c>
      <c r="H30" s="279">
        <f>IF(ISTEXT(G30),_xlfn.XLOOKUP(G30,Drivers[Driver],Drivers[Avg. Pos.]),"")</f>
        <v>9.8099999999999987</v>
      </c>
      <c r="I30" s="280" cm="1">
        <f t="array" ref="I30:AD30">_xlfn.XLOOKUP(G30,'2022'!$S$5:$S$44,'2022'!$AA$5:$AV$44)</f>
        <v>7</v>
      </c>
      <c r="J30" s="281">
        <v>6</v>
      </c>
      <c r="K30" s="281">
        <v>7</v>
      </c>
      <c r="L30" s="281">
        <v>14</v>
      </c>
      <c r="M30" s="281">
        <v>8</v>
      </c>
      <c r="N30" s="281">
        <v>7</v>
      </c>
      <c r="O30" s="281">
        <v>12</v>
      </c>
      <c r="P30" s="281">
        <v>10</v>
      </c>
      <c r="Q30" s="281">
        <v>6</v>
      </c>
      <c r="R30" s="281">
        <v>20.100000000000001</v>
      </c>
      <c r="S30" s="281">
        <v>5</v>
      </c>
      <c r="T30" s="281">
        <v>8</v>
      </c>
      <c r="U30" s="281">
        <v>9</v>
      </c>
      <c r="V30" s="281">
        <v>7</v>
      </c>
      <c r="W30" s="281">
        <v>9</v>
      </c>
      <c r="X30" s="281">
        <v>11</v>
      </c>
      <c r="Y30" s="281">
        <v>20.100000000000001</v>
      </c>
      <c r="Z30" s="281">
        <v>4</v>
      </c>
      <c r="AA30" s="281">
        <v>10</v>
      </c>
      <c r="AB30" s="280">
        <v>8</v>
      </c>
      <c r="AC30" s="276">
        <v>8</v>
      </c>
      <c r="AD30" s="264">
        <v>0</v>
      </c>
      <c r="AE30" s="282"/>
    </row>
    <row r="31" spans="4:32" x14ac:dyDescent="0.2">
      <c r="D31" s="230"/>
      <c r="E31" s="230"/>
      <c r="F31" s="284"/>
      <c r="G31" s="278" t="s">
        <v>150</v>
      </c>
      <c r="H31" s="279">
        <f>IF(ISTEXT(G31),_xlfn.XLOOKUP(G31,Drivers[Driver],Drivers[Avg. Pos.]),"")</f>
        <v>5.3549999999999995</v>
      </c>
      <c r="I31" s="280" cm="1">
        <f t="array" ref="I31:AD31">_xlfn.XLOOKUP(G31,'2022'!$S$5:$S$44,'2022'!$AA$5:$AV$44)</f>
        <v>4</v>
      </c>
      <c r="J31" s="280">
        <v>5</v>
      </c>
      <c r="K31" s="280">
        <v>3</v>
      </c>
      <c r="L31" s="280">
        <v>4</v>
      </c>
      <c r="M31" s="280">
        <v>5</v>
      </c>
      <c r="N31" s="280">
        <v>3</v>
      </c>
      <c r="O31" s="280">
        <v>5</v>
      </c>
      <c r="P31" s="280">
        <v>3</v>
      </c>
      <c r="Q31" s="280">
        <v>4</v>
      </c>
      <c r="R31" s="280">
        <v>20.100000000000001</v>
      </c>
      <c r="S31" s="280">
        <v>4</v>
      </c>
      <c r="T31" s="280">
        <v>3</v>
      </c>
      <c r="U31" s="280">
        <v>3</v>
      </c>
      <c r="V31" s="280">
        <v>4</v>
      </c>
      <c r="W31" s="280">
        <v>2</v>
      </c>
      <c r="X31" s="280">
        <v>3</v>
      </c>
      <c r="Y31" s="280">
        <v>14</v>
      </c>
      <c r="Z31" s="280">
        <v>8</v>
      </c>
      <c r="AA31" s="280">
        <v>5</v>
      </c>
      <c r="AB31" s="280">
        <v>4</v>
      </c>
      <c r="AC31" s="276">
        <v>1</v>
      </c>
      <c r="AD31" s="264">
        <v>0</v>
      </c>
      <c r="AE31" s="282"/>
    </row>
    <row r="32" spans="4:32" x14ac:dyDescent="0.2">
      <c r="D32" s="230"/>
      <c r="E32" s="230"/>
      <c r="F32" s="285"/>
      <c r="G32" s="278"/>
      <c r="H32" s="279" t="str">
        <f>IF(ISTEXT(G32),_xlfn.XLOOKUP(G32,Drivers[Driver],Drivers[Avg. Pos.]),"")</f>
        <v/>
      </c>
      <c r="I32" s="280" t="e" cm="1">
        <f t="array" ref="I32">_xlfn.XLOOKUP(G32,'2022'!$S$5:$S$44,'2022'!$AA$5:$AV$44)</f>
        <v>#N/A</v>
      </c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76"/>
      <c r="AD32" s="264"/>
      <c r="AE32" s="282"/>
    </row>
    <row r="33" spans="4:32" x14ac:dyDescent="0.2">
      <c r="D33" s="230"/>
      <c r="E33" s="230"/>
      <c r="F33" s="286"/>
      <c r="G33" s="278"/>
      <c r="H33" s="279" t="str">
        <f>IF(ISTEXT(G33),_xlfn.XLOOKUP(G33,Drivers[Driver],Drivers[Avg. Pos.]),"")</f>
        <v/>
      </c>
      <c r="I33" s="280" t="e" cm="1">
        <f t="array" ref="I33">_xlfn.XLOOKUP(G33,'2022'!$S$5:$S$44,'2022'!$AA$5:$AV$44)</f>
        <v>#N/A</v>
      </c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76"/>
      <c r="AD33" s="264"/>
      <c r="AE33" s="282"/>
    </row>
    <row r="34" spans="4:32" x14ac:dyDescent="0.2">
      <c r="D34" s="230"/>
      <c r="E34" s="230"/>
      <c r="F34" s="287"/>
      <c r="G34" s="278"/>
      <c r="H34" s="279" t="str">
        <f>IF(ISTEXT(G34),_xlfn.XLOOKUP(G34,Drivers[Driver],Drivers[Avg. Pos.]),"")</f>
        <v/>
      </c>
      <c r="I34" s="280" t="e" cm="1">
        <f t="array" ref="I34">_xlfn.XLOOKUP(G34,'2022'!$S$5:$S$44,'2022'!$AA$5:$AV$44)</f>
        <v>#N/A</v>
      </c>
      <c r="J34" s="280"/>
      <c r="K34" s="280"/>
      <c r="L34" s="280"/>
      <c r="M34" s="280"/>
      <c r="N34" s="280"/>
      <c r="O34" s="280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76"/>
      <c r="AD34" s="264"/>
      <c r="AE34" s="282"/>
    </row>
    <row r="35" spans="4:32" x14ac:dyDescent="0.2">
      <c r="D35" s="230"/>
      <c r="E35" s="230"/>
      <c r="F35" s="288"/>
      <c r="G35" s="278"/>
      <c r="H35" s="279" t="str">
        <f>IF(ISTEXT(G35),_xlfn.XLOOKUP(G35,Drivers[Driver],Drivers[Avg. Pos.]),"")</f>
        <v/>
      </c>
      <c r="I35" s="280" t="e" cm="1">
        <f t="array" ref="I35">_xlfn.XLOOKUP(G35,'2022'!$S$5:$S$44,'2022'!$AA$5:$AV$44)</f>
        <v>#N/A</v>
      </c>
      <c r="J35" s="280"/>
      <c r="K35" s="280"/>
      <c r="L35" s="280"/>
      <c r="M35" s="280"/>
      <c r="N35" s="280"/>
      <c r="O35" s="280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76"/>
      <c r="AD35" s="264"/>
      <c r="AE35" s="282"/>
    </row>
    <row r="36" spans="4:32" x14ac:dyDescent="0.2">
      <c r="D36" s="230"/>
      <c r="E36" s="230"/>
      <c r="F36" s="289"/>
      <c r="G36" s="278"/>
      <c r="H36" s="279" t="str">
        <f>IF(ISTEXT(G36),_xlfn.XLOOKUP(G36,Drivers[Driver],Drivers[Avg. Pos.]),"")</f>
        <v/>
      </c>
      <c r="I36" s="280" t="e" cm="1">
        <f t="array" ref="I36">_xlfn.XLOOKUP(G36,'2022'!$S$5:$S$44,'2022'!$AA$5:$AV$44)</f>
        <v>#N/A</v>
      </c>
      <c r="J36" s="280"/>
      <c r="K36" s="280"/>
      <c r="L36" s="280"/>
      <c r="M36" s="280"/>
      <c r="N36" s="280"/>
      <c r="O36" s="280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76"/>
      <c r="AD36" s="264"/>
      <c r="AE36" s="282"/>
      <c r="AF36" s="282"/>
    </row>
    <row r="37" spans="4:32" x14ac:dyDescent="0.2">
      <c r="D37" s="230"/>
      <c r="E37" s="230"/>
      <c r="F37" s="290"/>
      <c r="G37" s="278"/>
      <c r="H37" s="279" t="str">
        <f>IF(ISTEXT(G37),_xlfn.XLOOKUP(G37,Drivers[Driver],Drivers[Avg. Pos.]),"")</f>
        <v/>
      </c>
      <c r="I37" s="280" t="e" cm="1">
        <f t="array" ref="I37">_xlfn.XLOOKUP(G37,'2022'!$S$5:$S$44,'2022'!$AA$5:$AV$44)</f>
        <v>#N/A</v>
      </c>
      <c r="J37" s="280"/>
      <c r="K37" s="280"/>
      <c r="L37" s="280"/>
      <c r="M37" s="280"/>
      <c r="N37" s="280"/>
      <c r="O37" s="280"/>
      <c r="P37" s="280"/>
      <c r="Q37" s="280"/>
      <c r="R37" s="280"/>
      <c r="S37" s="280"/>
      <c r="T37" s="280"/>
      <c r="U37" s="280"/>
      <c r="V37" s="280"/>
      <c r="W37" s="280"/>
      <c r="X37" s="280"/>
      <c r="Y37" s="280"/>
      <c r="Z37" s="280"/>
      <c r="AA37" s="280"/>
      <c r="AB37" s="280"/>
      <c r="AC37" s="276"/>
      <c r="AD37" s="264"/>
      <c r="AE37" s="282"/>
      <c r="AF37" s="282"/>
    </row>
    <row r="38" spans="4:32" x14ac:dyDescent="0.2">
      <c r="D38" s="230"/>
      <c r="E38" s="230"/>
      <c r="F38" s="291"/>
      <c r="G38" s="278"/>
      <c r="H38" s="279" t="str">
        <f>IF(ISTEXT(G38),_xlfn.XLOOKUP(G38,Drivers[Driver],Drivers[Avg. Pos.]),"")</f>
        <v/>
      </c>
      <c r="I38" s="280" t="e" cm="1">
        <f t="array" ref="I38">_xlfn.XLOOKUP(G38,'2022'!$S$5:$S$44,'2022'!$AA$5:$AV$44)</f>
        <v>#N/A</v>
      </c>
      <c r="J38" s="280"/>
      <c r="K38" s="280"/>
      <c r="L38" s="280"/>
      <c r="M38" s="280"/>
      <c r="N38" s="280"/>
      <c r="O38" s="280"/>
      <c r="P38" s="280"/>
      <c r="Q38" s="280"/>
      <c r="R38" s="280"/>
      <c r="S38" s="280"/>
      <c r="T38" s="280"/>
      <c r="U38" s="280"/>
      <c r="V38" s="280"/>
      <c r="W38" s="280"/>
      <c r="X38" s="280"/>
      <c r="Y38" s="280"/>
      <c r="Z38" s="280"/>
      <c r="AA38" s="280"/>
      <c r="AB38" s="280"/>
      <c r="AC38" s="276"/>
      <c r="AD38" s="264"/>
      <c r="AE38" s="282"/>
      <c r="AF38" s="282"/>
    </row>
    <row r="39" spans="4:32" x14ac:dyDescent="0.2">
      <c r="D39" s="230"/>
      <c r="E39" s="230"/>
      <c r="F39" s="292"/>
      <c r="G39" s="278"/>
      <c r="H39" s="279" t="str">
        <f>IF(ISTEXT(G39),_xlfn.XLOOKUP(G39,Drivers[Driver],Drivers[Avg. Pos.]),"")</f>
        <v/>
      </c>
      <c r="I39" s="280" t="e" cm="1">
        <f t="array" ref="I39">_xlfn.XLOOKUP(G39,'2022'!$S$5:$S$44,'2022'!$AA$5:$AV$44)</f>
        <v>#N/A</v>
      </c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0"/>
      <c r="W39" s="280"/>
      <c r="X39" s="280"/>
      <c r="Y39" s="280"/>
      <c r="Z39" s="280"/>
      <c r="AA39" s="280"/>
      <c r="AB39" s="280"/>
      <c r="AC39" s="276"/>
      <c r="AD39" s="264"/>
      <c r="AE39" s="282"/>
      <c r="AF39" s="282"/>
    </row>
    <row r="40" spans="4:32" x14ac:dyDescent="0.2">
      <c r="D40" s="230"/>
      <c r="E40" s="230"/>
      <c r="F40" s="293"/>
      <c r="G40" s="278"/>
      <c r="H40" s="279" t="str">
        <f>IF(ISTEXT(G40),_xlfn.XLOOKUP(G40,Drivers[Driver],Drivers[Avg. Pos.]),"")</f>
        <v/>
      </c>
      <c r="I40" s="280" t="e" cm="1">
        <f t="array" ref="I40">_xlfn.XLOOKUP(G40,'2022'!$S$5:$S$44,'2022'!$AA$5:$AV$44)</f>
        <v>#N/A</v>
      </c>
      <c r="J40" s="280"/>
      <c r="K40" s="280"/>
      <c r="L40" s="280"/>
      <c r="M40" s="280"/>
      <c r="N40" s="280"/>
      <c r="O40" s="280"/>
      <c r="P40" s="280"/>
      <c r="Q40" s="280"/>
      <c r="R40" s="280"/>
      <c r="S40" s="280"/>
      <c r="T40" s="280"/>
      <c r="U40" s="280"/>
      <c r="V40" s="280"/>
      <c r="W40" s="280"/>
      <c r="X40" s="280"/>
      <c r="Y40" s="280"/>
      <c r="Z40" s="280"/>
      <c r="AA40" s="280"/>
      <c r="AB40" s="280"/>
      <c r="AC40" s="276"/>
      <c r="AD40" s="264"/>
      <c r="AE40" s="282"/>
      <c r="AF40" s="282"/>
    </row>
    <row r="41" spans="4:32" x14ac:dyDescent="0.2">
      <c r="D41" s="230"/>
      <c r="E41" s="230"/>
      <c r="F41" s="294"/>
      <c r="G41" s="295"/>
      <c r="H41" s="296" t="str">
        <f>IF(ISTEXT(G41),_xlfn.XLOOKUP(G41,Drivers[Driver],Drivers[Avg. Pos.]),"")</f>
        <v/>
      </c>
      <c r="I41" s="280" t="e" cm="1">
        <f t="array" ref="I41">_xlfn.XLOOKUP(G41,'2022'!$S$5:$S$44,'2022'!$AA$5:$AV$44)</f>
        <v>#N/A</v>
      </c>
      <c r="J41" s="280"/>
      <c r="K41" s="280"/>
      <c r="L41" s="280"/>
      <c r="M41" s="280"/>
      <c r="N41" s="280"/>
      <c r="O41" s="280"/>
      <c r="P41" s="280"/>
      <c r="Q41" s="280"/>
      <c r="R41" s="280"/>
      <c r="S41" s="280"/>
      <c r="T41" s="280"/>
      <c r="U41" s="280"/>
      <c r="V41" s="280"/>
      <c r="W41" s="280"/>
      <c r="X41" s="280"/>
      <c r="Y41" s="280"/>
      <c r="Z41" s="280"/>
      <c r="AA41" s="280"/>
      <c r="AB41" s="280"/>
      <c r="AC41" s="276"/>
      <c r="AD41" s="264"/>
      <c r="AE41" s="282"/>
      <c r="AF41" s="282"/>
    </row>
    <row r="42" spans="4:32" x14ac:dyDescent="0.2">
      <c r="D42" s="230"/>
      <c r="E42" s="230"/>
      <c r="F42" s="297"/>
      <c r="G42" s="278"/>
      <c r="H42" s="279" t="str">
        <f>IF(ISTEXT(G42),_xlfn.XLOOKUP(G42,Drivers[Driver],Drivers[Avg. Pos.]),"")</f>
        <v/>
      </c>
      <c r="I42" s="280" t="e" cm="1">
        <f t="array" ref="I42">_xlfn.XLOOKUP(G42,'2022'!$S$5:$S$44,'2022'!$AA$5:$AV$44)</f>
        <v>#N/A</v>
      </c>
      <c r="J42" s="280"/>
      <c r="K42" s="280"/>
      <c r="L42" s="280"/>
      <c r="M42" s="280"/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0"/>
      <c r="Z42" s="280"/>
      <c r="AA42" s="280"/>
      <c r="AB42" s="280"/>
      <c r="AC42" s="276"/>
      <c r="AD42" s="264"/>
      <c r="AE42" s="298"/>
      <c r="AF42" s="298"/>
    </row>
    <row r="43" spans="4:32" x14ac:dyDescent="0.2">
      <c r="D43" s="230"/>
      <c r="E43" s="230"/>
      <c r="F43" s="299"/>
      <c r="G43" s="278"/>
      <c r="H43" s="279" t="str">
        <f>IF(ISTEXT(G43),_xlfn.XLOOKUP(G43,Drivers[Driver],Drivers[Avg. Pos.]),"")</f>
        <v/>
      </c>
      <c r="I43" s="280" t="e" cm="1">
        <f t="array" ref="I43">_xlfn.XLOOKUP(G43,'2022'!$S$5:$S$44,'2022'!$AA$5:$AV$44)</f>
        <v>#N/A</v>
      </c>
      <c r="J43" s="280"/>
      <c r="K43" s="280"/>
      <c r="L43" s="280"/>
      <c r="M43" s="280"/>
      <c r="N43" s="280"/>
      <c r="O43" s="280"/>
      <c r="P43" s="280"/>
      <c r="Q43" s="280"/>
      <c r="R43" s="280"/>
      <c r="S43" s="280"/>
      <c r="T43" s="280"/>
      <c r="U43" s="280"/>
      <c r="V43" s="280"/>
      <c r="W43" s="280"/>
      <c r="X43" s="280"/>
      <c r="Y43" s="280"/>
      <c r="Z43" s="280"/>
      <c r="AA43" s="280"/>
      <c r="AB43" s="280"/>
      <c r="AC43" s="276"/>
      <c r="AD43" s="264"/>
      <c r="AE43" s="298"/>
      <c r="AF43" s="298"/>
    </row>
    <row r="44" spans="4:32" x14ac:dyDescent="0.2">
      <c r="D44" s="230"/>
      <c r="E44" s="230"/>
      <c r="F44" s="300"/>
      <c r="G44" s="278"/>
      <c r="H44" s="279" t="str">
        <f>IF(ISTEXT(G44),_xlfn.XLOOKUP(G44,Drivers[Driver],Drivers[Avg. Pos.]),"")</f>
        <v/>
      </c>
      <c r="I44" s="280" t="e" cm="1">
        <f t="array" ref="I44">_xlfn.XLOOKUP(G44,'2022'!$S$5:$S$44,'2022'!$AA$5:$AV$44)</f>
        <v>#N/A</v>
      </c>
      <c r="J44" s="280"/>
      <c r="K44" s="280"/>
      <c r="L44" s="280"/>
      <c r="M44" s="280"/>
      <c r="N44" s="280"/>
      <c r="O44" s="280"/>
      <c r="P44" s="280"/>
      <c r="Q44" s="280"/>
      <c r="R44" s="280"/>
      <c r="S44" s="280"/>
      <c r="T44" s="280"/>
      <c r="U44" s="280"/>
      <c r="V44" s="280"/>
      <c r="W44" s="280"/>
      <c r="X44" s="280"/>
      <c r="Y44" s="280"/>
      <c r="Z44" s="280"/>
      <c r="AA44" s="280"/>
      <c r="AB44" s="280"/>
      <c r="AC44" s="276"/>
      <c r="AD44" s="264"/>
      <c r="AE44" s="298"/>
      <c r="AF44" s="298"/>
    </row>
    <row r="45" spans="4:32" x14ac:dyDescent="0.2">
      <c r="D45" s="230"/>
      <c r="E45" s="230"/>
      <c r="F45" s="301"/>
      <c r="G45" s="278"/>
      <c r="H45" s="279" t="str">
        <f>IF(ISTEXT(G45),_xlfn.XLOOKUP(G45,Drivers[Driver],Drivers[Avg. Pos.]),"")</f>
        <v/>
      </c>
      <c r="I45" s="280" t="e" cm="1">
        <f t="array" ref="I45">_xlfn.XLOOKUP(G45,'2022'!$S$5:$S$44,'2022'!$AA$5:$AV$44)</f>
        <v>#N/A</v>
      </c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76"/>
      <c r="AD45" s="264"/>
      <c r="AE45" s="298"/>
      <c r="AF45" s="298"/>
    </row>
    <row r="46" spans="4:32" x14ac:dyDescent="0.2">
      <c r="D46" s="230"/>
      <c r="E46" s="230"/>
      <c r="F46" s="302"/>
      <c r="G46" s="278"/>
      <c r="H46" s="279" t="str">
        <f>IF(ISTEXT(G46),_xlfn.XLOOKUP(G46,Drivers[Driver],Drivers[Avg. Pos.]),"")</f>
        <v/>
      </c>
      <c r="I46" s="280" t="e" cm="1">
        <f t="array" ref="I46">_xlfn.XLOOKUP(G46,'2022'!$S$5:$S$44,'2022'!$AA$5:$AV$44)</f>
        <v>#N/A</v>
      </c>
      <c r="J46" s="280"/>
      <c r="K46" s="280"/>
      <c r="L46" s="280"/>
      <c r="M46" s="280"/>
      <c r="N46" s="280"/>
      <c r="O46" s="280"/>
      <c r="P46" s="280"/>
      <c r="Q46" s="280"/>
      <c r="R46" s="280"/>
      <c r="S46" s="280"/>
      <c r="T46" s="280"/>
      <c r="U46" s="280"/>
      <c r="V46" s="280"/>
      <c r="W46" s="280"/>
      <c r="X46" s="280"/>
      <c r="Y46" s="280"/>
      <c r="Z46" s="280"/>
      <c r="AA46" s="280"/>
      <c r="AB46" s="280"/>
      <c r="AC46" s="276"/>
      <c r="AD46" s="264"/>
      <c r="AE46" s="298"/>
      <c r="AF46" s="298"/>
    </row>
    <row r="47" spans="4:32" x14ac:dyDescent="0.2">
      <c r="D47" s="230"/>
      <c r="E47" s="230"/>
      <c r="F47" s="303"/>
      <c r="G47" s="278"/>
      <c r="H47" s="279" t="str">
        <f>IF(ISTEXT(G47),_xlfn.XLOOKUP(G47,Drivers[Driver],Drivers[Avg. Pos.]),"")</f>
        <v/>
      </c>
      <c r="I47" s="280" t="e" cm="1">
        <f t="array" ref="I47">_xlfn.XLOOKUP(G47,'2022'!$S$5:$S$44,'2022'!$AA$5:$AV$44)</f>
        <v>#N/A</v>
      </c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280"/>
      <c r="Y47" s="280"/>
      <c r="Z47" s="280"/>
      <c r="AA47" s="280"/>
      <c r="AB47" s="280"/>
      <c r="AC47" s="276"/>
      <c r="AD47" s="264"/>
      <c r="AE47" s="298"/>
      <c r="AF47" s="298"/>
    </row>
    <row r="48" spans="4:32" x14ac:dyDescent="0.2">
      <c r="D48" s="230"/>
      <c r="E48" s="230"/>
      <c r="F48" s="304"/>
      <c r="G48" s="305"/>
      <c r="H48" s="306" t="str">
        <f>IF(ISTEXT(G48),_xlfn.XLOOKUP(G48,Drivers[Driver],Drivers[Avg. Pos.]),"")</f>
        <v/>
      </c>
      <c r="I48" s="280" t="e" cm="1">
        <f t="array" ref="I48">_xlfn.XLOOKUP(G48,'2022'!$S$5:$S$44,'2022'!$AA$5:$AV$44)</f>
        <v>#N/A</v>
      </c>
      <c r="J48" s="280"/>
      <c r="K48" s="280"/>
      <c r="L48" s="280"/>
      <c r="M48" s="280"/>
      <c r="N48" s="280"/>
      <c r="O48" s="280"/>
      <c r="P48" s="280"/>
      <c r="Q48" s="280"/>
      <c r="R48" s="280"/>
      <c r="S48" s="280"/>
      <c r="T48" s="280"/>
      <c r="U48" s="280"/>
      <c r="V48" s="280"/>
      <c r="W48" s="280"/>
      <c r="X48" s="280"/>
      <c r="Y48" s="280"/>
      <c r="Z48" s="280"/>
      <c r="AA48" s="280"/>
      <c r="AB48" s="280"/>
      <c r="AC48" s="276"/>
      <c r="AD48" s="264"/>
      <c r="AE48" s="298"/>
      <c r="AF48" s="298"/>
    </row>
    <row r="49" spans="4:33" ht="17" thickBot="1" x14ac:dyDescent="0.25">
      <c r="D49" s="230"/>
      <c r="E49" s="307"/>
      <c r="F49" s="308"/>
      <c r="G49" s="308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  <c r="AA49" s="309"/>
      <c r="AB49" s="309"/>
      <c r="AC49" s="310"/>
      <c r="AD49" s="276"/>
      <c r="AE49" s="239"/>
      <c r="AF49" s="239"/>
    </row>
    <row r="50" spans="4:33" ht="17" thickBot="1" x14ac:dyDescent="0.25">
      <c r="D50" s="307"/>
      <c r="E50" s="308"/>
      <c r="F50" s="308"/>
      <c r="G50" s="308"/>
      <c r="H50" s="308"/>
      <c r="I50" s="308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1"/>
      <c r="AA50" s="311"/>
      <c r="AB50" s="311"/>
      <c r="AC50" s="311"/>
      <c r="AD50" s="312"/>
      <c r="AE50" s="239"/>
      <c r="AF50" s="239"/>
    </row>
    <row r="51" spans="4:33" x14ac:dyDescent="0.2"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</row>
    <row r="52" spans="4:33" x14ac:dyDescent="0.2"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</row>
    <row r="53" spans="4:33" x14ac:dyDescent="0.2"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  <c r="AA53" s="239"/>
      <c r="AB53" s="239"/>
      <c r="AC53" s="239"/>
      <c r="AD53" s="239"/>
      <c r="AE53" s="239"/>
      <c r="AF53" s="239"/>
      <c r="AG53" s="239"/>
    </row>
    <row r="54" spans="4:33" x14ac:dyDescent="0.2">
      <c r="J54" s="239"/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  <c r="AA54" s="239"/>
      <c r="AB54" s="239"/>
      <c r="AC54" s="239"/>
      <c r="AD54" s="239"/>
      <c r="AE54" s="239"/>
      <c r="AF54" s="239"/>
      <c r="AG54" s="239"/>
    </row>
    <row r="55" spans="4:33" x14ac:dyDescent="0.2"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</row>
    <row r="56" spans="4:33" x14ac:dyDescent="0.2"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</row>
    <row r="57" spans="4:33" x14ac:dyDescent="0.2"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</row>
    <row r="58" spans="4:33" x14ac:dyDescent="0.2"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</row>
    <row r="59" spans="4:33" x14ac:dyDescent="0.2">
      <c r="J59" s="239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39"/>
      <c r="AD59" s="239"/>
    </row>
  </sheetData>
  <conditionalFormatting sqref="G16:G20">
    <cfRule type="cellIs" dxfId="28" priority="80" operator="equal">
      <formula>2</formula>
    </cfRule>
  </conditionalFormatting>
  <conditionalFormatting sqref="G16:G20">
    <cfRule type="cellIs" dxfId="27" priority="79" operator="equal">
      <formula>3</formula>
    </cfRule>
  </conditionalFormatting>
  <conditionalFormatting sqref="Q11:R11">
    <cfRule type="cellIs" dxfId="26" priority="78" operator="greaterThan">
      <formula>Q22</formula>
    </cfRule>
  </conditionalFormatting>
  <conditionalFormatting sqref="L11 O11">
    <cfRule type="cellIs" dxfId="25" priority="77" operator="greaterThan">
      <formula>L22</formula>
    </cfRule>
  </conditionalFormatting>
  <conditionalFormatting sqref="F5:F10">
    <cfRule type="cellIs" dxfId="24" priority="76" operator="equal">
      <formula>1</formula>
    </cfRule>
  </conditionalFormatting>
  <conditionalFormatting sqref="W5:W24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{19A5AEA0-514A-9A49-A3D0-FCA48A9D2223}</x14:id>
        </ext>
      </extLst>
    </cfRule>
  </conditionalFormatting>
  <conditionalFormatting sqref="U5:U24">
    <cfRule type="top10" dxfId="23" priority="74" percent="1" rank="1"/>
  </conditionalFormatting>
  <conditionalFormatting sqref="T5:T24">
    <cfRule type="top10" dxfId="22" priority="73" percent="1" rank="1"/>
  </conditionalFormatting>
  <conditionalFormatting sqref="G5:G10">
    <cfRule type="cellIs" dxfId="21" priority="71" operator="equal">
      <formula>1</formula>
    </cfRule>
  </conditionalFormatting>
  <conditionalFormatting sqref="H5:H9">
    <cfRule type="cellIs" dxfId="20" priority="69" operator="equal">
      <formula>"MD"</formula>
    </cfRule>
    <cfRule type="cellIs" dxfId="19" priority="70" operator="equal">
      <formula>"TD"</formula>
    </cfRule>
  </conditionalFormatting>
  <conditionalFormatting sqref="F29 F32 F35 F38 F41 F44 F47">
    <cfRule type="expression" dxfId="18" priority="68">
      <formula>ISNONTEXT(G29)</formula>
    </cfRule>
  </conditionalFormatting>
  <conditionalFormatting sqref="F30 F33 F36 F39 F42 F45 F48">
    <cfRule type="expression" dxfId="17" priority="67">
      <formula>ISNONTEXT(G30)</formula>
    </cfRule>
  </conditionalFormatting>
  <conditionalFormatting sqref="F31 F34 F37 F40 F43 F46">
    <cfRule type="expression" dxfId="16" priority="66">
      <formula>ISNONTEXT(G31)</formula>
    </cfRule>
  </conditionalFormatting>
  <conditionalFormatting sqref="P11">
    <cfRule type="cellIs" dxfId="15" priority="82" operator="lessThan">
      <formula>$P$22</formula>
    </cfRule>
  </conditionalFormatting>
  <conditionalFormatting sqref="M11">
    <cfRule type="cellIs" dxfId="14" priority="83" operator="lessThan">
      <formula>$M$22</formula>
    </cfRule>
  </conditionalFormatting>
  <conditionalFormatting sqref="J11">
    <cfRule type="cellIs" dxfId="13" priority="386" operator="greaterThan">
      <formula>$J$22</formula>
    </cfRule>
  </conditionalFormatting>
  <conditionalFormatting sqref="Z13">
    <cfRule type="cellIs" dxfId="12" priority="50" operator="lessThan">
      <formula>0</formula>
    </cfRule>
  </conditionalFormatting>
  <conditionalFormatting sqref="Z5:Z14">
    <cfRule type="top10" dxfId="11" priority="49" percent="1" rank="1"/>
  </conditionalFormatting>
  <conditionalFormatting sqref="N11">
    <cfRule type="cellIs" dxfId="10" priority="5" operator="greaterThan">
      <formula>$N$22</formula>
    </cfRule>
    <cfRule type="cellIs" dxfId="9" priority="15" operator="greaterThan">
      <formula>$N$22</formula>
    </cfRule>
  </conditionalFormatting>
  <conditionalFormatting sqref="H16:H20">
    <cfRule type="cellIs" dxfId="8" priority="8" operator="equal">
      <formula>"MD"</formula>
    </cfRule>
    <cfRule type="cellIs" dxfId="7" priority="9" operator="equal">
      <formula>"TD"</formula>
    </cfRule>
  </conditionalFormatting>
  <conditionalFormatting sqref="F16:F21">
    <cfRule type="cellIs" dxfId="6" priority="6" operator="equal">
      <formula>1</formula>
    </cfRule>
  </conditionalFormatting>
  <conditionalFormatting sqref="AB5:AB14">
    <cfRule type="dataBar" priority="3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{099DFA87-B626-6647-A5D8-C168450D1053}</x14:id>
        </ext>
      </extLst>
    </cfRule>
  </conditionalFormatting>
  <conditionalFormatting sqref="N22">
    <cfRule type="cellIs" dxfId="5" priority="4" operator="greaterThan">
      <formula>$N$11</formula>
    </cfRule>
  </conditionalFormatting>
  <conditionalFormatting sqref="Q22:R22">
    <cfRule type="cellIs" dxfId="4" priority="3" operator="greaterThan">
      <formula>$Q$11</formula>
    </cfRule>
  </conditionalFormatting>
  <conditionalFormatting sqref="R4:R11">
    <cfRule type="expression" dxfId="3" priority="2">
      <formula>$J$11&gt;$J$22</formula>
    </cfRule>
  </conditionalFormatting>
  <conditionalFormatting sqref="R15:R22">
    <cfRule type="expression" dxfId="2" priority="1">
      <formula>$J$22&gt;$J$11</formula>
    </cfRule>
  </conditionalFormatting>
  <dataValidations count="3">
    <dataValidation type="list" allowBlank="1" showInputMessage="1" showErrorMessage="1" sqref="H5:H9 H16:H20" xr:uid="{A0C8B766-8DF8-2149-8CCD-B74F2B0E0093}">
      <formula1>"TD,MD"</formula1>
    </dataValidation>
    <dataValidation type="list" allowBlank="1" showInputMessage="1" showErrorMessage="1" sqref="AB4" xr:uid="{381E5B3A-EC63-0043-8D64-4889FE7860D3}">
      <formula1>$AE$4:$AE$10</formula1>
    </dataValidation>
    <dataValidation type="list" allowBlank="1" showInputMessage="1" showErrorMessage="1" sqref="W4" xr:uid="{65BC9039-F719-DB46-A4AD-AB2134AB0D6F}">
      <formula1>$AE$4:$AE$12</formula1>
    </dataValidation>
  </dataValidations>
  <pageMargins left="0.7" right="0.7" top="0.75" bottom="0.75" header="0.3" footer="0.3"/>
  <ignoredErrors>
    <ignoredError sqref="AG1:XFD1 S12:S13 C4:E4 S4:S8 S25:AD27 A15:G22 S15:S22 AG51:XFD58 A29:F29 BB29:XFD29 A30:F30 BB30:XFD30 A31:F31 BB31:XFD31 S10:S11 S9 BB9:XFD9 A49:Q1048576 A23:Q27 B12:Q12 A1:Q3 S14 S23:S24 AG70:XFD1048576 S59:AD69 AJ59:XFD69 BB12:XFD13 BB8:XFD8 BB11:XFD11 BB14:XFD14 AD23:AD24 AD15:AD22 T4:V4 AD14 AD10:AD11 AD4 AD12:AD13 AD9 Z4:AA4 Z10:AB11 Z9:AB9 Z14:AB14 Z12:AB13 B6:C7 E5:E10 AE40:AE48 A32:F48 A28:F28 G28:Q28 G32:Q48 H31:I31 H30 H29 S32:AD48 S28:AD28 R28 R32:R48 G29 I29:AD29 G30 I30:AD30 J31:AD31 A8 A9 C10 T7:W24 T5:W5 T6:W6 X4 AD6:AD8 AD5 Z6:AB8 Z5:AB5 AC4 X5:X24 AC5:AC14 B14:Q14 B13:H13 J13:Q13 C11:F11 J11 S3:AD3 BB3:XFD3 BB2:XFD2 BB4:XFD7 BB10:XFD10 BB25:XFD27 S49:AE50 AH49:XFD50 BB23:XFD24 BB15:XFD22 BB28:XFD28 AH38:XFD48 BB32:XFD35 B5:C5 S2:AD2 S70:AE1048576 S51:AE58 S1:AE1 BB36:XFD37" unlockedFormula="1"/>
    <ignoredError sqref="F4:P4 H15:P15 H22:Q22 H20 J20:Q20 G11:I11 F9:H9 J9:Q9 H17:H19 H16 P16:Q16 F6:H8 F5:H5 J5:N5 P5:Q5 F10:H10 J10:Q10 J6:Q8 H21 J21:Q21 J17:Q19 J16:N16 K11:Q11" formula="1" unlocked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A5AEA0-514A-9A49-A3D0-FCA48A9D22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W5:W24</xm:sqref>
        </x14:conditionalFormatting>
        <x14:conditionalFormatting xmlns:xm="http://schemas.microsoft.com/office/excel/2006/main">
          <x14:cfRule type="dataBar" id="{099DFA87-B626-6647-A5D8-C168450D1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AB5:AB14</xm:sqref>
        </x14:conditionalFormatting>
        <x14:conditionalFormatting xmlns:xm="http://schemas.microsoft.com/office/excel/2006/main">
          <x14:cfRule type="expression" priority="385" id="{89406770-C021-8044-9F54-7549F7596E74}">
            <xm:f>IF(6-COUNTA($I$5:$I$10)&gt;1,_xlfn.XLOOKUP(V519,'2022'!#REF!,'2022'!#REF!)+_xlfn.XLOOKUP(20,'2022'!#REF!,'2022'!#REF!)&gt;=$P$13,"")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V519</xm:sqref>
        </x14:conditionalFormatting>
        <x14:conditionalFormatting xmlns:xm="http://schemas.microsoft.com/office/excel/2006/main">
          <x14:cfRule type="expression" priority="26" id="{B616BD47-1ED9-D841-889E-1B8F14B039B7}">
            <xm:f>IF(6-COUNTA($I$5:$I$10)&gt;1,_xlfn.XLOOKUP(V5,'2022'!$B$4:$B$23,'2022'!$D$4:$D$23)+MIN('2022'!$D$4:$D$23)&gt;=$P$13,"")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V5:V24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B3398E-9EBD-7548-8D0D-DC18329997B8}">
          <x14:formula1>
            <xm:f>'2022'!$B$4:$B$23</xm:f>
          </x14:formula1>
          <xm:sqref>I5:I9 G29 I16:I20</xm:sqref>
        </x14:dataValidation>
        <x14:dataValidation type="list" allowBlank="1" showInputMessage="1" showErrorMessage="1" xr:uid="{C100EE50-709E-994A-9666-79B9A444B62D}">
          <x14:formula1>
            <xm:f>'2022'!$B$28:$B$37</xm:f>
          </x14:formula1>
          <xm:sqref>I10 I21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Dashboard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 Alas</cp:lastModifiedBy>
  <cp:revision/>
  <dcterms:created xsi:type="dcterms:W3CDTF">2021-03-03T03:53:55Z</dcterms:created>
  <dcterms:modified xsi:type="dcterms:W3CDTF">2023-05-15T03:25:45Z</dcterms:modified>
  <cp:category/>
  <cp:contentStatus/>
</cp:coreProperties>
</file>