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7" r:id="rId25"/>
    <pivotCache cacheId="8" r:id="rId26"/>
    <pivotCache cacheId="9" r:id="rId27"/>
    <pivotCache cacheId="17" r:id="rId28"/>
    <pivotCache cacheId="20" r:id="rId29"/>
    <pivotCache cacheId="23" r:id="rId30"/>
    <pivotCache cacheId="26" r:id="rId31"/>
    <pivotCache cacheId="29" r:id="rId32"/>
    <pivotCache cacheId="32" r:id="rId33"/>
    <pivotCache cacheId="35" r:id="rId34"/>
    <pivotCache cacheId="6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67" i="13" l="1"/>
  <c r="AY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G3849" i="11"/>
  <c r="M3849" i="11" s="1"/>
  <c r="G3850" i="11"/>
  <c r="M3850" i="11" s="1"/>
  <c r="G3851" i="11"/>
  <c r="G3852" i="11"/>
  <c r="M3852" i="11" s="1"/>
  <c r="G3853" i="1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M3848" i="11"/>
  <c r="M3851" i="11"/>
  <c r="M3853" i="11"/>
  <c r="M3860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J3865" i="11" l="1"/>
  <c r="M266" i="13"/>
  <c r="AY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Y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Y264" i="13"/>
  <c r="M263" i="13"/>
  <c r="AY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Y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67" i="13" l="1"/>
  <c r="AA267" i="13"/>
  <c r="BC267" i="13"/>
  <c r="BS267" i="13"/>
  <c r="P267" i="13"/>
  <c r="AR267" i="13"/>
  <c r="BT267" i="13"/>
  <c r="D267" i="13"/>
  <c r="AB267" i="13"/>
  <c r="BD267" i="13"/>
  <c r="E267" i="13"/>
  <c r="Q267" i="13"/>
  <c r="AC267" i="13"/>
  <c r="AS267" i="13"/>
  <c r="BE267" i="13"/>
  <c r="F267" i="13"/>
  <c r="R267" i="13"/>
  <c r="AD267" i="13"/>
  <c r="AT267" i="13"/>
  <c r="BF267" i="13"/>
  <c r="G267" i="13"/>
  <c r="S267" i="13"/>
  <c r="AE267" i="13"/>
  <c r="AU267" i="13"/>
  <c r="BG267" i="13"/>
  <c r="T267" i="13"/>
  <c r="H267" i="13"/>
  <c r="AF267" i="13"/>
  <c r="AV267" i="13"/>
  <c r="I267" i="13"/>
  <c r="U267" i="13"/>
  <c r="AG267" i="13"/>
  <c r="AW267" i="13"/>
  <c r="BM267" i="13"/>
  <c r="J267" i="13"/>
  <c r="V267" i="13"/>
  <c r="AH267" i="13"/>
  <c r="AX267" i="13"/>
  <c r="BN267" i="13"/>
  <c r="K267" i="13"/>
  <c r="W267" i="13"/>
  <c r="AI267" i="13"/>
  <c r="BO267" i="13"/>
  <c r="Z267" i="13"/>
  <c r="BB267" i="13"/>
  <c r="L267" i="13"/>
  <c r="X267" i="13"/>
  <c r="AJ267" i="13"/>
  <c r="AZ267" i="13"/>
  <c r="BP267" i="13"/>
  <c r="AL267" i="13"/>
  <c r="BR267" i="13"/>
  <c r="Y267" i="13"/>
  <c r="AK267" i="13"/>
  <c r="BA267" i="13"/>
  <c r="BQ267" i="13"/>
  <c r="N267" i="13"/>
  <c r="O266" i="13"/>
  <c r="AA266" i="13"/>
  <c r="BC266" i="13"/>
  <c r="BS266" i="13"/>
  <c r="D266" i="13"/>
  <c r="P266" i="13"/>
  <c r="AB266" i="13"/>
  <c r="AR266" i="13"/>
  <c r="BD266" i="13"/>
  <c r="BT266" i="13"/>
  <c r="E266" i="13"/>
  <c r="Q266" i="13"/>
  <c r="AC266" i="13"/>
  <c r="AS266" i="13"/>
  <c r="BE266" i="13"/>
  <c r="F266" i="13"/>
  <c r="R266" i="13"/>
  <c r="AD266" i="13"/>
  <c r="AT266" i="13"/>
  <c r="BF266" i="13"/>
  <c r="G266" i="13"/>
  <c r="S266" i="13"/>
  <c r="AE266" i="13"/>
  <c r="AU266" i="13"/>
  <c r="BG266" i="13"/>
  <c r="H266" i="13"/>
  <c r="T266" i="13"/>
  <c r="AF266" i="13"/>
  <c r="AV266" i="13"/>
  <c r="I266" i="13"/>
  <c r="U266" i="13"/>
  <c r="AG266" i="13"/>
  <c r="AW266" i="13"/>
  <c r="BM266" i="13"/>
  <c r="J266" i="13"/>
  <c r="V266" i="13"/>
  <c r="AH266" i="13"/>
  <c r="AX266" i="13"/>
  <c r="BN266" i="13"/>
  <c r="K266" i="13"/>
  <c r="W266" i="13"/>
  <c r="AI266" i="13"/>
  <c r="BO266" i="13"/>
  <c r="L266" i="13"/>
  <c r="X266" i="13"/>
  <c r="AJ266" i="13"/>
  <c r="AZ266" i="13"/>
  <c r="BP266" i="13"/>
  <c r="Y266" i="13"/>
  <c r="AK266" i="13"/>
  <c r="BA266" i="13"/>
  <c r="BQ266" i="13"/>
  <c r="N266" i="13"/>
  <c r="Z266" i="13"/>
  <c r="AL266" i="13"/>
  <c r="BB266" i="13"/>
  <c r="BR266" i="13"/>
  <c r="O265" i="13"/>
  <c r="AA265" i="13"/>
  <c r="BC265" i="13"/>
  <c r="BS265" i="13"/>
  <c r="D265" i="13"/>
  <c r="P265" i="13"/>
  <c r="AB265" i="13"/>
  <c r="AR265" i="13"/>
  <c r="BD265" i="13"/>
  <c r="BT265" i="13"/>
  <c r="E265" i="13"/>
  <c r="Q265" i="13"/>
  <c r="AC265" i="13"/>
  <c r="AS265" i="13"/>
  <c r="BE265" i="13"/>
  <c r="F265" i="13"/>
  <c r="R265" i="13"/>
  <c r="AD265" i="13"/>
  <c r="AT265" i="13"/>
  <c r="BF265" i="13"/>
  <c r="G265" i="13"/>
  <c r="S265" i="13"/>
  <c r="AE265" i="13"/>
  <c r="AU265" i="13"/>
  <c r="BG265" i="13"/>
  <c r="H265" i="13"/>
  <c r="T265" i="13"/>
  <c r="AF265" i="13"/>
  <c r="AV265" i="13"/>
  <c r="I265" i="13"/>
  <c r="U265" i="13"/>
  <c r="AG265" i="13"/>
  <c r="AW265" i="13"/>
  <c r="BM265" i="13"/>
  <c r="J265" i="13"/>
  <c r="V265" i="13"/>
  <c r="AH265" i="13"/>
  <c r="AX265" i="13"/>
  <c r="BN265" i="13"/>
  <c r="K265" i="13"/>
  <c r="W265" i="13"/>
  <c r="AI265" i="13"/>
  <c r="BO265" i="13"/>
  <c r="L265" i="13"/>
  <c r="X265" i="13"/>
  <c r="AJ265" i="13"/>
  <c r="AZ265" i="13"/>
  <c r="BP265" i="13"/>
  <c r="Y265" i="13"/>
  <c r="AK265" i="13"/>
  <c r="BA265" i="13"/>
  <c r="BQ265" i="13"/>
  <c r="N265" i="13"/>
  <c r="Z265" i="13"/>
  <c r="AL265" i="13"/>
  <c r="BB265" i="13"/>
  <c r="BR265" i="13"/>
  <c r="O264" i="13"/>
  <c r="AA264" i="13"/>
  <c r="BC264" i="13"/>
  <c r="BS264" i="13"/>
  <c r="Y263" i="13"/>
  <c r="AK263" i="13"/>
  <c r="BA263" i="13"/>
  <c r="BQ263" i="13"/>
  <c r="AC264" i="13"/>
  <c r="BE264" i="13"/>
  <c r="BC263" i="13"/>
  <c r="R264" i="13"/>
  <c r="D263" i="13"/>
  <c r="AR263" i="13"/>
  <c r="BO263" i="13"/>
  <c r="D264" i="13"/>
  <c r="P264" i="13"/>
  <c r="AB264" i="13"/>
  <c r="AR264" i="13"/>
  <c r="BD264" i="13"/>
  <c r="BT264" i="13"/>
  <c r="N263" i="13"/>
  <c r="Z263" i="13"/>
  <c r="AL263" i="13"/>
  <c r="BB263" i="13"/>
  <c r="BR263" i="13"/>
  <c r="Q264" i="13"/>
  <c r="AA263" i="13"/>
  <c r="AT264" i="13"/>
  <c r="P263" i="13"/>
  <c r="BD263" i="13"/>
  <c r="K263" i="13"/>
  <c r="E264" i="13"/>
  <c r="F264" i="13"/>
  <c r="G264" i="13"/>
  <c r="S264" i="13"/>
  <c r="AE264" i="13"/>
  <c r="AU264" i="13"/>
  <c r="BG264" i="13"/>
  <c r="E263" i="13"/>
  <c r="Q263" i="13"/>
  <c r="AC263" i="13"/>
  <c r="AS263" i="13"/>
  <c r="BE263" i="13"/>
  <c r="T264" i="13"/>
  <c r="AF264" i="13"/>
  <c r="AV264" i="13"/>
  <c r="F263" i="13"/>
  <c r="R263" i="13"/>
  <c r="AD263" i="13"/>
  <c r="AT263" i="13"/>
  <c r="BF263" i="13"/>
  <c r="BA264" i="13"/>
  <c r="H264" i="13"/>
  <c r="I264" i="13"/>
  <c r="U264" i="13"/>
  <c r="AG264" i="13"/>
  <c r="AW264" i="13"/>
  <c r="BM264" i="13"/>
  <c r="G263" i="13"/>
  <c r="S263" i="13"/>
  <c r="AE263" i="13"/>
  <c r="AU263" i="13"/>
  <c r="BG263" i="13"/>
  <c r="V264" i="13"/>
  <c r="AH264" i="13"/>
  <c r="AX264" i="13"/>
  <c r="BN264" i="13"/>
  <c r="H263" i="13"/>
  <c r="T263" i="13"/>
  <c r="AF263" i="13"/>
  <c r="AV263" i="13"/>
  <c r="AK264" i="13"/>
  <c r="AI263" i="13"/>
  <c r="J264" i="13"/>
  <c r="K264" i="13"/>
  <c r="W264" i="13"/>
  <c r="AI264" i="13"/>
  <c r="BO264" i="13"/>
  <c r="I263" i="13"/>
  <c r="U263" i="13"/>
  <c r="AG263" i="13"/>
  <c r="AW263" i="13"/>
  <c r="BM263" i="13"/>
  <c r="X264" i="13"/>
  <c r="AJ264" i="13"/>
  <c r="AZ264" i="13"/>
  <c r="BP264" i="13"/>
  <c r="J263" i="13"/>
  <c r="V263" i="13"/>
  <c r="AH263" i="13"/>
  <c r="AX263" i="13"/>
  <c r="BN263" i="13"/>
  <c r="BQ264" i="13"/>
  <c r="L264" i="13"/>
  <c r="Y264" i="13"/>
  <c r="N264" i="13"/>
  <c r="Z264" i="13"/>
  <c r="AL264" i="13"/>
  <c r="BB264" i="13"/>
  <c r="BR264" i="13"/>
  <c r="L263" i="13"/>
  <c r="X263" i="13"/>
  <c r="AJ263" i="13"/>
  <c r="AZ263" i="13"/>
  <c r="BP263" i="13"/>
  <c r="AS264" i="13"/>
  <c r="O263" i="13"/>
  <c r="BS263" i="13"/>
  <c r="AD264" i="13"/>
  <c r="BF264" i="13"/>
  <c r="AB263" i="13"/>
  <c r="BT263" i="13"/>
  <c r="W263" i="13"/>
  <c r="O262" i="13"/>
  <c r="AR262" i="13"/>
  <c r="AC262" i="13"/>
  <c r="D262" i="13"/>
  <c r="E262" i="13"/>
  <c r="F262" i="13"/>
  <c r="G262" i="13"/>
  <c r="H262" i="13"/>
  <c r="T262" i="13"/>
  <c r="AF262" i="13"/>
  <c r="AV262" i="13"/>
  <c r="I262" i="13"/>
  <c r="U262" i="13"/>
  <c r="AG262" i="13"/>
  <c r="AW262" i="13"/>
  <c r="BM262" i="13"/>
  <c r="V262" i="13"/>
  <c r="AH262" i="13"/>
  <c r="AX262" i="13"/>
  <c r="BN262" i="13"/>
  <c r="AI262" i="13"/>
  <c r="BO262" i="13"/>
  <c r="J262" i="13"/>
  <c r="W262" i="13"/>
  <c r="AU262" i="13"/>
  <c r="K262" i="13"/>
  <c r="L262" i="13"/>
  <c r="X262" i="13"/>
  <c r="AJ262" i="13"/>
  <c r="AZ262" i="13"/>
  <c r="BP262" i="13"/>
  <c r="AB262" i="13"/>
  <c r="Q262" i="13"/>
  <c r="BE262" i="13"/>
  <c r="AD262" i="13"/>
  <c r="BF262" i="13"/>
  <c r="S262" i="13"/>
  <c r="BG262" i="13"/>
  <c r="Y262" i="13"/>
  <c r="AK262" i="13"/>
  <c r="BA262" i="13"/>
  <c r="BQ262" i="13"/>
  <c r="BS262" i="13"/>
  <c r="P262" i="13"/>
  <c r="BD262" i="13"/>
  <c r="AT262" i="13"/>
  <c r="N262" i="13"/>
  <c r="Z262" i="13"/>
  <c r="AL262" i="13"/>
  <c r="BB262" i="13"/>
  <c r="BR262" i="13"/>
  <c r="AA262" i="13"/>
  <c r="BC262" i="13"/>
  <c r="BT262" i="13"/>
  <c r="AS262" i="13"/>
  <c r="R262" i="13"/>
  <c r="AE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BL262" i="13" s="1"/>
  <c r="BW262" i="13" s="1"/>
  <c r="BL263" i="13" s="1"/>
  <c r="BW263" i="13" s="1"/>
  <c r="BL264" i="13" s="1"/>
  <c r="BW264" i="13" s="1"/>
  <c r="BL265" i="13" s="1"/>
  <c r="BW265" i="13" s="1"/>
  <c r="BL266" i="13" s="1"/>
  <c r="BW266" i="13" s="1"/>
  <c r="BL267" i="13" s="1"/>
  <c r="BW267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C262" i="13" s="1"/>
  <c r="AO262" i="13" s="1"/>
  <c r="C263" i="13" s="1"/>
  <c r="AO263" i="13" s="1"/>
  <c r="C264" i="13" s="1"/>
  <c r="AO264" i="13" s="1"/>
  <c r="C265" i="13" s="1"/>
  <c r="AO265" i="13" s="1"/>
  <c r="C266" i="13" s="1"/>
  <c r="AO266" i="13" s="1"/>
  <c r="C267" i="13" s="1"/>
  <c r="AO267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AQ262" i="13" s="1"/>
  <c r="BJ262" i="13" s="1"/>
  <c r="AQ263" i="13" s="1"/>
  <c r="BJ263" i="13" s="1"/>
  <c r="AQ264" i="13" s="1"/>
  <c r="BJ264" i="13" s="1"/>
  <c r="AQ265" i="13" s="1"/>
  <c r="BJ265" i="13" s="1"/>
  <c r="AQ266" i="13" s="1"/>
  <c r="BJ266" i="13" s="1"/>
  <c r="AQ267" i="13" s="1"/>
  <c r="BJ267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<sst xmlns="http://schemas.openxmlformats.org/spreadsheetml/2006/main" count="19849" uniqueCount="4574">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</sst>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0" fillId="0" borderId="0" applyFont="0" applyFill="0" applyBorder="0" applyAlignment="0" applyProtection="0"/>
    <xf numFmtId="0" fontId="114" fillId="0" borderId="0"/>
    <xf numFmtId="9" fontId="114" fillId="0" borderId="0" applyFont="0" applyFill="0" applyBorder="0" applyAlignment="0" applyProtection="0"/>
    <xf numFmtId="0" fontId="78" fillId="0" borderId="0"/>
    <xf numFmtId="9" fontId="78" fillId="0" borderId="0" applyFont="0" applyFill="0" applyBorder="0" applyAlignment="0" applyProtection="0"/>
  </cellStyleXfs>
  <cellXfs count="1393">
    <xf numFmtId="0" fontId="0" fillId="0" borderId="0" xfId="0"/>
    <xf numFmtId="0" fontId="197" fillId="0" borderId="0" xfId="0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0" fontId="197" fillId="0" borderId="0" xfId="0" applyFont="1"/>
    <xf numFmtId="0" fontId="198" fillId="0" borderId="0" xfId="0" applyFont="1" applyAlignment="1">
      <alignment horizontal="center" vertical="center"/>
    </xf>
    <xf numFmtId="0" fontId="197" fillId="0" borderId="0" xfId="0" applyFont="1" applyBorder="1" applyAlignment="1">
      <alignment vertical="center"/>
    </xf>
    <xf numFmtId="0" fontId="199" fillId="2" borderId="1" xfId="0" applyFont="1" applyFill="1" applyBorder="1" applyAlignment="1">
      <alignment horizontal="left" vertical="center" wrapText="1"/>
    </xf>
    <xf numFmtId="0" fontId="199" fillId="2" borderId="1" xfId="0" applyFont="1" applyFill="1" applyBorder="1" applyAlignment="1">
      <alignment horizontal="center" vertical="center" wrapText="1"/>
    </xf>
    <xf numFmtId="0" fontId="199" fillId="2" borderId="0" xfId="0" applyFont="1" applyFill="1" applyAlignment="1">
      <alignment horizontal="right" vertical="center" wrapText="1"/>
    </xf>
    <xf numFmtId="0" fontId="197" fillId="0" borderId="0" xfId="0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10" fontId="197" fillId="0" borderId="0" xfId="0" applyNumberFormat="1" applyFont="1" applyAlignment="1">
      <alignment vertical="center"/>
    </xf>
    <xf numFmtId="0" fontId="197" fillId="0" borderId="0" xfId="0" applyFont="1" applyFill="1" applyAlignment="1">
      <alignment vertical="center"/>
    </xf>
    <xf numFmtId="14" fontId="197" fillId="0" borderId="0" xfId="0" applyNumberFormat="1" applyFont="1" applyBorder="1" applyAlignment="1">
      <alignment vertical="center"/>
    </xf>
    <xf numFmtId="4" fontId="197" fillId="0" borderId="0" xfId="0" applyNumberFormat="1" applyFont="1" applyBorder="1" applyAlignment="1">
      <alignment vertical="center"/>
    </xf>
    <xf numFmtId="10" fontId="197" fillId="0" borderId="0" xfId="0" applyNumberFormat="1" applyFont="1" applyBorder="1" applyAlignment="1">
      <alignment vertical="center"/>
    </xf>
    <xf numFmtId="10" fontId="197" fillId="0" borderId="0" xfId="1" applyNumberFormat="1" applyFont="1" applyAlignment="1">
      <alignment horizontal="center" vertical="center"/>
    </xf>
    <xf numFmtId="9" fontId="197" fillId="0" borderId="0" xfId="0" applyNumberFormat="1" applyFont="1" applyAlignment="1">
      <alignment horizontal="center" vertical="center"/>
    </xf>
    <xf numFmtId="164" fontId="197" fillId="0" borderId="0" xfId="0" applyNumberFormat="1" applyFont="1" applyAlignment="1">
      <alignment horizontal="center" vertical="center"/>
    </xf>
    <xf numFmtId="3" fontId="197" fillId="0" borderId="0" xfId="0" applyNumberFormat="1" applyFont="1" applyAlignment="1">
      <alignment horizontal="center" vertical="center"/>
    </xf>
    <xf numFmtId="14" fontId="197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 wrapText="1"/>
    </xf>
    <xf numFmtId="4" fontId="19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7" fillId="0" borderId="0" xfId="1" applyNumberFormat="1" applyFont="1" applyAlignment="1">
      <alignment horizontal="center" vertical="center"/>
    </xf>
    <xf numFmtId="14" fontId="201" fillId="0" borderId="0" xfId="0" applyNumberFormat="1" applyFont="1" applyAlignment="1">
      <alignment horizontal="center" vertical="center"/>
    </xf>
    <xf numFmtId="0" fontId="201" fillId="0" borderId="0" xfId="0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164" fontId="201" fillId="0" borderId="0" xfId="0" applyNumberFormat="1" applyFont="1" applyAlignment="1">
      <alignment horizontal="center" vertical="center"/>
    </xf>
    <xf numFmtId="10" fontId="201" fillId="0" borderId="0" xfId="1" applyNumberFormat="1" applyFont="1" applyAlignment="1">
      <alignment horizontal="center" vertical="center"/>
    </xf>
    <xf numFmtId="3" fontId="201" fillId="0" borderId="0" xfId="0" applyNumberFormat="1" applyFont="1" applyAlignment="1">
      <alignment horizontal="center" vertical="center"/>
    </xf>
    <xf numFmtId="0" fontId="201" fillId="0" borderId="0" xfId="0" applyFont="1" applyAlignment="1">
      <alignment horizontal="center" vertical="center" wrapText="1"/>
    </xf>
    <xf numFmtId="16" fontId="198" fillId="0" borderId="0" xfId="0" applyNumberFormat="1" applyFont="1" applyAlignment="1">
      <alignment horizontal="center" vertical="center"/>
    </xf>
    <xf numFmtId="4" fontId="197" fillId="0" borderId="2" xfId="0" applyNumberFormat="1" applyFont="1" applyBorder="1" applyAlignment="1">
      <alignment horizontal="center" vertical="center"/>
    </xf>
    <xf numFmtId="165" fontId="197" fillId="0" borderId="0" xfId="1" applyNumberFormat="1" applyFont="1" applyBorder="1" applyAlignment="1">
      <alignment horizontal="center" vertical="center"/>
    </xf>
    <xf numFmtId="4" fontId="197" fillId="0" borderId="3" xfId="1" applyNumberFormat="1" applyFont="1" applyBorder="1" applyAlignment="1">
      <alignment horizontal="center" vertical="center"/>
    </xf>
    <xf numFmtId="4" fontId="197" fillId="0" borderId="0" xfId="1" applyNumberFormat="1" applyFont="1" applyBorder="1" applyAlignment="1">
      <alignment horizontal="center" vertical="center"/>
    </xf>
    <xf numFmtId="17" fontId="198" fillId="0" borderId="0" xfId="0" applyNumberFormat="1" applyFont="1" applyAlignment="1">
      <alignment horizontal="center" vertical="center"/>
    </xf>
    <xf numFmtId="0" fontId="198" fillId="0" borderId="2" xfId="0" applyFont="1" applyBorder="1" applyAlignment="1">
      <alignment horizontal="center" vertical="center"/>
    </xf>
    <xf numFmtId="0" fontId="198" fillId="0" borderId="0" xfId="0" applyFont="1" applyBorder="1" applyAlignment="1">
      <alignment horizontal="center" vertical="center"/>
    </xf>
    <xf numFmtId="0" fontId="198" fillId="0" borderId="3" xfId="0" applyFont="1" applyBorder="1" applyAlignment="1">
      <alignment horizontal="center" vertical="center"/>
    </xf>
    <xf numFmtId="0" fontId="196" fillId="0" borderId="0" xfId="0" applyFont="1"/>
    <xf numFmtId="4" fontId="196" fillId="0" borderId="0" xfId="0" applyNumberFormat="1" applyFont="1" applyAlignment="1">
      <alignment vertical="center"/>
    </xf>
    <xf numFmtId="10" fontId="196" fillId="0" borderId="0" xfId="0" applyNumberFormat="1" applyFont="1" applyAlignment="1">
      <alignment vertical="center"/>
    </xf>
    <xf numFmtId="9" fontId="198" fillId="3" borderId="0" xfId="0" applyNumberFormat="1" applyFont="1" applyFill="1" applyBorder="1" applyAlignment="1">
      <alignment horizontal="center" vertical="center"/>
    </xf>
    <xf numFmtId="4" fontId="198" fillId="3" borderId="0" xfId="0" applyNumberFormat="1" applyFont="1" applyFill="1" applyBorder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9" fontId="196" fillId="0" borderId="0" xfId="0" applyNumberFormat="1" applyFont="1" applyAlignment="1">
      <alignment horizontal="center" vertical="center"/>
    </xf>
    <xf numFmtId="166" fontId="196" fillId="0" borderId="0" xfId="0" applyNumberFormat="1" applyFont="1" applyAlignment="1">
      <alignment horizontal="center" vertical="center"/>
    </xf>
    <xf numFmtId="4" fontId="196" fillId="3" borderId="0" xfId="0" applyNumberFormat="1" applyFont="1" applyFill="1" applyAlignment="1">
      <alignment horizontal="center" vertical="center"/>
    </xf>
    <xf numFmtId="9" fontId="196" fillId="3" borderId="0" xfId="0" applyNumberFormat="1" applyFont="1" applyFill="1" applyAlignment="1">
      <alignment horizontal="center" vertical="center"/>
    </xf>
    <xf numFmtId="3" fontId="196" fillId="3" borderId="0" xfId="0" applyNumberFormat="1" applyFont="1" applyFill="1" applyAlignment="1">
      <alignment horizontal="center" vertical="center"/>
    </xf>
    <xf numFmtId="0" fontId="196" fillId="3" borderId="0" xfId="0" applyFont="1" applyFill="1" applyAlignment="1">
      <alignment horizontal="center" vertical="center"/>
    </xf>
    <xf numFmtId="0" fontId="196" fillId="0" borderId="4" xfId="0" applyFont="1" applyBorder="1" applyAlignment="1">
      <alignment horizontal="center" vertical="center"/>
    </xf>
    <xf numFmtId="0" fontId="196" fillId="0" borderId="5" xfId="0" applyFont="1" applyBorder="1" applyAlignment="1">
      <alignment horizontal="center" vertical="center"/>
    </xf>
    <xf numFmtId="0" fontId="196" fillId="0" borderId="6" xfId="0" applyFont="1" applyBorder="1" applyAlignment="1">
      <alignment horizontal="center" vertical="center"/>
    </xf>
    <xf numFmtId="0" fontId="196" fillId="0" borderId="0" xfId="0" applyFont="1" applyAlignment="1">
      <alignment horizontal="center" vertical="center" wrapText="1"/>
    </xf>
    <xf numFmtId="0" fontId="201" fillId="0" borderId="0" xfId="0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14" fontId="196" fillId="0" borderId="0" xfId="0" applyNumberFormat="1" applyFont="1" applyAlignment="1">
      <alignment vertical="center"/>
    </xf>
    <xf numFmtId="0" fontId="195" fillId="0" borderId="0" xfId="0" applyFont="1" applyAlignment="1">
      <alignment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10" fontId="195" fillId="0" borderId="0" xfId="0" applyNumberFormat="1" applyFont="1" applyAlignment="1">
      <alignment vertical="center"/>
    </xf>
    <xf numFmtId="0" fontId="194" fillId="0" borderId="0" xfId="0" applyFont="1" applyAlignment="1">
      <alignment vertical="center"/>
    </xf>
    <xf numFmtId="0" fontId="194" fillId="0" borderId="0" xfId="0" applyFont="1" applyAlignment="1">
      <alignment horizontal="center" vertical="center"/>
    </xf>
    <xf numFmtId="16" fontId="194" fillId="0" borderId="0" xfId="0" applyNumberFormat="1" applyFont="1" applyAlignment="1">
      <alignment horizontal="center" vertical="center"/>
    </xf>
    <xf numFmtId="4" fontId="194" fillId="0" borderId="0" xfId="0" applyNumberFormat="1" applyFont="1" applyAlignment="1">
      <alignment horizontal="center" vertical="center"/>
    </xf>
    <xf numFmtId="4" fontId="194" fillId="0" borderId="0" xfId="0" applyNumberFormat="1" applyFont="1" applyAlignment="1">
      <alignment vertical="center"/>
    </xf>
    <xf numFmtId="10" fontId="194" fillId="0" borderId="0" xfId="1" applyNumberFormat="1" applyFont="1" applyAlignment="1">
      <alignment vertical="center"/>
    </xf>
    <xf numFmtId="0" fontId="194" fillId="0" borderId="0" xfId="0" applyFont="1"/>
    <xf numFmtId="16" fontId="194" fillId="0" borderId="0" xfId="0" applyNumberFormat="1" applyFont="1" applyAlignment="1">
      <alignment vertical="center"/>
    </xf>
    <xf numFmtId="10" fontId="194" fillId="0" borderId="0" xfId="1" applyNumberFormat="1" applyFont="1" applyAlignment="1">
      <alignment horizontal="center" vertical="center"/>
    </xf>
    <xf numFmtId="165" fontId="194" fillId="0" borderId="0" xfId="1" applyNumberFormat="1" applyFont="1" applyAlignment="1">
      <alignment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10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0" fontId="198" fillId="0" borderId="2" xfId="0" applyFont="1" applyBorder="1" applyAlignment="1">
      <alignment horizontal="center" vertical="center"/>
    </xf>
    <xf numFmtId="0" fontId="198" fillId="0" borderId="0" xfId="0" applyFont="1" applyBorder="1" applyAlignment="1">
      <alignment horizontal="center" vertical="center"/>
    </xf>
    <xf numFmtId="0" fontId="198" fillId="0" borderId="3" xfId="0" applyFont="1" applyBorder="1" applyAlignment="1">
      <alignment horizontal="center" vertical="center"/>
    </xf>
    <xf numFmtId="3" fontId="201" fillId="0" borderId="0" xfId="0" applyNumberFormat="1" applyFont="1" applyAlignment="1">
      <alignment vertical="center"/>
    </xf>
    <xf numFmtId="3" fontId="201" fillId="0" borderId="0" xfId="0" applyNumberFormat="1" applyFont="1" applyBorder="1" applyAlignment="1">
      <alignment vertical="center"/>
    </xf>
    <xf numFmtId="0" fontId="192" fillId="0" borderId="0" xfId="0" applyFont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14" fontId="192" fillId="0" borderId="0" xfId="0" applyNumberFormat="1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164" fontId="192" fillId="0" borderId="0" xfId="0" applyNumberFormat="1" applyFont="1" applyAlignment="1">
      <alignment horizontal="center" vertical="center"/>
    </xf>
    <xf numFmtId="10" fontId="192" fillId="0" borderId="0" xfId="1" applyNumberFormat="1" applyFont="1" applyAlignment="1">
      <alignment horizontal="center" vertical="center"/>
    </xf>
    <xf numFmtId="3" fontId="192" fillId="0" borderId="0" xfId="0" applyNumberFormat="1" applyFont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0" fontId="190" fillId="0" borderId="0" xfId="0" applyFont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6" fontId="201" fillId="0" borderId="0" xfId="0" applyNumberFormat="1" applyFont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0" fontId="188" fillId="0" borderId="0" xfId="0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4" fontId="196" fillId="0" borderId="0" xfId="0" applyNumberFormat="1" applyFont="1" applyFill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0" fontId="186" fillId="0" borderId="0" xfId="0" applyFont="1" applyAlignment="1">
      <alignment horizontal="center" vertical="center"/>
    </xf>
    <xf numFmtId="14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64" fontId="186" fillId="0" borderId="0" xfId="0" applyNumberFormat="1" applyFont="1" applyAlignment="1">
      <alignment horizontal="center" vertical="center"/>
    </xf>
    <xf numFmtId="10" fontId="186" fillId="0" borderId="0" xfId="1" applyNumberFormat="1" applyFont="1" applyAlignment="1">
      <alignment horizontal="center" vertical="center"/>
    </xf>
    <xf numFmtId="3" fontId="186" fillId="0" borderId="0" xfId="0" applyNumberFormat="1" applyFont="1" applyAlignment="1">
      <alignment horizontal="center" vertical="center"/>
    </xf>
    <xf numFmtId="0" fontId="196" fillId="4" borderId="0" xfId="0" applyFont="1" applyFill="1" applyAlignment="1">
      <alignment horizontal="center" vertical="center"/>
    </xf>
    <xf numFmtId="0" fontId="196" fillId="4" borderId="5" xfId="0" applyFont="1" applyFill="1" applyBorder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0" fontId="184" fillId="0" borderId="0" xfId="0" applyFont="1" applyAlignment="1">
      <alignment horizontal="center" vertical="center"/>
    </xf>
    <xf numFmtId="9" fontId="196" fillId="4" borderId="0" xfId="0" applyNumberFormat="1" applyFont="1" applyFill="1" applyAlignment="1">
      <alignment horizontal="center" vertical="center"/>
    </xf>
    <xf numFmtId="0" fontId="183" fillId="0" borderId="0" xfId="0" applyFont="1" applyAlignment="1">
      <alignment horizontal="center"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6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4" fontId="196" fillId="0" borderId="11" xfId="0" applyNumberFormat="1" applyFont="1" applyBorder="1" applyAlignment="1">
      <alignment horizontal="center" vertical="center"/>
    </xf>
    <xf numFmtId="166" fontId="196" fillId="0" borderId="11" xfId="0" applyNumberFormat="1" applyFont="1" applyBorder="1" applyAlignment="1">
      <alignment horizontal="center" vertical="center"/>
    </xf>
    <xf numFmtId="0" fontId="196" fillId="0" borderId="11" xfId="0" applyFont="1" applyBorder="1" applyAlignment="1">
      <alignment horizontal="center" vertical="center"/>
    </xf>
    <xf numFmtId="165" fontId="196" fillId="0" borderId="11" xfId="1" applyNumberFormat="1" applyFont="1" applyBorder="1" applyAlignment="1">
      <alignment horizontal="center" vertical="center"/>
    </xf>
    <xf numFmtId="0" fontId="181" fillId="0" borderId="13" xfId="0" applyFont="1" applyBorder="1" applyAlignment="1">
      <alignment horizontal="center" vertical="center" wrapText="1"/>
    </xf>
    <xf numFmtId="0" fontId="196" fillId="0" borderId="0" xfId="0" applyFont="1" applyBorder="1" applyAlignment="1">
      <alignment horizontal="center" vertical="center" wrapText="1"/>
    </xf>
    <xf numFmtId="0" fontId="181" fillId="0" borderId="0" xfId="0" applyFont="1" applyBorder="1" applyAlignment="1">
      <alignment horizontal="center" vertical="center" wrapText="1"/>
    </xf>
    <xf numFmtId="0" fontId="196" fillId="0" borderId="14" xfId="0" applyFont="1" applyBorder="1" applyAlignment="1">
      <alignment horizontal="center" vertical="center" wrapText="1"/>
    </xf>
    <xf numFmtId="0" fontId="196" fillId="0" borderId="13" xfId="0" applyFont="1" applyBorder="1" applyAlignment="1">
      <alignment horizontal="center" vertical="center" wrapText="1"/>
    </xf>
    <xf numFmtId="0" fontId="181" fillId="0" borderId="14" xfId="0" applyFont="1" applyBorder="1" applyAlignment="1">
      <alignment horizontal="center" vertical="center" wrapText="1"/>
    </xf>
    <xf numFmtId="0" fontId="198" fillId="5" borderId="8" xfId="0" applyFont="1" applyFill="1" applyBorder="1" applyAlignment="1">
      <alignment horizontal="center" vertical="center" wrapText="1"/>
    </xf>
    <xf numFmtId="0" fontId="198" fillId="6" borderId="15" xfId="0" applyFont="1" applyFill="1" applyBorder="1" applyAlignment="1">
      <alignment horizontal="center" vertical="center" wrapText="1"/>
    </xf>
    <xf numFmtId="0" fontId="198" fillId="6" borderId="9" xfId="0" applyFont="1" applyFill="1" applyBorder="1" applyAlignment="1">
      <alignment horizontal="center" vertical="center" wrapText="1"/>
    </xf>
    <xf numFmtId="0" fontId="198" fillId="6" borderId="8" xfId="0" applyFont="1" applyFill="1" applyBorder="1" applyAlignment="1">
      <alignment horizontal="center" vertical="center" wrapText="1"/>
    </xf>
    <xf numFmtId="4" fontId="196" fillId="0" borderId="12" xfId="0" applyNumberFormat="1" applyFont="1" applyBorder="1" applyAlignment="1">
      <alignment horizontal="center" vertical="center"/>
    </xf>
    <xf numFmtId="0" fontId="198" fillId="0" borderId="7" xfId="0" applyFont="1" applyBorder="1" applyAlignment="1">
      <alignment horizontal="center" vertical="center" wrapText="1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6" fontId="178" fillId="0" borderId="0" xfId="0" applyNumberFormat="1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0" fontId="173" fillId="0" borderId="0" xfId="0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0" fontId="172" fillId="0" borderId="0" xfId="0" applyFont="1" applyBorder="1" applyAlignment="1">
      <alignment horizontal="center" vertical="center" wrapText="1"/>
    </xf>
    <xf numFmtId="0" fontId="172" fillId="0" borderId="14" xfId="0" applyFont="1" applyBorder="1" applyAlignment="1">
      <alignment horizontal="center" vertical="center" wrapText="1"/>
    </xf>
    <xf numFmtId="16" fontId="203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96" fillId="0" borderId="11" xfId="0" applyFont="1" applyFill="1" applyBorder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70" fillId="0" borderId="0" xfId="0" applyFont="1" applyAlignment="1">
      <alignment horizontal="left" vertical="center"/>
    </xf>
    <xf numFmtId="0" fontId="196" fillId="0" borderId="16" xfId="0" applyFont="1" applyBorder="1" applyAlignment="1">
      <alignment horizontal="center" vertical="center"/>
    </xf>
    <xf numFmtId="0" fontId="196" fillId="0" borderId="17" xfId="0" applyFont="1" applyBorder="1" applyAlignment="1">
      <alignment horizontal="center" vertical="center"/>
    </xf>
    <xf numFmtId="0" fontId="196" fillId="0" borderId="18" xfId="0" applyFont="1" applyBorder="1" applyAlignment="1">
      <alignment horizontal="center" vertical="center"/>
    </xf>
    <xf numFmtId="0" fontId="196" fillId="0" borderId="10" xfId="0" applyFont="1" applyBorder="1" applyAlignment="1">
      <alignment horizontal="center" vertical="center"/>
    </xf>
    <xf numFmtId="0" fontId="196" fillId="0" borderId="12" xfId="0" applyFont="1" applyBorder="1" applyAlignment="1">
      <alignment horizontal="center" vertical="center"/>
    </xf>
    <xf numFmtId="0" fontId="196" fillId="0" borderId="19" xfId="0" applyFont="1" applyBorder="1" applyAlignment="1">
      <alignment horizontal="center" vertical="center"/>
    </xf>
    <xf numFmtId="0" fontId="196" fillId="0" borderId="20" xfId="0" applyFont="1" applyBorder="1" applyAlignment="1">
      <alignment horizontal="center" vertical="center"/>
    </xf>
    <xf numFmtId="0" fontId="196" fillId="0" borderId="21" xfId="0" applyFont="1" applyBorder="1" applyAlignment="1">
      <alignment horizontal="center" vertical="center"/>
    </xf>
    <xf numFmtId="166" fontId="196" fillId="0" borderId="11" xfId="0" applyNumberFormat="1" applyFont="1" applyFill="1" applyBorder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4" fontId="196" fillId="0" borderId="11" xfId="0" applyNumberFormat="1" applyFont="1" applyFill="1" applyBorder="1" applyAlignment="1">
      <alignment horizontal="center" vertical="center"/>
    </xf>
    <xf numFmtId="0" fontId="198" fillId="0" borderId="8" xfId="0" applyFont="1" applyBorder="1" applyAlignment="1">
      <alignment horizontal="center" vertical="center" wrapText="1"/>
    </xf>
    <xf numFmtId="0" fontId="198" fillId="0" borderId="11" xfId="0" applyFont="1" applyBorder="1" applyAlignment="1">
      <alignment horizontal="center" vertical="center"/>
    </xf>
    <xf numFmtId="16" fontId="196" fillId="0" borderId="10" xfId="0" applyNumberFormat="1" applyFont="1" applyBorder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4" fontId="167" fillId="0" borderId="11" xfId="0" applyNumberFormat="1" applyFont="1" applyBorder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4" fontId="166" fillId="0" borderId="11" xfId="0" applyNumberFormat="1" applyFont="1" applyBorder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10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3" fontId="204" fillId="0" borderId="0" xfId="0" applyNumberFormat="1" applyFont="1" applyAlignment="1">
      <alignment vertical="center"/>
    </xf>
    <xf numFmtId="3" fontId="204" fillId="0" borderId="0" xfId="0" applyNumberFormat="1" applyFont="1" applyBorder="1" applyAlignment="1">
      <alignment vertical="center"/>
    </xf>
    <xf numFmtId="0" fontId="204" fillId="0" borderId="0" xfId="0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0" fillId="0" borderId="0" xfId="0" applyFont="1" applyAlignment="1">
      <alignment horizontal="center" vertical="center"/>
    </xf>
    <xf numFmtId="9" fontId="150" fillId="0" borderId="0" xfId="1" applyFont="1" applyAlignment="1">
      <alignment horizontal="center" vertical="center"/>
    </xf>
    <xf numFmtId="4" fontId="150" fillId="0" borderId="0" xfId="0" applyNumberFormat="1" applyFont="1" applyAlignment="1">
      <alignment horizontal="center" vertical="center"/>
    </xf>
    <xf numFmtId="0" fontId="150" fillId="7" borderId="0" xfId="0" applyFont="1" applyFill="1" applyAlignment="1">
      <alignment horizontal="center" vertical="center"/>
    </xf>
    <xf numFmtId="0" fontId="198" fillId="0" borderId="0" xfId="0" applyFont="1" applyFill="1" applyAlignment="1">
      <alignment horizontal="center" vertical="center"/>
    </xf>
    <xf numFmtId="0" fontId="150" fillId="0" borderId="0" xfId="0" applyFont="1" applyFill="1" applyAlignment="1">
      <alignment horizontal="center" vertical="center"/>
    </xf>
    <xf numFmtId="9" fontId="150" fillId="0" borderId="0" xfId="0" applyNumberFormat="1" applyFont="1" applyAlignment="1">
      <alignment horizontal="center" vertical="center"/>
    </xf>
    <xf numFmtId="0" fontId="150" fillId="8" borderId="0" xfId="0" applyFont="1" applyFill="1" applyAlignment="1">
      <alignment horizontal="center"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0" fontId="155" fillId="0" borderId="0" xfId="0" applyFont="1" applyFill="1" applyAlignment="1">
      <alignment vertical="center"/>
    </xf>
    <xf numFmtId="0" fontId="0" fillId="0" borderId="0" xfId="0" applyFill="1"/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9" fillId="0" borderId="0" xfId="0" applyNumberFormat="1" applyFont="1" applyBorder="1" applyAlignment="1">
      <alignment vertical="center"/>
    </xf>
    <xf numFmtId="4" fontId="119" fillId="0" borderId="0" xfId="0" applyNumberFormat="1" applyFont="1" applyBorder="1" applyAlignment="1">
      <alignment vertical="center"/>
    </xf>
    <xf numFmtId="10" fontId="165" fillId="0" borderId="0" xfId="0" applyNumberFormat="1" applyFont="1" applyBorder="1" applyAlignment="1">
      <alignment vertical="center"/>
    </xf>
    <xf numFmtId="4" fontId="129" fillId="0" borderId="0" xfId="0" applyNumberFormat="1" applyFont="1" applyBorder="1" applyAlignment="1">
      <alignment vertical="center"/>
    </xf>
    <xf numFmtId="3" fontId="119" fillId="0" borderId="0" xfId="0" applyNumberFormat="1" applyFont="1" applyBorder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4" fontId="117" fillId="0" borderId="0" xfId="0" applyNumberFormat="1" applyFont="1" applyBorder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2" applyFont="1" applyAlignment="1">
      <alignment vertical="center"/>
    </xf>
    <xf numFmtId="0" fontId="198" fillId="0" borderId="0" xfId="2" applyFont="1" applyAlignment="1">
      <alignment horizontal="center" vertical="center"/>
    </xf>
    <xf numFmtId="0" fontId="114" fillId="0" borderId="0" xfId="2" applyFont="1" applyAlignment="1">
      <alignment horizontal="center" vertical="center"/>
    </xf>
    <xf numFmtId="4" fontId="114" fillId="0" borderId="0" xfId="2" applyNumberFormat="1" applyFont="1" applyAlignment="1">
      <alignment horizontal="center" vertical="center"/>
    </xf>
    <xf numFmtId="165" fontId="114" fillId="0" borderId="0" xfId="2" applyNumberFormat="1" applyFont="1" applyAlignment="1">
      <alignment horizontal="center" vertical="center"/>
    </xf>
    <xf numFmtId="165" fontId="114" fillId="0" borderId="0" xfId="3" applyNumberFormat="1" applyFont="1" applyAlignment="1">
      <alignment horizontal="center" vertical="center"/>
    </xf>
    <xf numFmtId="165" fontId="114" fillId="0" borderId="0" xfId="1" applyNumberFormat="1" applyFont="1" applyAlignment="1">
      <alignment horizontal="center" vertical="center"/>
    </xf>
    <xf numFmtId="4" fontId="114" fillId="0" borderId="0" xfId="1" applyNumberFormat="1" applyFont="1" applyAlignment="1">
      <alignment horizontal="center" vertical="center"/>
    </xf>
    <xf numFmtId="0" fontId="113" fillId="0" borderId="0" xfId="0" applyFont="1" applyAlignment="1">
      <alignment vertical="center"/>
    </xf>
    <xf numFmtId="0" fontId="198" fillId="9" borderId="22" xfId="0" applyFont="1" applyFill="1" applyBorder="1" applyAlignment="1">
      <alignment horizontal="right" vertical="center"/>
    </xf>
    <xf numFmtId="4" fontId="113" fillId="0" borderId="0" xfId="0" applyNumberFormat="1" applyFont="1" applyAlignment="1">
      <alignment vertical="center"/>
    </xf>
    <xf numFmtId="165" fontId="113" fillId="0" borderId="0" xfId="0" applyNumberFormat="1" applyFont="1" applyAlignment="1">
      <alignment vertical="center"/>
    </xf>
    <xf numFmtId="4" fontId="198" fillId="9" borderId="23" xfId="0" applyNumberFormat="1" applyFont="1" applyFill="1" applyBorder="1" applyAlignment="1">
      <alignment vertical="center"/>
    </xf>
    <xf numFmtId="165" fontId="198" fillId="9" borderId="23" xfId="0" applyNumberFormat="1" applyFont="1" applyFill="1" applyBorder="1" applyAlignment="1">
      <alignment vertical="center"/>
    </xf>
    <xf numFmtId="14" fontId="112" fillId="0" borderId="0" xfId="0" applyNumberFormat="1" applyFont="1" applyAlignment="1">
      <alignment vertical="center"/>
    </xf>
    <xf numFmtId="0" fontId="112" fillId="0" borderId="0" xfId="0" applyFont="1" applyAlignment="1">
      <alignment horizontal="center" vertical="center"/>
    </xf>
    <xf numFmtId="14" fontId="112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167" fontId="112" fillId="0" borderId="0" xfId="0" applyNumberFormat="1" applyFont="1" applyAlignment="1">
      <alignment horizontal="center" vertical="center"/>
    </xf>
    <xf numFmtId="165" fontId="112" fillId="0" borderId="0" xfId="1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 wrapText="1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1" fillId="0" borderId="0" xfId="0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4" fontId="112" fillId="10" borderId="0" xfId="0" applyNumberFormat="1" applyFont="1" applyFill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10" fillId="0" borderId="0" xfId="0" applyFont="1" applyAlignment="1">
      <alignment horizontal="center"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8" fillId="0" borderId="0" xfId="0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10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/>
    <xf numFmtId="0" fontId="104" fillId="0" borderId="0" xfId="0" applyFont="1" applyAlignment="1">
      <alignment horizontal="center" vertical="center"/>
    </xf>
    <xf numFmtId="16" fontId="104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4" fontId="103" fillId="0" borderId="0" xfId="1" applyNumberFormat="1" applyFont="1" applyAlignment="1">
      <alignment horizontal="center" vertical="center"/>
    </xf>
    <xf numFmtId="10" fontId="103" fillId="0" borderId="0" xfId="1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4" fontId="102" fillId="0" borderId="0" xfId="0" applyNumberFormat="1" applyFont="1" applyAlignment="1">
      <alignment horizontal="center" vertical="center"/>
    </xf>
    <xf numFmtId="16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4" fontId="102" fillId="0" borderId="0" xfId="1" applyNumberFormat="1" applyFont="1" applyAlignment="1">
      <alignment horizontal="center" vertical="center"/>
    </xf>
    <xf numFmtId="10" fontId="102" fillId="0" borderId="0" xfId="1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0" fontId="101" fillId="0" borderId="0" xfId="0" applyFont="1"/>
    <xf numFmtId="165" fontId="104" fillId="0" borderId="0" xfId="1" applyNumberFormat="1" applyFont="1"/>
    <xf numFmtId="4" fontId="104" fillId="0" borderId="0" xfId="0" applyNumberFormat="1" applyFont="1"/>
    <xf numFmtId="16" fontId="205" fillId="0" borderId="0" xfId="0" applyNumberFormat="1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4" fontId="205" fillId="0" borderId="0" xfId="0" applyNumberFormat="1" applyFont="1" applyAlignment="1">
      <alignment horizontal="center" vertical="center"/>
    </xf>
    <xf numFmtId="4" fontId="205" fillId="0" borderId="0" xfId="1" applyNumberFormat="1" applyFont="1" applyAlignment="1">
      <alignment horizontal="center" vertical="center"/>
    </xf>
    <xf numFmtId="10" fontId="205" fillId="0" borderId="0" xfId="1" applyNumberFormat="1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 wrapText="1"/>
    </xf>
    <xf numFmtId="20" fontId="102" fillId="0" borderId="0" xfId="0" applyNumberFormat="1" applyFont="1" applyAlignment="1">
      <alignment horizontal="center" vertical="center"/>
    </xf>
    <xf numFmtId="20" fontId="104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" fontId="205" fillId="0" borderId="0" xfId="0" applyNumberFormat="1" applyFont="1" applyAlignment="1">
      <alignment horizontal="center" vertical="center"/>
    </xf>
    <xf numFmtId="16" fontId="104" fillId="0" borderId="0" xfId="0" applyNumberFormat="1" applyFont="1"/>
    <xf numFmtId="16" fontId="100" fillId="0" borderId="0" xfId="0" applyNumberFormat="1" applyFont="1" applyAlignment="1">
      <alignment horizontal="center" vertical="center"/>
    </xf>
    <xf numFmtId="10" fontId="100" fillId="0" borderId="0" xfId="1" applyNumberFormat="1" applyFont="1" applyAlignment="1">
      <alignment horizontal="center" vertical="center"/>
    </xf>
    <xf numFmtId="4" fontId="100" fillId="0" borderId="0" xfId="1" applyNumberFormat="1" applyFont="1" applyAlignment="1">
      <alignment horizontal="center" vertical="center"/>
    </xf>
    <xf numFmtId="20" fontId="100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4" fontId="98" fillId="0" borderId="0" xfId="0" applyNumberFormat="1" applyFont="1" applyAlignment="1">
      <alignment horizontal="center" vertical="center"/>
    </xf>
    <xf numFmtId="0" fontId="97" fillId="0" borderId="0" xfId="0" applyFont="1"/>
    <xf numFmtId="16" fontId="205" fillId="10" borderId="0" xfId="0" applyNumberFormat="1" applyFont="1" applyFill="1" applyAlignment="1">
      <alignment horizontal="center" vertical="center"/>
    </xf>
    <xf numFmtId="0" fontId="205" fillId="10" borderId="0" xfId="0" applyFont="1" applyFill="1" applyAlignment="1">
      <alignment horizontal="center" vertical="center"/>
    </xf>
    <xf numFmtId="0" fontId="104" fillId="10" borderId="0" xfId="0" applyFont="1" applyFill="1" applyAlignment="1">
      <alignment horizontal="center" vertical="center"/>
    </xf>
    <xf numFmtId="4" fontId="205" fillId="10" borderId="0" xfId="0" applyNumberFormat="1" applyFont="1" applyFill="1" applyAlignment="1">
      <alignment horizontal="center" vertical="center"/>
    </xf>
    <xf numFmtId="10" fontId="205" fillId="10" borderId="0" xfId="1" applyNumberFormat="1" applyFont="1" applyFill="1" applyAlignment="1">
      <alignment horizontal="center" vertical="center"/>
    </xf>
    <xf numFmtId="4" fontId="205" fillId="10" borderId="0" xfId="1" applyNumberFormat="1" applyFont="1" applyFill="1" applyAlignment="1">
      <alignment horizontal="center" vertical="center"/>
    </xf>
    <xf numFmtId="0" fontId="96" fillId="0" borderId="0" xfId="0" applyFont="1"/>
    <xf numFmtId="4" fontId="96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5" fillId="0" borderId="0" xfId="0" applyFont="1" applyAlignment="1">
      <alignment horizontal="center" vertical="center"/>
    </xf>
    <xf numFmtId="164" fontId="112" fillId="0" borderId="0" xfId="0" applyNumberFormat="1" applyFont="1" applyAlignment="1">
      <alignment horizontal="center" vertical="center"/>
    </xf>
    <xf numFmtId="0" fontId="95" fillId="0" borderId="0" xfId="2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0" fontId="112" fillId="0" borderId="0" xfId="0" applyNumberFormat="1" applyFont="1" applyAlignment="1">
      <alignment horizontal="center" vertical="center"/>
    </xf>
    <xf numFmtId="10" fontId="112" fillId="0" borderId="0" xfId="1" applyNumberFormat="1" applyFont="1" applyAlignment="1">
      <alignment horizontal="center" vertical="center"/>
    </xf>
    <xf numFmtId="4" fontId="112" fillId="3" borderId="0" xfId="0" applyNumberFormat="1" applyFont="1" applyFill="1" applyAlignment="1">
      <alignment horizontal="center" vertical="center"/>
    </xf>
    <xf numFmtId="10" fontId="112" fillId="3" borderId="0" xfId="0" applyNumberFormat="1" applyFont="1" applyFill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4" fontId="91" fillId="3" borderId="0" xfId="0" applyNumberFormat="1" applyFont="1" applyFill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6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9" fillId="0" borderId="0" xfId="0" applyNumberFormat="1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64" fontId="89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65" fontId="89" fillId="0" borderId="0" xfId="1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1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207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164" fontId="207" fillId="0" borderId="0" xfId="0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165" fontId="207" fillId="0" borderId="0" xfId="1" applyNumberFormat="1" applyFont="1" applyAlignment="1">
      <alignment horizontal="center"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80" fillId="0" borderId="0" xfId="0" applyFont="1" applyAlignment="1">
      <alignment horizontal="center"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10" fontId="207" fillId="0" borderId="0" xfId="0" applyNumberFormat="1" applyFont="1" applyBorder="1" applyAlignment="1">
      <alignment vertical="center"/>
    </xf>
    <xf numFmtId="3" fontId="207" fillId="0" borderId="0" xfId="0" applyNumberFormat="1" applyFont="1" applyAlignment="1">
      <alignment vertical="center"/>
    </xf>
    <xf numFmtId="0" fontId="79" fillId="0" borderId="0" xfId="0" applyFont="1" applyAlignment="1">
      <alignment horizontal="center" vertical="center"/>
    </xf>
    <xf numFmtId="0" fontId="207" fillId="0" borderId="0" xfId="0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8" fillId="0" borderId="0" xfId="0" applyFont="1" applyAlignment="1">
      <alignment horizontal="left" vertical="center"/>
    </xf>
    <xf numFmtId="0" fontId="85" fillId="0" borderId="0" xfId="0" applyFont="1" applyAlignment="1">
      <alignment horizontal="left" vertical="center"/>
    </xf>
    <xf numFmtId="0" fontId="78" fillId="0" borderId="0" xfId="4" applyFont="1" applyAlignment="1">
      <alignment vertical="center"/>
    </xf>
    <xf numFmtId="4" fontId="78" fillId="3" borderId="0" xfId="4" applyNumberFormat="1" applyFont="1" applyFill="1" applyAlignment="1">
      <alignment vertical="center"/>
    </xf>
    <xf numFmtId="165" fontId="78" fillId="3" borderId="0" xfId="4" applyNumberFormat="1" applyFont="1" applyFill="1" applyAlignment="1">
      <alignment vertical="center"/>
    </xf>
    <xf numFmtId="4" fontId="78" fillId="0" borderId="0" xfId="4" applyNumberFormat="1" applyFont="1" applyAlignment="1">
      <alignment vertical="center"/>
    </xf>
    <xf numFmtId="9" fontId="78" fillId="0" borderId="0" xfId="4" applyNumberFormat="1" applyFont="1" applyAlignment="1">
      <alignment vertical="center"/>
    </xf>
    <xf numFmtId="165" fontId="78" fillId="0" borderId="0" xfId="4" applyNumberFormat="1" applyFont="1" applyAlignment="1">
      <alignment vertical="center"/>
    </xf>
    <xf numFmtId="168" fontId="78" fillId="0" borderId="0" xfId="4" applyNumberFormat="1" applyFont="1" applyAlignment="1">
      <alignment vertical="center"/>
    </xf>
    <xf numFmtId="10" fontId="78" fillId="0" borderId="0" xfId="5" applyNumberFormat="1" applyFont="1" applyAlignment="1">
      <alignment vertical="center"/>
    </xf>
    <xf numFmtId="0" fontId="78" fillId="3" borderId="0" xfId="4" applyFont="1" applyFill="1" applyAlignment="1">
      <alignment vertical="center"/>
    </xf>
    <xf numFmtId="4" fontId="78" fillId="0" borderId="0" xfId="4" applyNumberFormat="1" applyFont="1" applyFill="1" applyAlignment="1">
      <alignment vertical="center"/>
    </xf>
    <xf numFmtId="165" fontId="78" fillId="0" borderId="0" xfId="5" applyNumberFormat="1" applyFont="1" applyFill="1" applyAlignment="1">
      <alignment vertical="center"/>
    </xf>
    <xf numFmtId="0" fontId="198" fillId="11" borderId="24" xfId="4" applyFont="1" applyFill="1" applyBorder="1" applyAlignment="1">
      <alignment vertical="center"/>
    </xf>
    <xf numFmtId="10" fontId="198" fillId="11" borderId="25" xfId="5" applyNumberFormat="1" applyFont="1" applyFill="1" applyBorder="1" applyAlignment="1">
      <alignment vertical="center"/>
    </xf>
    <xf numFmtId="0" fontId="198" fillId="11" borderId="26" xfId="4" applyFont="1" applyFill="1" applyBorder="1" applyAlignment="1">
      <alignment vertical="center"/>
    </xf>
    <xf numFmtId="4" fontId="198" fillId="11" borderId="27" xfId="4" applyNumberFormat="1" applyFont="1" applyFill="1" applyBorder="1" applyAlignment="1">
      <alignment vertical="center"/>
    </xf>
    <xf numFmtId="0" fontId="198" fillId="12" borderId="4" xfId="4" applyFont="1" applyFill="1" applyBorder="1" applyAlignment="1">
      <alignment vertical="center"/>
    </xf>
    <xf numFmtId="10" fontId="198" fillId="12" borderId="6" xfId="5" applyNumberFormat="1" applyFont="1" applyFill="1" applyBorder="1" applyAlignment="1">
      <alignment vertical="center"/>
    </xf>
    <xf numFmtId="0" fontId="198" fillId="13" borderId="24" xfId="4" applyFont="1" applyFill="1" applyBorder="1" applyAlignment="1">
      <alignment vertical="center"/>
    </xf>
    <xf numFmtId="10" fontId="198" fillId="13" borderId="25" xfId="5" applyNumberFormat="1" applyFont="1" applyFill="1" applyBorder="1" applyAlignment="1">
      <alignment vertical="center"/>
    </xf>
    <xf numFmtId="0" fontId="198" fillId="13" borderId="26" xfId="4" applyFont="1" applyFill="1" applyBorder="1" applyAlignment="1">
      <alignment vertical="center"/>
    </xf>
    <xf numFmtId="10" fontId="198" fillId="13" borderId="27" xfId="5" applyNumberFormat="1" applyFont="1" applyFill="1" applyBorder="1" applyAlignment="1">
      <alignment vertical="center"/>
    </xf>
    <xf numFmtId="166" fontId="78" fillId="3" borderId="0" xfId="4" applyNumberFormat="1" applyFont="1" applyFill="1" applyAlignment="1">
      <alignment vertical="center"/>
    </xf>
    <xf numFmtId="0" fontId="77" fillId="0" borderId="0" xfId="4" applyFont="1" applyAlignment="1">
      <alignment vertical="center"/>
    </xf>
    <xf numFmtId="0" fontId="78" fillId="3" borderId="25" xfId="4" applyFont="1" applyFill="1" applyBorder="1" applyAlignment="1">
      <alignment vertical="center"/>
    </xf>
    <xf numFmtId="0" fontId="198" fillId="0" borderId="24" xfId="4" applyFont="1" applyBorder="1" applyAlignment="1">
      <alignment vertical="center"/>
    </xf>
    <xf numFmtId="0" fontId="198" fillId="0" borderId="26" xfId="4" applyFont="1" applyBorder="1" applyAlignment="1">
      <alignment vertical="center"/>
    </xf>
    <xf numFmtId="165" fontId="78" fillId="0" borderId="27" xfId="1" applyNumberFormat="1" applyFont="1" applyBorder="1" applyAlignment="1">
      <alignment vertical="center"/>
    </xf>
    <xf numFmtId="4" fontId="78" fillId="3" borderId="25" xfId="4" applyNumberFormat="1" applyFont="1" applyFill="1" applyBorder="1" applyAlignment="1">
      <alignment vertical="center"/>
    </xf>
    <xf numFmtId="4" fontId="78" fillId="0" borderId="27" xfId="4" applyNumberFormat="1" applyFont="1" applyBorder="1" applyAlignment="1">
      <alignment vertical="center"/>
    </xf>
    <xf numFmtId="165" fontId="78" fillId="0" borderId="0" xfId="1" applyNumberFormat="1" applyFont="1" applyAlignment="1">
      <alignment vertical="center"/>
    </xf>
    <xf numFmtId="4" fontId="78" fillId="0" borderId="0" xfId="4" applyNumberFormat="1" applyFont="1" applyBorder="1" applyAlignment="1">
      <alignment vertical="center"/>
    </xf>
    <xf numFmtId="0" fontId="76" fillId="0" borderId="0" xfId="4" applyFont="1" applyAlignment="1">
      <alignment vertical="center"/>
    </xf>
    <xf numFmtId="4" fontId="78" fillId="0" borderId="0" xfId="1" applyNumberFormat="1" applyFont="1" applyAlignment="1">
      <alignment vertical="center"/>
    </xf>
    <xf numFmtId="4" fontId="76" fillId="0" borderId="0" xfId="4" applyNumberFormat="1" applyFont="1" applyAlignment="1">
      <alignment vertical="center"/>
    </xf>
    <xf numFmtId="165" fontId="78" fillId="3" borderId="0" xfId="1" applyNumberFormat="1" applyFont="1" applyFill="1" applyAlignment="1">
      <alignment vertical="center"/>
    </xf>
    <xf numFmtId="0" fontId="198" fillId="0" borderId="0" xfId="4" applyFont="1" applyBorder="1" applyAlignment="1">
      <alignment vertical="center"/>
    </xf>
    <xf numFmtId="165" fontId="75" fillId="3" borderId="0" xfId="4" applyNumberFormat="1" applyFont="1" applyFill="1" applyAlignment="1">
      <alignment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/>
    <xf numFmtId="0" fontId="74" fillId="0" borderId="0" xfId="0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0" fontId="74" fillId="0" borderId="0" xfId="0" applyFont="1" applyAlignment="1">
      <alignment horizontal="center" vertical="center"/>
    </xf>
    <xf numFmtId="0" fontId="197" fillId="0" borderId="0" xfId="0" applyFont="1" applyFill="1" applyBorder="1" applyAlignment="1">
      <alignment vertical="center"/>
    </xf>
    <xf numFmtId="0" fontId="196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9" fillId="0" borderId="0" xfId="0" applyFont="1" applyFill="1" applyBorder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7" fillId="0" borderId="0" xfId="0" applyNumberFormat="1" applyFont="1" applyFill="1" applyBorder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9" fillId="0" borderId="0" xfId="0" applyNumberFormat="1" applyFont="1" applyFill="1" applyBorder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197" fillId="0" borderId="0" xfId="0" applyFont="1" applyAlignment="1">
      <alignment horizontal="center" vertical="center" wrapText="1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2" fillId="0" borderId="0" xfId="0" applyFont="1" applyAlignment="1">
      <alignment horizontal="center" vertical="center"/>
    </xf>
    <xf numFmtId="16" fontId="198" fillId="0" borderId="0" xfId="0" applyNumberFormat="1" applyFont="1" applyFill="1" applyAlignment="1">
      <alignment horizontal="center" vertical="center"/>
    </xf>
    <xf numFmtId="4" fontId="197" fillId="0" borderId="0" xfId="0" applyNumberFormat="1" applyFont="1" applyFill="1" applyAlignment="1">
      <alignment horizontal="center" vertical="center"/>
    </xf>
    <xf numFmtId="0" fontId="197" fillId="0" borderId="0" xfId="0" applyFont="1" applyFill="1" applyAlignment="1">
      <alignment horizontal="center" vertical="center"/>
    </xf>
    <xf numFmtId="0" fontId="72" fillId="0" borderId="0" xfId="4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197" fillId="3" borderId="0" xfId="0" applyFont="1" applyFill="1"/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198" fillId="0" borderId="0" xfId="0" applyFont="1"/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6" fillId="0" borderId="0" xfId="0" applyFont="1" applyAlignment="1">
      <alignment horizontal="center" vertical="center"/>
    </xf>
    <xf numFmtId="0" fontId="66" fillId="0" borderId="0" xfId="0" applyFont="1" applyAlignment="1">
      <alignment horizontal="left" vertical="center"/>
    </xf>
    <xf numFmtId="4" fontId="66" fillId="0" borderId="0" xfId="0" applyNumberFormat="1" applyFont="1" applyAlignment="1">
      <alignment horizontal="center" vertical="center"/>
    </xf>
    <xf numFmtId="3" fontId="85" fillId="0" borderId="0" xfId="0" applyNumberFormat="1" applyFont="1" applyAlignment="1">
      <alignment horizontal="center"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horizontal="center" vertical="center"/>
    </xf>
    <xf numFmtId="4" fontId="198" fillId="0" borderId="0" xfId="0" applyNumberFormat="1" applyFont="1" applyFill="1" applyAlignment="1">
      <alignment horizontal="center"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209" fillId="15" borderId="1" xfId="0" applyFont="1" applyFill="1" applyBorder="1" applyAlignment="1">
      <alignment horizontal="center" vertical="center" wrapText="1"/>
    </xf>
    <xf numFmtId="0" fontId="209" fillId="15" borderId="1" xfId="0" applyFont="1" applyFill="1" applyBorder="1" applyAlignment="1">
      <alignment vertical="center" wrapText="1"/>
    </xf>
    <xf numFmtId="22" fontId="209" fillId="15" borderId="1" xfId="0" applyNumberFormat="1" applyFont="1" applyFill="1" applyBorder="1" applyAlignment="1">
      <alignment horizontal="center" vertical="center" wrapText="1"/>
    </xf>
    <xf numFmtId="8" fontId="210" fillId="15" borderId="1" xfId="0" applyNumberFormat="1" applyFont="1" applyFill="1" applyBorder="1" applyAlignment="1">
      <alignment horizontal="right" vertical="center" wrapText="1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14" fontId="59" fillId="0" borderId="0" xfId="0" applyNumberFormat="1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4" fontId="58" fillId="0" borderId="0" xfId="0" applyNumberFormat="1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57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7" fillId="0" borderId="0" xfId="0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center"/>
    </xf>
    <xf numFmtId="165" fontId="57" fillId="0" borderId="0" xfId="1" applyNumberFormat="1" applyFont="1" applyAlignment="1">
      <alignment horizontal="center"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14" fontId="55" fillId="0" borderId="0" xfId="0" applyNumberFormat="1" applyFont="1" applyFill="1" applyBorder="1" applyAlignment="1">
      <alignment horizontal="center" vertical="center"/>
    </xf>
    <xf numFmtId="0" fontId="55" fillId="0" borderId="0" xfId="0" applyFont="1" applyFill="1" applyBorder="1" applyAlignment="1">
      <alignment horizontal="center" vertical="center"/>
    </xf>
    <xf numFmtId="164" fontId="55" fillId="0" borderId="0" xfId="0" applyNumberFormat="1" applyFont="1" applyFill="1" applyBorder="1" applyAlignment="1">
      <alignment horizontal="center" vertical="center"/>
    </xf>
    <xf numFmtId="4" fontId="55" fillId="0" borderId="0" xfId="0" applyNumberFormat="1" applyFont="1" applyFill="1" applyBorder="1" applyAlignment="1">
      <alignment horizontal="center" vertical="center"/>
    </xf>
    <xf numFmtId="165" fontId="55" fillId="0" borderId="0" xfId="1" applyNumberFormat="1" applyFont="1" applyFill="1" applyBorder="1" applyAlignment="1">
      <alignment horizontal="center" vertical="center"/>
    </xf>
    <xf numFmtId="14" fontId="54" fillId="0" borderId="0" xfId="0" applyNumberFormat="1" applyFont="1" applyBorder="1" applyAlignment="1">
      <alignment horizontal="center" vertical="center"/>
    </xf>
    <xf numFmtId="164" fontId="54" fillId="0" borderId="0" xfId="0" applyNumberFormat="1" applyFont="1" applyBorder="1" applyAlignment="1">
      <alignment horizontal="center" vertical="center"/>
    </xf>
    <xf numFmtId="4" fontId="54" fillId="0" borderId="0" xfId="0" applyNumberFormat="1" applyFont="1" applyBorder="1" applyAlignment="1">
      <alignment horizontal="center" vertical="center"/>
    </xf>
    <xf numFmtId="165" fontId="54" fillId="0" borderId="0" xfId="1" applyNumberFormat="1" applyFont="1" applyBorder="1" applyAlignment="1">
      <alignment horizontal="center" vertical="center"/>
    </xf>
    <xf numFmtId="0" fontId="54" fillId="0" borderId="0" xfId="0" applyFont="1" applyFill="1" applyBorder="1" applyAlignment="1">
      <alignment horizontal="center"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/>
    <xf numFmtId="0" fontId="50" fillId="0" borderId="0" xfId="0" applyFont="1" applyAlignment="1">
      <alignment horizontal="center" vertical="center"/>
    </xf>
    <xf numFmtId="165" fontId="50" fillId="0" borderId="0" xfId="1" applyNumberFormat="1" applyFont="1" applyAlignment="1">
      <alignment horizontal="center" vertical="center"/>
    </xf>
    <xf numFmtId="4" fontId="50" fillId="0" borderId="0" xfId="0" applyNumberFormat="1" applyFont="1" applyAlignment="1">
      <alignment horizontal="center" vertical="center"/>
    </xf>
    <xf numFmtId="3" fontId="50" fillId="0" borderId="0" xfId="0" applyNumberFormat="1" applyFont="1" applyAlignment="1">
      <alignment horizontal="center" vertical="center"/>
    </xf>
    <xf numFmtId="165" fontId="50" fillId="0" borderId="0" xfId="0" applyNumberFormat="1" applyFont="1" applyAlignment="1">
      <alignment horizontal="center" vertical="center"/>
    </xf>
    <xf numFmtId="4" fontId="50" fillId="0" borderId="0" xfId="1" applyNumberFormat="1" applyFont="1" applyAlignment="1">
      <alignment horizontal="center" vertical="center"/>
    </xf>
    <xf numFmtId="4" fontId="50" fillId="0" borderId="0" xfId="0" applyNumberFormat="1" applyFont="1" applyAlignment="1">
      <alignment horizontal="center" vertical="top"/>
    </xf>
    <xf numFmtId="0" fontId="49" fillId="0" borderId="0" xfId="0" applyFont="1" applyAlignment="1">
      <alignment horizontal="center" vertical="center"/>
    </xf>
    <xf numFmtId="165" fontId="50" fillId="3" borderId="0" xfId="1" applyNumberFormat="1" applyFont="1" applyFill="1" applyAlignment="1">
      <alignment horizontal="center" vertical="center"/>
    </xf>
    <xf numFmtId="3" fontId="50" fillId="0" borderId="0" xfId="1" applyNumberFormat="1" applyFont="1" applyAlignment="1">
      <alignment horizontal="center"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/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4" fontId="46" fillId="0" borderId="0" xfId="0" applyNumberFormat="1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3" fontId="45" fillId="0" borderId="0" xfId="0" applyNumberFormat="1" applyFont="1" applyBorder="1" applyAlignment="1">
      <alignment vertical="center"/>
    </xf>
    <xf numFmtId="4" fontId="45" fillId="0" borderId="0" xfId="0" applyNumberFormat="1" applyFont="1" applyAlignment="1">
      <alignment vertical="center"/>
    </xf>
    <xf numFmtId="4" fontId="45" fillId="0" borderId="0" xfId="0" applyNumberFormat="1" applyFont="1" applyAlignment="1">
      <alignment horizontal="center" vertical="center"/>
    </xf>
    <xf numFmtId="0" fontId="198" fillId="3" borderId="0" xfId="0" applyFont="1" applyFill="1" applyAlignment="1">
      <alignment horizontal="center" vertical="center" wrapText="1"/>
    </xf>
    <xf numFmtId="0" fontId="198" fillId="0" borderId="0" xfId="0" applyFont="1" applyAlignment="1">
      <alignment horizontal="center" vertical="top" wrapText="1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4" fontId="44" fillId="0" borderId="0" xfId="0" applyNumberFormat="1" applyFont="1" applyAlignment="1">
      <alignment horizontal="center" vertical="center"/>
    </xf>
    <xf numFmtId="4" fontId="43" fillId="0" borderId="0" xfId="0" applyNumberFormat="1" applyFont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4" fontId="40" fillId="0" borderId="0" xfId="0" applyNumberFormat="1" applyFont="1" applyAlignment="1">
      <alignment vertical="center"/>
    </xf>
    <xf numFmtId="1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4" fontId="40" fillId="0" borderId="0" xfId="0" applyNumberFormat="1" applyFont="1" applyFill="1" applyAlignment="1">
      <alignment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4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4" fontId="14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4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9" fillId="0" borderId="0" xfId="0" quotePrefix="1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49" fontId="8" fillId="0" borderId="0" xfId="0" quotePrefix="1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8" fontId="211" fillId="15" borderId="1" xfId="0" applyNumberFormat="1" applyFont="1" applyFill="1" applyBorder="1" applyAlignment="1">
      <alignment horizontal="right" vertical="center" wrapText="1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12" fillId="0" borderId="0" xfId="0" pivotButton="1" applyFont="1"/>
    <xf numFmtId="0" fontId="212" fillId="0" borderId="0" xfId="0" applyFont="1"/>
    <xf numFmtId="4" fontId="212" fillId="0" borderId="0" xfId="0" applyNumberFormat="1" applyFont="1"/>
    <xf numFmtId="0" fontId="212" fillId="0" borderId="0" xfId="0" pivotButton="1" applyFont="1" applyAlignment="1">
      <alignment vertical="center"/>
    </xf>
    <xf numFmtId="0" fontId="212" fillId="0" borderId="0" xfId="0" applyFont="1" applyAlignment="1">
      <alignment vertical="center"/>
    </xf>
    <xf numFmtId="0" fontId="212" fillId="0" borderId="0" xfId="0" applyFont="1" applyAlignment="1">
      <alignment horizontal="left" vertical="center"/>
    </xf>
    <xf numFmtId="4" fontId="212" fillId="0" borderId="0" xfId="0" applyNumberFormat="1" applyFont="1" applyAlignment="1">
      <alignment vertical="center"/>
    </xf>
    <xf numFmtId="3" fontId="212" fillId="0" borderId="0" xfId="0" applyNumberFormat="1" applyFont="1" applyAlignment="1">
      <alignment vertical="center"/>
    </xf>
    <xf numFmtId="16" fontId="212" fillId="0" borderId="0" xfId="0" applyNumberFormat="1" applyFont="1"/>
    <xf numFmtId="4" fontId="212" fillId="0" borderId="0" xfId="0" applyNumberFormat="1" applyFont="1" applyAlignment="1">
      <alignment horizontal="left"/>
    </xf>
    <xf numFmtId="3" fontId="212" fillId="0" borderId="0" xfId="0" applyNumberFormat="1" applyFont="1"/>
    <xf numFmtId="4" fontId="212" fillId="0" borderId="0" xfId="0" applyNumberFormat="1" applyFont="1" applyAlignment="1">
      <alignment horizontal="left" vertical="center" indent="1"/>
    </xf>
    <xf numFmtId="0" fontId="198" fillId="0" borderId="4" xfId="4" applyFont="1" applyBorder="1" applyAlignment="1">
      <alignment horizontal="center" vertical="center"/>
    </xf>
    <xf numFmtId="0" fontId="198" fillId="0" borderId="6" xfId="4" applyFont="1" applyBorder="1" applyAlignment="1">
      <alignment horizontal="center" vertical="center"/>
    </xf>
    <xf numFmtId="0" fontId="208" fillId="14" borderId="4" xfId="4" applyFont="1" applyFill="1" applyBorder="1" applyAlignment="1">
      <alignment horizontal="center" vertical="center"/>
    </xf>
    <xf numFmtId="0" fontId="208" fillId="14" borderId="6" xfId="4" applyFont="1" applyFill="1" applyBorder="1" applyAlignment="1">
      <alignment horizontal="center" vertical="center"/>
    </xf>
    <xf numFmtId="0" fontId="198" fillId="0" borderId="2" xfId="0" applyFont="1" applyBorder="1" applyAlignment="1">
      <alignment horizontal="center" vertical="center"/>
    </xf>
    <xf numFmtId="0" fontId="198" fillId="0" borderId="0" xfId="0" applyFont="1" applyBorder="1" applyAlignment="1">
      <alignment horizontal="center" vertical="center"/>
    </xf>
    <xf numFmtId="0" fontId="198" fillId="0" borderId="3" xfId="0" applyFont="1" applyBorder="1" applyAlignment="1">
      <alignment horizontal="center" vertical="center"/>
    </xf>
    <xf numFmtId="0" fontId="176" fillId="0" borderId="13" xfId="0" applyFont="1" applyBorder="1" applyAlignment="1">
      <alignment horizontal="center" vertical="center"/>
    </xf>
    <xf numFmtId="0" fontId="196" fillId="0" borderId="0" xfId="0" applyFont="1" applyBorder="1" applyAlignment="1">
      <alignment horizontal="center" vertical="center"/>
    </xf>
    <xf numFmtId="0" fontId="196" fillId="0" borderId="14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2264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7.81477604166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7.81477638889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7.81477673610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8.358663888888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8.35866504629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8.35866608796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8.35866701389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8.358667939814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8.35866909722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8.35867002314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8.363425578704" createdVersion="6" refreshedVersion="6" minRefreshableVersion="3" recordCount="3884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3T22:29:05" count="3529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Lay 2x2" u="1"/>
        <s v="Over 3,5" u="1"/>
        <s v="Valida Zebra" u="1"/>
        <s v="Valida" u="1"/>
        <s v="LG Favorito" u="1"/>
        <s v="LG Casa Botbet" u="1"/>
        <s v="LG Casa Punter" u="1"/>
        <s v="Ambos Zebra" u="1"/>
        <s v="Lay Fora" u="1"/>
        <s v="Pessoal" u="1"/>
        <s v="Scalping Under 2,5" u="1"/>
        <s v="Ambos" u="1"/>
      </sharedItems>
    </cacheField>
    <cacheField name="Odd" numFmtId="0">
      <sharedItems containsString="0" containsBlank="1" containsNumber="1" minValue="1.03" maxValue="704" count="40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4T00:00:00" count="249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6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  <s v="Suécia 1"/>
        <s v="Peru 1"/>
        <s v="China 1"/>
      </sharedItems>
    </cacheField>
    <cacheField name="Casa" numFmtId="3">
      <sharedItems count="1040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</sharedItems>
    </cacheField>
    <cacheField name="Visitante" numFmtId="3">
      <sharedItems count="123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3T22:29:0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8.35865636573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8.35865868055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6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884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6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53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53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4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3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53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55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3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3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53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38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7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38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3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5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53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55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1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1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2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1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3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2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1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0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6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1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1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0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6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1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1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1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2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1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1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2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1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1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1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1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3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1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0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2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1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0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0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1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2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6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2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1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6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0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6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6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1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1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2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1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6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2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3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2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1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0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6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1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0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0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1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2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1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0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0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1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2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0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2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0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1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2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2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2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2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0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1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6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92"/>
        <item x="36"/>
        <item m="1" x="100"/>
        <item x="54"/>
        <item x="55"/>
        <item x="76"/>
        <item x="44"/>
        <item x="25"/>
        <item m="1" x="97"/>
        <item x="30"/>
        <item m="1" x="98"/>
        <item m="1" x="96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3"/>
        <item x="81"/>
        <item x="43"/>
        <item x="90"/>
        <item x="89"/>
        <item x="38"/>
        <item m="1" x="101"/>
        <item x="87"/>
        <item x="79"/>
        <item x="41"/>
        <item m="1" x="102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94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2263">
      <pivotArea outline="0" collapsedLevelsAreSubtotals="1" fieldPosition="0"/>
    </format>
    <format dxfId="226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226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2260">
      <pivotArea type="all" dataOnly="0" outline="0" fieldPosition="0"/>
    </format>
    <format dxfId="2259">
      <pivotArea outline="0" collapsedLevelsAreSubtotals="1" fieldPosition="0"/>
    </format>
    <format dxfId="2258">
      <pivotArea field="7" type="button" dataOnly="0" labelOnly="1" outline="0" axis="axisRow" fieldPosition="0"/>
    </format>
    <format dxfId="2257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2256">
      <pivotArea dataOnly="0" labelOnly="1" grandRow="1" outline="0" fieldPosition="0"/>
    </format>
    <format dxfId="2255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225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25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252">
      <pivotArea type="all" dataOnly="0" outline="0" fieldPosition="0"/>
    </format>
    <format dxfId="2251">
      <pivotArea outline="0" collapsedLevelsAreSubtotals="1" fieldPosition="0"/>
    </format>
    <format dxfId="2250">
      <pivotArea field="7" type="button" dataOnly="0" labelOnly="1" outline="0" axis="axisRow" fieldPosition="0"/>
    </format>
    <format dxfId="224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2248">
      <pivotArea dataOnly="0" labelOnly="1" grandRow="1" outline="0" fieldPosition="0"/>
    </format>
    <format dxfId="2247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2246">
      <pivotArea type="all" dataOnly="0" outline="0" fieldPosition="0"/>
    </format>
    <format dxfId="2245">
      <pivotArea outline="0" collapsedLevelsAreSubtotals="1" fieldPosition="0"/>
    </format>
    <format dxfId="2244">
      <pivotArea field="7" type="button" dataOnly="0" labelOnly="1" outline="0" axis="axisRow" fieldPosition="0"/>
    </format>
    <format dxfId="2243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2242">
      <pivotArea dataOnly="0" labelOnly="1" grandRow="1" outline="0" fieldPosition="0"/>
    </format>
    <format dxfId="2241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2240">
      <pivotArea dataOnly="0" labelOnly="1" fieldPosition="0">
        <references count="1">
          <reference field="7" count="1">
            <x v="41"/>
          </reference>
        </references>
      </pivotArea>
    </format>
    <format dxfId="2239">
      <pivotArea dataOnly="0" labelOnly="1" fieldPosition="0">
        <references count="1">
          <reference field="7" count="1">
            <x v="81"/>
          </reference>
        </references>
      </pivotArea>
    </format>
    <format dxfId="2238">
      <pivotArea dataOnly="0" labelOnly="1" fieldPosition="0">
        <references count="1">
          <reference field="7" count="1">
            <x v="41"/>
          </reference>
        </references>
      </pivotArea>
    </format>
    <format dxfId="2237">
      <pivotArea dataOnly="0" labelOnly="1" fieldPosition="0">
        <references count="1">
          <reference field="7" count="1">
            <x v="81"/>
          </reference>
        </references>
      </pivotArea>
    </format>
    <format dxfId="2236">
      <pivotArea dataOnly="0" labelOnly="1" fieldPosition="0">
        <references count="1">
          <reference field="7" count="1">
            <x v="15"/>
          </reference>
        </references>
      </pivotArea>
    </format>
    <format dxfId="2235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2234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2233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2232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2231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2230">
      <pivotArea dataOnly="0" labelOnly="1" fieldPosition="0">
        <references count="1">
          <reference field="7" count="1">
            <x v="37"/>
          </reference>
        </references>
      </pivotArea>
    </format>
    <format dxfId="2229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2228">
      <pivotArea dataOnly="0" labelOnly="1" fieldPosition="0">
        <references count="1">
          <reference field="7" count="1">
            <x v="50"/>
          </reference>
        </references>
      </pivotArea>
    </format>
    <format dxfId="2227">
      <pivotArea dataOnly="0" labelOnly="1" fieldPosition="0">
        <references count="1">
          <reference field="7" count="1">
            <x v="88"/>
          </reference>
        </references>
      </pivotArea>
    </format>
    <format dxfId="2226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2225">
      <pivotArea dataOnly="0" labelOnly="1" fieldPosition="0">
        <references count="1">
          <reference field="7" count="1">
            <x v="28"/>
          </reference>
        </references>
      </pivotArea>
    </format>
    <format dxfId="2224">
      <pivotArea dataOnly="0" labelOnly="1" fieldPosition="0">
        <references count="1">
          <reference field="7" count="1">
            <x v="44"/>
          </reference>
        </references>
      </pivotArea>
    </format>
    <format dxfId="2223">
      <pivotArea dataOnly="0" labelOnly="1" fieldPosition="0">
        <references count="1">
          <reference field="7" count="1">
            <x v="50"/>
          </reference>
        </references>
      </pivotArea>
    </format>
    <format dxfId="2222">
      <pivotArea dataOnly="0" labelOnly="1" fieldPosition="0">
        <references count="1">
          <reference field="7" count="1">
            <x v="61"/>
          </reference>
        </references>
      </pivotArea>
    </format>
    <format dxfId="2221">
      <pivotArea dataOnly="0" labelOnly="1" fieldPosition="0">
        <references count="1">
          <reference field="7" count="1">
            <x v="85"/>
          </reference>
        </references>
      </pivotArea>
    </format>
    <format dxfId="2220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2219">
      <pivotArea dataOnly="0" labelOnly="1" fieldPosition="0">
        <references count="1">
          <reference field="7" count="1">
            <x v="89"/>
          </reference>
        </references>
      </pivotArea>
    </format>
    <format dxfId="2218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2217">
      <pivotArea dataOnly="0" labelOnly="1" fieldPosition="0">
        <references count="1">
          <reference field="7" count="1">
            <x v="42"/>
          </reference>
        </references>
      </pivotArea>
    </format>
    <format dxfId="2216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22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21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6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axis="axisRow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2098">
      <pivotArea type="all" dataOnly="0" outline="0" fieldPosition="0"/>
    </format>
    <format dxfId="2097">
      <pivotArea field="7" type="button" dataOnly="0" labelOnly="1" outline="0"/>
    </format>
    <format dxfId="2096">
      <pivotArea dataOnly="0" labelOnly="1" grandRow="1" outline="0" fieldPosition="0"/>
    </format>
    <format dxfId="2095">
      <pivotArea type="all" dataOnly="0" outline="0" fieldPosition="0"/>
    </format>
    <format dxfId="2094">
      <pivotArea field="7" type="button" dataOnly="0" labelOnly="1" outline="0"/>
    </format>
    <format dxfId="2093">
      <pivotArea dataOnly="0" labelOnly="1" grandRow="1" outline="0" fieldPosition="0"/>
    </format>
    <format dxfId="2092">
      <pivotArea type="all" dataOnly="0" outline="0" fieldPosition="0"/>
    </format>
    <format dxfId="2091">
      <pivotArea outline="0" collapsedLevelsAreSubtotals="1" fieldPosition="0"/>
    </format>
    <format dxfId="2090">
      <pivotArea field="7" type="button" dataOnly="0" labelOnly="1" outline="0"/>
    </format>
    <format dxfId="2089">
      <pivotArea dataOnly="0" labelOnly="1" outline="0" axis="axisValues" fieldPosition="0"/>
    </format>
    <format dxfId="2088">
      <pivotArea dataOnly="0" labelOnly="1" grandRow="1" outline="0" fieldPosition="0"/>
    </format>
    <format dxfId="2087">
      <pivotArea dataOnly="0" labelOnly="1" outline="0" axis="axisValues" fieldPosition="0"/>
    </format>
    <format dxfId="2086">
      <pivotArea type="all" dataOnly="0" outline="0" fieldPosition="0"/>
    </format>
    <format dxfId="2085">
      <pivotArea outline="0" collapsedLevelsAreSubtotals="1" fieldPosition="0"/>
    </format>
    <format dxfId="2084">
      <pivotArea field="7" type="button" dataOnly="0" labelOnly="1" outline="0"/>
    </format>
    <format dxfId="2083">
      <pivotArea dataOnly="0" labelOnly="1" outline="0" axis="axisValues" fieldPosition="0"/>
    </format>
    <format dxfId="2082">
      <pivotArea dataOnly="0" labelOnly="1" grandRow="1" outline="0" fieldPosition="0"/>
    </format>
    <format dxfId="2081">
      <pivotArea dataOnly="0" labelOnly="1" outline="0" axis="axisValues" fieldPosition="0"/>
    </format>
    <format dxfId="2080">
      <pivotArea type="all" dataOnly="0" outline="0" fieldPosition="0"/>
    </format>
    <format dxfId="2079">
      <pivotArea outline="0" collapsedLevelsAreSubtotals="1" fieldPosition="0"/>
    </format>
    <format dxfId="2078">
      <pivotArea field="7" type="button" dataOnly="0" labelOnly="1" outline="0"/>
    </format>
    <format dxfId="2077">
      <pivotArea dataOnly="0" labelOnly="1" outline="0" axis="axisValues" fieldPosition="0"/>
    </format>
    <format dxfId="2076">
      <pivotArea dataOnly="0" labelOnly="1" grandRow="1" outline="0" fieldPosition="0"/>
    </format>
    <format dxfId="2075">
      <pivotArea dataOnly="0" labelOnly="1" outline="0" axis="axisValues" fieldPosition="0"/>
    </format>
    <format dxfId="2074">
      <pivotArea type="all" dataOnly="0" outline="0" fieldPosition="0"/>
    </format>
    <format dxfId="2073">
      <pivotArea outline="0" collapsedLevelsAreSubtotals="1" fieldPosition="0"/>
    </format>
    <format dxfId="2072">
      <pivotArea field="7" type="button" dataOnly="0" labelOnly="1" outline="0"/>
    </format>
    <format dxfId="2071">
      <pivotArea dataOnly="0" labelOnly="1" outline="0" axis="axisValues" fieldPosition="0"/>
    </format>
    <format dxfId="2070">
      <pivotArea dataOnly="0" labelOnly="1" grandRow="1" outline="0" fieldPosition="0"/>
    </format>
    <format dxfId="2069">
      <pivotArea dataOnly="0" labelOnly="1" outline="0" axis="axisValues" fieldPosition="0"/>
    </format>
    <format dxfId="2068">
      <pivotArea type="all" dataOnly="0" outline="0" fieldPosition="0"/>
    </format>
    <format dxfId="2067">
      <pivotArea outline="0" collapsedLevelsAreSubtotals="1" fieldPosition="0"/>
    </format>
    <format dxfId="2066">
      <pivotArea field="7" type="button" dataOnly="0" labelOnly="1" outline="0"/>
    </format>
    <format dxfId="2065">
      <pivotArea dataOnly="0" labelOnly="1" outline="0" axis="axisValues" fieldPosition="0"/>
    </format>
    <format dxfId="2064">
      <pivotArea dataOnly="0" labelOnly="1" grandRow="1" outline="0" fieldPosition="0"/>
    </format>
    <format dxfId="2063">
      <pivotArea dataOnly="0" labelOnly="1" outline="0" axis="axisValues" fieldPosition="0"/>
    </format>
    <format dxfId="2062">
      <pivotArea outline="0" collapsedLevelsAreSubtotals="1" fieldPosition="0"/>
    </format>
    <format dxfId="206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06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6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dataFiel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2135">
      <pivotArea type="all" dataOnly="0" outline="0" fieldPosition="0"/>
    </format>
    <format dxfId="2134">
      <pivotArea field="7" type="button" dataOnly="0" labelOnly="1" outline="0"/>
    </format>
    <format dxfId="2133">
      <pivotArea dataOnly="0" labelOnly="1" grandRow="1" outline="0" fieldPosition="0"/>
    </format>
    <format dxfId="2132">
      <pivotArea type="all" dataOnly="0" outline="0" fieldPosition="0"/>
    </format>
    <format dxfId="2131">
      <pivotArea field="7" type="button" dataOnly="0" labelOnly="1" outline="0"/>
    </format>
    <format dxfId="2130">
      <pivotArea dataOnly="0" labelOnly="1" grandRow="1" outline="0" fieldPosition="0"/>
    </format>
    <format dxfId="2129">
      <pivotArea type="all" dataOnly="0" outline="0" fieldPosition="0"/>
    </format>
    <format dxfId="2128">
      <pivotArea outline="0" collapsedLevelsAreSubtotals="1" fieldPosition="0"/>
    </format>
    <format dxfId="2127">
      <pivotArea field="7" type="button" dataOnly="0" labelOnly="1" outline="0"/>
    </format>
    <format dxfId="2126">
      <pivotArea dataOnly="0" labelOnly="1" outline="0" axis="axisValues" fieldPosition="0"/>
    </format>
    <format dxfId="2125">
      <pivotArea dataOnly="0" labelOnly="1" grandRow="1" outline="0" fieldPosition="0"/>
    </format>
    <format dxfId="2124">
      <pivotArea dataOnly="0" labelOnly="1" outline="0" axis="axisValues" fieldPosition="0"/>
    </format>
    <format dxfId="2123">
      <pivotArea type="all" dataOnly="0" outline="0" fieldPosition="0"/>
    </format>
    <format dxfId="2122">
      <pivotArea outline="0" collapsedLevelsAreSubtotals="1" fieldPosition="0"/>
    </format>
    <format dxfId="2121">
      <pivotArea field="7" type="button" dataOnly="0" labelOnly="1" outline="0"/>
    </format>
    <format dxfId="2120">
      <pivotArea dataOnly="0" labelOnly="1" outline="0" axis="axisValues" fieldPosition="0"/>
    </format>
    <format dxfId="2119">
      <pivotArea dataOnly="0" labelOnly="1" grandRow="1" outline="0" fieldPosition="0"/>
    </format>
    <format dxfId="2118">
      <pivotArea dataOnly="0" labelOnly="1" outline="0" axis="axisValues" fieldPosition="0"/>
    </format>
    <format dxfId="2117">
      <pivotArea type="all" dataOnly="0" outline="0" fieldPosition="0"/>
    </format>
    <format dxfId="2116">
      <pivotArea outline="0" collapsedLevelsAreSubtotals="1" fieldPosition="0"/>
    </format>
    <format dxfId="2115">
      <pivotArea field="7" type="button" dataOnly="0" labelOnly="1" outline="0"/>
    </format>
    <format dxfId="2114">
      <pivotArea dataOnly="0" labelOnly="1" outline="0" axis="axisValues" fieldPosition="0"/>
    </format>
    <format dxfId="2113">
      <pivotArea dataOnly="0" labelOnly="1" grandRow="1" outline="0" fieldPosition="0"/>
    </format>
    <format dxfId="2112">
      <pivotArea dataOnly="0" labelOnly="1" outline="0" axis="axisValues" fieldPosition="0"/>
    </format>
    <format dxfId="2111">
      <pivotArea type="all" dataOnly="0" outline="0" fieldPosition="0"/>
    </format>
    <format dxfId="2110">
      <pivotArea outline="0" collapsedLevelsAreSubtotals="1" fieldPosition="0"/>
    </format>
    <format dxfId="2109">
      <pivotArea field="7" type="button" dataOnly="0" labelOnly="1" outline="0"/>
    </format>
    <format dxfId="2108">
      <pivotArea dataOnly="0" labelOnly="1" outline="0" axis="axisValues" fieldPosition="0"/>
    </format>
    <format dxfId="2107">
      <pivotArea dataOnly="0" labelOnly="1" grandRow="1" outline="0" fieldPosition="0"/>
    </format>
    <format dxfId="2106">
      <pivotArea dataOnly="0" labelOnly="1" outline="0" axis="axisValues" fieldPosition="0"/>
    </format>
    <format dxfId="2105">
      <pivotArea type="all" dataOnly="0" outline="0" fieldPosition="0"/>
    </format>
    <format dxfId="2104">
      <pivotArea outline="0" collapsedLevelsAreSubtotals="1" fieldPosition="0"/>
    </format>
    <format dxfId="2103">
      <pivotArea field="7" type="button" dataOnly="0" labelOnly="1" outline="0"/>
    </format>
    <format dxfId="2102">
      <pivotArea dataOnly="0" labelOnly="1" outline="0" axis="axisValues" fieldPosition="0"/>
    </format>
    <format dxfId="2101">
      <pivotArea dataOnly="0" labelOnly="1" grandRow="1" outline="0" fieldPosition="0"/>
    </format>
    <format dxfId="2100">
      <pivotArea dataOnly="0" labelOnly="1" outline="0" axis="axisValues" fieldPosition="0"/>
    </format>
    <format dxfId="209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6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1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854"/>
    </i>
    <i r="1">
      <x v="796"/>
    </i>
    <i r="1">
      <x v="886"/>
    </i>
    <i r="1">
      <x v="324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377"/>
    </i>
    <i r="1">
      <x v="326"/>
    </i>
    <i r="1">
      <x v="641"/>
    </i>
    <i r="1">
      <x v="592"/>
    </i>
    <i r="1">
      <x v="704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2174">
      <pivotArea type="all" dataOnly="0" outline="0" fieldPosition="0"/>
    </format>
    <format dxfId="2173">
      <pivotArea field="7" type="button" dataOnly="0" labelOnly="1" outline="0" axis="axisRow" fieldPosition="0"/>
    </format>
    <format dxfId="2172">
      <pivotArea dataOnly="0" labelOnly="1" grandRow="1" outline="0" fieldPosition="0"/>
    </format>
    <format dxfId="2171">
      <pivotArea type="all" dataOnly="0" outline="0" fieldPosition="0"/>
    </format>
    <format dxfId="2170">
      <pivotArea field="7" type="button" dataOnly="0" labelOnly="1" outline="0" axis="axisRow" fieldPosition="0"/>
    </format>
    <format dxfId="2169">
      <pivotArea dataOnly="0" labelOnly="1" grandRow="1" outline="0" fieldPosition="0"/>
    </format>
    <format dxfId="2168">
      <pivotArea type="all" dataOnly="0" outline="0" fieldPosition="0"/>
    </format>
    <format dxfId="2167">
      <pivotArea outline="0" collapsedLevelsAreSubtotals="1" fieldPosition="0"/>
    </format>
    <format dxfId="2166">
      <pivotArea field="7" type="button" dataOnly="0" labelOnly="1" outline="0" axis="axisRow" fieldPosition="0"/>
    </format>
    <format dxfId="2165">
      <pivotArea dataOnly="0" labelOnly="1" outline="0" axis="axisValues" fieldPosition="0"/>
    </format>
    <format dxfId="2164">
      <pivotArea dataOnly="0" labelOnly="1" grandRow="1" outline="0" fieldPosition="0"/>
    </format>
    <format dxfId="2163">
      <pivotArea dataOnly="0" labelOnly="1" outline="0" axis="axisValues" fieldPosition="0"/>
    </format>
    <format dxfId="2162">
      <pivotArea type="all" dataOnly="0" outline="0" fieldPosition="0"/>
    </format>
    <format dxfId="2161">
      <pivotArea outline="0" collapsedLevelsAreSubtotals="1" fieldPosition="0"/>
    </format>
    <format dxfId="2160">
      <pivotArea field="7" type="button" dataOnly="0" labelOnly="1" outline="0" axis="axisRow" fieldPosition="0"/>
    </format>
    <format dxfId="2159">
      <pivotArea dataOnly="0" labelOnly="1" outline="0" axis="axisValues" fieldPosition="0"/>
    </format>
    <format dxfId="2158">
      <pivotArea dataOnly="0" labelOnly="1" grandRow="1" outline="0" fieldPosition="0"/>
    </format>
    <format dxfId="2157">
      <pivotArea dataOnly="0" labelOnly="1" outline="0" axis="axisValues" fieldPosition="0"/>
    </format>
    <format dxfId="2156">
      <pivotArea type="all" dataOnly="0" outline="0" fieldPosition="0"/>
    </format>
    <format dxfId="2155">
      <pivotArea outline="0" collapsedLevelsAreSubtotals="1" fieldPosition="0"/>
    </format>
    <format dxfId="2154">
      <pivotArea field="7" type="button" dataOnly="0" labelOnly="1" outline="0" axis="axisRow" fieldPosition="0"/>
    </format>
    <format dxfId="2153">
      <pivotArea dataOnly="0" labelOnly="1" outline="0" axis="axisValues" fieldPosition="0"/>
    </format>
    <format dxfId="2152">
      <pivotArea dataOnly="0" labelOnly="1" grandRow="1" outline="0" fieldPosition="0"/>
    </format>
    <format dxfId="2151">
      <pivotArea dataOnly="0" labelOnly="1" outline="0" axis="axisValues" fieldPosition="0"/>
    </format>
    <format dxfId="2150">
      <pivotArea type="all" dataOnly="0" outline="0" fieldPosition="0"/>
    </format>
    <format dxfId="2149">
      <pivotArea outline="0" collapsedLevelsAreSubtotals="1" fieldPosition="0"/>
    </format>
    <format dxfId="2148">
      <pivotArea field="7" type="button" dataOnly="0" labelOnly="1" outline="0" axis="axisRow" fieldPosition="0"/>
    </format>
    <format dxfId="2147">
      <pivotArea dataOnly="0" labelOnly="1" outline="0" axis="axisValues" fieldPosition="0"/>
    </format>
    <format dxfId="2146">
      <pivotArea dataOnly="0" labelOnly="1" grandRow="1" outline="0" fieldPosition="0"/>
    </format>
    <format dxfId="2145">
      <pivotArea dataOnly="0" labelOnly="1" outline="0" axis="axisValues" fieldPosition="0"/>
    </format>
    <format dxfId="2144">
      <pivotArea type="all" dataOnly="0" outline="0" fieldPosition="0"/>
    </format>
    <format dxfId="2143">
      <pivotArea outline="0" collapsedLevelsAreSubtotals="1" fieldPosition="0"/>
    </format>
    <format dxfId="2142">
      <pivotArea field="7" type="button" dataOnly="0" labelOnly="1" outline="0" axis="axisRow" fieldPosition="0"/>
    </format>
    <format dxfId="2141">
      <pivotArea dataOnly="0" labelOnly="1" outline="0" axis="axisValues" fieldPosition="0"/>
    </format>
    <format dxfId="2140">
      <pivotArea dataOnly="0" labelOnly="1" grandRow="1" outline="0" fieldPosition="0"/>
    </format>
    <format dxfId="2139">
      <pivotArea dataOnly="0" labelOnly="1" outline="0" axis="axisValues" fieldPosition="0"/>
    </format>
    <format dxfId="2138">
      <pivotArea outline="0" collapsedLevelsAreSubtotals="1" fieldPosition="0"/>
    </format>
    <format dxfId="213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13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6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8"/>
        <item h="1" x="3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x="68"/>
        <item h="1" x="84"/>
        <item h="1" m="1" x="93"/>
        <item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6">
    <i>
      <x v="10"/>
    </i>
    <i r="1">
      <x v="3"/>
    </i>
    <i r="1">
      <x v="14"/>
    </i>
    <i r="1">
      <x v="19"/>
    </i>
    <i r="1">
      <x/>
    </i>
    <i r="1">
      <x v="24"/>
    </i>
    <i r="1">
      <x v="33"/>
    </i>
    <i r="1">
      <x v="7"/>
    </i>
    <i r="1">
      <x v="17"/>
    </i>
    <i r="1">
      <x v="6"/>
    </i>
    <i r="1">
      <x v="4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34"/>
    </i>
    <i r="1">
      <x v="46"/>
    </i>
    <i r="1">
      <x/>
    </i>
    <i r="1">
      <x v="53"/>
    </i>
    <i r="1">
      <x v="6"/>
    </i>
    <i r="1">
      <x v="18"/>
    </i>
    <i r="1">
      <x v="7"/>
    </i>
    <i r="1">
      <x v="50"/>
    </i>
    <i r="1">
      <x v="12"/>
    </i>
    <i r="1">
      <x v="52"/>
    </i>
    <i r="1">
      <x v="38"/>
    </i>
    <i r="1">
      <x v="36"/>
    </i>
    <i r="1">
      <x v="35"/>
    </i>
    <i r="1">
      <x v="41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13"/>
    </i>
    <i r="1">
      <x v="42"/>
    </i>
    <i r="1">
      <x v="9"/>
    </i>
    <i r="1">
      <x v="20"/>
    </i>
    <i r="1">
      <x v="2"/>
    </i>
    <i r="1">
      <x v="45"/>
    </i>
    <i r="1">
      <x v="4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2213">
      <pivotArea type="all" dataOnly="0" outline="0" fieldPosition="0"/>
    </format>
    <format dxfId="2212">
      <pivotArea field="7" type="button" dataOnly="0" labelOnly="1" outline="0" axis="axisRow" fieldPosition="0"/>
    </format>
    <format dxfId="2211">
      <pivotArea dataOnly="0" labelOnly="1" grandRow="1" outline="0" fieldPosition="0"/>
    </format>
    <format dxfId="2210">
      <pivotArea type="all" dataOnly="0" outline="0" fieldPosition="0"/>
    </format>
    <format dxfId="2209">
      <pivotArea field="7" type="button" dataOnly="0" labelOnly="1" outline="0" axis="axisRow" fieldPosition="0"/>
    </format>
    <format dxfId="2208">
      <pivotArea dataOnly="0" labelOnly="1" grandRow="1" outline="0" fieldPosition="0"/>
    </format>
    <format dxfId="2207">
      <pivotArea type="all" dataOnly="0" outline="0" fieldPosition="0"/>
    </format>
    <format dxfId="2206">
      <pivotArea outline="0" collapsedLevelsAreSubtotals="1" fieldPosition="0"/>
    </format>
    <format dxfId="2205">
      <pivotArea field="7" type="button" dataOnly="0" labelOnly="1" outline="0" axis="axisRow" fieldPosition="0"/>
    </format>
    <format dxfId="2204">
      <pivotArea dataOnly="0" labelOnly="1" outline="0" axis="axisValues" fieldPosition="0"/>
    </format>
    <format dxfId="2203">
      <pivotArea dataOnly="0" labelOnly="1" grandRow="1" outline="0" fieldPosition="0"/>
    </format>
    <format dxfId="2202">
      <pivotArea dataOnly="0" labelOnly="1" outline="0" axis="axisValues" fieldPosition="0"/>
    </format>
    <format dxfId="2201">
      <pivotArea type="all" dataOnly="0" outline="0" fieldPosition="0"/>
    </format>
    <format dxfId="2200">
      <pivotArea outline="0" collapsedLevelsAreSubtotals="1" fieldPosition="0"/>
    </format>
    <format dxfId="2199">
      <pivotArea field="7" type="button" dataOnly="0" labelOnly="1" outline="0" axis="axisRow" fieldPosition="0"/>
    </format>
    <format dxfId="2198">
      <pivotArea dataOnly="0" labelOnly="1" outline="0" axis="axisValues" fieldPosition="0"/>
    </format>
    <format dxfId="2197">
      <pivotArea dataOnly="0" labelOnly="1" grandRow="1" outline="0" fieldPosition="0"/>
    </format>
    <format dxfId="2196">
      <pivotArea dataOnly="0" labelOnly="1" outline="0" axis="axisValues" fieldPosition="0"/>
    </format>
    <format dxfId="2195">
      <pivotArea type="all" dataOnly="0" outline="0" fieldPosition="0"/>
    </format>
    <format dxfId="2194">
      <pivotArea outline="0" collapsedLevelsAreSubtotals="1" fieldPosition="0"/>
    </format>
    <format dxfId="2193">
      <pivotArea field="7" type="button" dataOnly="0" labelOnly="1" outline="0" axis="axisRow" fieldPosition="0"/>
    </format>
    <format dxfId="2192">
      <pivotArea dataOnly="0" labelOnly="1" outline="0" axis="axisValues" fieldPosition="0"/>
    </format>
    <format dxfId="2191">
      <pivotArea dataOnly="0" labelOnly="1" grandRow="1" outline="0" fieldPosition="0"/>
    </format>
    <format dxfId="2190">
      <pivotArea dataOnly="0" labelOnly="1" outline="0" axis="axisValues" fieldPosition="0"/>
    </format>
    <format dxfId="2189">
      <pivotArea type="all" dataOnly="0" outline="0" fieldPosition="0"/>
    </format>
    <format dxfId="2188">
      <pivotArea outline="0" collapsedLevelsAreSubtotals="1" fieldPosition="0"/>
    </format>
    <format dxfId="2187">
      <pivotArea field="7" type="button" dataOnly="0" labelOnly="1" outline="0" axis="axisRow" fieldPosition="0"/>
    </format>
    <format dxfId="2186">
      <pivotArea dataOnly="0" labelOnly="1" outline="0" axis="axisValues" fieldPosition="0"/>
    </format>
    <format dxfId="2185">
      <pivotArea dataOnly="0" labelOnly="1" grandRow="1" outline="0" fieldPosition="0"/>
    </format>
    <format dxfId="2184">
      <pivotArea dataOnly="0" labelOnly="1" outline="0" axis="axisValues" fieldPosition="0"/>
    </format>
    <format dxfId="2183">
      <pivotArea type="all" dataOnly="0" outline="0" fieldPosition="0"/>
    </format>
    <format dxfId="2182">
      <pivotArea outline="0" collapsedLevelsAreSubtotals="1" fieldPosition="0"/>
    </format>
    <format dxfId="2181">
      <pivotArea field="7" type="button" dataOnly="0" labelOnly="1" outline="0" axis="axisRow" fieldPosition="0"/>
    </format>
    <format dxfId="2180">
      <pivotArea dataOnly="0" labelOnly="1" outline="0" axis="axisValues" fieldPosition="0"/>
    </format>
    <format dxfId="2179">
      <pivotArea dataOnly="0" labelOnly="1" grandRow="1" outline="0" fieldPosition="0"/>
    </format>
    <format dxfId="2178">
      <pivotArea dataOnly="0" labelOnly="1" outline="0" axis="axisValues" fieldPosition="0"/>
    </format>
    <format dxfId="2177">
      <pivotArea outline="0" collapsedLevelsAreSubtotals="1" fieldPosition="0"/>
    </format>
    <format dxfId="217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17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6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axis="axisRow" showAll="0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944">
      <pivotArea type="all" dataOnly="0" outline="0" fieldPosition="0"/>
    </format>
    <format dxfId="1943">
      <pivotArea field="7" type="button" dataOnly="0" labelOnly="1" outline="0" axis="axisPage" fieldPosition="0"/>
    </format>
    <format dxfId="1942">
      <pivotArea dataOnly="0" labelOnly="1" grandRow="1" outline="0" fieldPosition="0"/>
    </format>
    <format dxfId="1941">
      <pivotArea type="all" dataOnly="0" outline="0" fieldPosition="0"/>
    </format>
    <format dxfId="1940">
      <pivotArea field="7" type="button" dataOnly="0" labelOnly="1" outline="0" axis="axisPage" fieldPosition="0"/>
    </format>
    <format dxfId="1939">
      <pivotArea dataOnly="0" labelOnly="1" grandRow="1" outline="0" fieldPosition="0"/>
    </format>
    <format dxfId="1938">
      <pivotArea type="all" dataOnly="0" outline="0" fieldPosition="0"/>
    </format>
    <format dxfId="1937">
      <pivotArea outline="0" collapsedLevelsAreSubtotals="1" fieldPosition="0"/>
    </format>
    <format dxfId="1936">
      <pivotArea field="7" type="button" dataOnly="0" labelOnly="1" outline="0" axis="axisPage" fieldPosition="0"/>
    </format>
    <format dxfId="1935">
      <pivotArea dataOnly="0" labelOnly="1" outline="0" axis="axisValues" fieldPosition="0"/>
    </format>
    <format dxfId="1934">
      <pivotArea dataOnly="0" labelOnly="1" grandRow="1" outline="0" fieldPosition="0"/>
    </format>
    <format dxfId="1933">
      <pivotArea dataOnly="0" labelOnly="1" outline="0" axis="axisValues" fieldPosition="0"/>
    </format>
    <format dxfId="1932">
      <pivotArea type="all" dataOnly="0" outline="0" fieldPosition="0"/>
    </format>
    <format dxfId="1931">
      <pivotArea outline="0" collapsedLevelsAreSubtotals="1" fieldPosition="0"/>
    </format>
    <format dxfId="1930">
      <pivotArea field="7" type="button" dataOnly="0" labelOnly="1" outline="0" axis="axisPage" fieldPosition="0"/>
    </format>
    <format dxfId="1929">
      <pivotArea dataOnly="0" labelOnly="1" outline="0" axis="axisValues" fieldPosition="0"/>
    </format>
    <format dxfId="1928">
      <pivotArea dataOnly="0" labelOnly="1" grandRow="1" outline="0" fieldPosition="0"/>
    </format>
    <format dxfId="1927">
      <pivotArea dataOnly="0" labelOnly="1" outline="0" axis="axisValues" fieldPosition="0"/>
    </format>
    <format dxfId="1926">
      <pivotArea type="all" dataOnly="0" outline="0" fieldPosition="0"/>
    </format>
    <format dxfId="1925">
      <pivotArea outline="0" collapsedLevelsAreSubtotals="1" fieldPosition="0"/>
    </format>
    <format dxfId="1924">
      <pivotArea field="7" type="button" dataOnly="0" labelOnly="1" outline="0" axis="axisPage" fieldPosition="0"/>
    </format>
    <format dxfId="1923">
      <pivotArea dataOnly="0" labelOnly="1" outline="0" axis="axisValues" fieldPosition="0"/>
    </format>
    <format dxfId="1922">
      <pivotArea dataOnly="0" labelOnly="1" grandRow="1" outline="0" fieldPosition="0"/>
    </format>
    <format dxfId="1921">
      <pivotArea dataOnly="0" labelOnly="1" outline="0" axis="axisValues" fieldPosition="0"/>
    </format>
    <format dxfId="1920">
      <pivotArea type="all" dataOnly="0" outline="0" fieldPosition="0"/>
    </format>
    <format dxfId="1919">
      <pivotArea outline="0" collapsedLevelsAreSubtotals="1" fieldPosition="0"/>
    </format>
    <format dxfId="1918">
      <pivotArea field="7" type="button" dataOnly="0" labelOnly="1" outline="0" axis="axisPage" fieldPosition="0"/>
    </format>
    <format dxfId="1917">
      <pivotArea dataOnly="0" labelOnly="1" outline="0" axis="axisValues" fieldPosition="0"/>
    </format>
    <format dxfId="1916">
      <pivotArea dataOnly="0" labelOnly="1" grandRow="1" outline="0" fieldPosition="0"/>
    </format>
    <format dxfId="1915">
      <pivotArea dataOnly="0" labelOnly="1" outline="0" axis="axisValues" fieldPosition="0"/>
    </format>
    <format dxfId="1914">
      <pivotArea type="all" dataOnly="0" outline="0" fieldPosition="0"/>
    </format>
    <format dxfId="1913">
      <pivotArea outline="0" collapsedLevelsAreSubtotals="1" fieldPosition="0"/>
    </format>
    <format dxfId="1912">
      <pivotArea field="7" type="button" dataOnly="0" labelOnly="1" outline="0" axis="axisPage" fieldPosition="0"/>
    </format>
    <format dxfId="1911">
      <pivotArea dataOnly="0" labelOnly="1" outline="0" axis="axisValues" fieldPosition="0"/>
    </format>
    <format dxfId="1910">
      <pivotArea dataOnly="0" labelOnly="1" grandRow="1" outline="0" fieldPosition="0"/>
    </format>
    <format dxfId="1909">
      <pivotArea dataOnly="0" labelOnly="1" outline="0" axis="axisValues" fieldPosition="0"/>
    </format>
    <format dxfId="1908">
      <pivotArea outline="0" collapsedLevelsAreSubtotals="1" fieldPosition="0"/>
    </format>
    <format dxfId="190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0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6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axis="axisRow" showAll="0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991">
      <pivotArea type="all" dataOnly="0" outline="0" fieldPosition="0"/>
    </format>
    <format dxfId="1990">
      <pivotArea field="7" type="button" dataOnly="0" labelOnly="1" outline="0"/>
    </format>
    <format dxfId="1989">
      <pivotArea dataOnly="0" labelOnly="1" grandRow="1" outline="0" fieldPosition="0"/>
    </format>
    <format dxfId="1988">
      <pivotArea type="all" dataOnly="0" outline="0" fieldPosition="0"/>
    </format>
    <format dxfId="1987">
      <pivotArea field="7" type="button" dataOnly="0" labelOnly="1" outline="0"/>
    </format>
    <format dxfId="1986">
      <pivotArea dataOnly="0" labelOnly="1" grandRow="1" outline="0" fieldPosition="0"/>
    </format>
    <format dxfId="1985">
      <pivotArea type="all" dataOnly="0" outline="0" fieldPosition="0"/>
    </format>
    <format dxfId="1984">
      <pivotArea outline="0" collapsedLevelsAreSubtotals="1" fieldPosition="0"/>
    </format>
    <format dxfId="1983">
      <pivotArea field="7" type="button" dataOnly="0" labelOnly="1" outline="0"/>
    </format>
    <format dxfId="1982">
      <pivotArea dataOnly="0" labelOnly="1" outline="0" axis="axisValues" fieldPosition="0"/>
    </format>
    <format dxfId="1981">
      <pivotArea dataOnly="0" labelOnly="1" grandRow="1" outline="0" fieldPosition="0"/>
    </format>
    <format dxfId="1980">
      <pivotArea dataOnly="0" labelOnly="1" outline="0" axis="axisValues" fieldPosition="0"/>
    </format>
    <format dxfId="1979">
      <pivotArea type="all" dataOnly="0" outline="0" fieldPosition="0"/>
    </format>
    <format dxfId="1978">
      <pivotArea outline="0" collapsedLevelsAreSubtotals="1" fieldPosition="0"/>
    </format>
    <format dxfId="1977">
      <pivotArea field="7" type="button" dataOnly="0" labelOnly="1" outline="0"/>
    </format>
    <format dxfId="1976">
      <pivotArea dataOnly="0" labelOnly="1" outline="0" axis="axisValues" fieldPosition="0"/>
    </format>
    <format dxfId="1975">
      <pivotArea dataOnly="0" labelOnly="1" grandRow="1" outline="0" fieldPosition="0"/>
    </format>
    <format dxfId="1974">
      <pivotArea dataOnly="0" labelOnly="1" outline="0" axis="axisValues" fieldPosition="0"/>
    </format>
    <format dxfId="1973">
      <pivotArea type="all" dataOnly="0" outline="0" fieldPosition="0"/>
    </format>
    <format dxfId="1972">
      <pivotArea outline="0" collapsedLevelsAreSubtotals="1" fieldPosition="0"/>
    </format>
    <format dxfId="1971">
      <pivotArea field="7" type="button" dataOnly="0" labelOnly="1" outline="0"/>
    </format>
    <format dxfId="1970">
      <pivotArea dataOnly="0" labelOnly="1" outline="0" axis="axisValues" fieldPosition="0"/>
    </format>
    <format dxfId="1969">
      <pivotArea dataOnly="0" labelOnly="1" grandRow="1" outline="0" fieldPosition="0"/>
    </format>
    <format dxfId="1968">
      <pivotArea dataOnly="0" labelOnly="1" outline="0" axis="axisValues" fieldPosition="0"/>
    </format>
    <format dxfId="1967">
      <pivotArea type="all" dataOnly="0" outline="0" fieldPosition="0"/>
    </format>
    <format dxfId="1966">
      <pivotArea outline="0" collapsedLevelsAreSubtotals="1" fieldPosition="0"/>
    </format>
    <format dxfId="1965">
      <pivotArea field="7" type="button" dataOnly="0" labelOnly="1" outline="0"/>
    </format>
    <format dxfId="1964">
      <pivotArea dataOnly="0" labelOnly="1" outline="0" axis="axisValues" fieldPosition="0"/>
    </format>
    <format dxfId="1963">
      <pivotArea dataOnly="0" labelOnly="1" grandRow="1" outline="0" fieldPosition="0"/>
    </format>
    <format dxfId="1962">
      <pivotArea dataOnly="0" labelOnly="1" outline="0" axis="axisValues" fieldPosition="0"/>
    </format>
    <format dxfId="1961">
      <pivotArea type="all" dataOnly="0" outline="0" fieldPosition="0"/>
    </format>
    <format dxfId="1960">
      <pivotArea outline="0" collapsedLevelsAreSubtotals="1" fieldPosition="0"/>
    </format>
    <format dxfId="1959">
      <pivotArea field="7" type="button" dataOnly="0" labelOnly="1" outline="0"/>
    </format>
    <format dxfId="1958">
      <pivotArea dataOnly="0" labelOnly="1" outline="0" axis="axisValues" fieldPosition="0"/>
    </format>
    <format dxfId="1957">
      <pivotArea dataOnly="0" labelOnly="1" grandRow="1" outline="0" fieldPosition="0"/>
    </format>
    <format dxfId="1956">
      <pivotArea dataOnly="0" labelOnly="1" outline="0" axis="axisValues" fieldPosition="0"/>
    </format>
    <format dxfId="1955">
      <pivotArea outline="0" collapsedLevelsAreSubtotals="1" fieldPosition="0"/>
    </format>
    <format dxfId="1954">
      <pivotArea type="all" dataOnly="0" outline="0" fieldPosition="0"/>
    </format>
    <format dxfId="1953">
      <pivotArea outline="0" collapsedLevelsAreSubtotals="1" fieldPosition="0"/>
    </format>
    <format dxfId="1952">
      <pivotArea type="origin" dataOnly="0" labelOnly="1" outline="0" fieldPosition="0"/>
    </format>
    <format dxfId="1951">
      <pivotArea field="7" type="button" dataOnly="0" labelOnly="1" outline="0"/>
    </format>
    <format dxfId="1950">
      <pivotArea field="-2" type="button" dataOnly="0" labelOnly="1" outline="0" axis="axisCol" fieldPosition="0"/>
    </format>
    <format dxfId="1949">
      <pivotArea type="topRight" dataOnly="0" labelOnly="1" outline="0" fieldPosition="0"/>
    </format>
    <format dxfId="1948">
      <pivotArea field="16" type="button" dataOnly="0" labelOnly="1" outline="0"/>
    </format>
    <format dxfId="1947">
      <pivotArea dataOnly="0" labelOnly="1" grandRow="1" outline="0" fieldPosition="0"/>
    </format>
    <format dxfId="194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94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6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0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dataField="1"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4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2059">
      <pivotArea type="all" dataOnly="0" outline="0" fieldPosition="0"/>
    </format>
    <format dxfId="2058">
      <pivotArea field="7" type="button" dataOnly="0" labelOnly="1" outline="0" axis="axisCol" fieldPosition="0"/>
    </format>
    <format dxfId="2057">
      <pivotArea dataOnly="0" labelOnly="1" grandRow="1" outline="0" fieldPosition="0"/>
    </format>
    <format dxfId="2056">
      <pivotArea type="all" dataOnly="0" outline="0" fieldPosition="0"/>
    </format>
    <format dxfId="2055">
      <pivotArea field="7" type="button" dataOnly="0" labelOnly="1" outline="0" axis="axisCol" fieldPosition="0"/>
    </format>
    <format dxfId="2054">
      <pivotArea dataOnly="0" labelOnly="1" grandRow="1" outline="0" fieldPosition="0"/>
    </format>
    <format dxfId="2053">
      <pivotArea type="all" dataOnly="0" outline="0" fieldPosition="0"/>
    </format>
    <format dxfId="2052">
      <pivotArea outline="0" collapsedLevelsAreSubtotals="1" fieldPosition="0"/>
    </format>
    <format dxfId="2051">
      <pivotArea field="7" type="button" dataOnly="0" labelOnly="1" outline="0" axis="axisCol" fieldPosition="0"/>
    </format>
    <format dxfId="2050">
      <pivotArea dataOnly="0" labelOnly="1" outline="0" axis="axisValues" fieldPosition="0"/>
    </format>
    <format dxfId="2049">
      <pivotArea dataOnly="0" labelOnly="1" grandRow="1" outline="0" fieldPosition="0"/>
    </format>
    <format dxfId="2048">
      <pivotArea dataOnly="0" labelOnly="1" outline="0" axis="axisValues" fieldPosition="0"/>
    </format>
    <format dxfId="2047">
      <pivotArea type="all" dataOnly="0" outline="0" fieldPosition="0"/>
    </format>
    <format dxfId="2046">
      <pivotArea outline="0" collapsedLevelsAreSubtotals="1" fieldPosition="0"/>
    </format>
    <format dxfId="2045">
      <pivotArea field="7" type="button" dataOnly="0" labelOnly="1" outline="0" axis="axisCol" fieldPosition="0"/>
    </format>
    <format dxfId="2044">
      <pivotArea dataOnly="0" labelOnly="1" outline="0" axis="axisValues" fieldPosition="0"/>
    </format>
    <format dxfId="2043">
      <pivotArea dataOnly="0" labelOnly="1" grandRow="1" outline="0" fieldPosition="0"/>
    </format>
    <format dxfId="2042">
      <pivotArea dataOnly="0" labelOnly="1" outline="0" axis="axisValues" fieldPosition="0"/>
    </format>
    <format dxfId="2041">
      <pivotArea type="all" dataOnly="0" outline="0" fieldPosition="0"/>
    </format>
    <format dxfId="2040">
      <pivotArea outline="0" collapsedLevelsAreSubtotals="1" fieldPosition="0"/>
    </format>
    <format dxfId="2039">
      <pivotArea field="7" type="button" dataOnly="0" labelOnly="1" outline="0" axis="axisCol" fieldPosition="0"/>
    </format>
    <format dxfId="2038">
      <pivotArea dataOnly="0" labelOnly="1" outline="0" axis="axisValues" fieldPosition="0"/>
    </format>
    <format dxfId="2037">
      <pivotArea dataOnly="0" labelOnly="1" grandRow="1" outline="0" fieldPosition="0"/>
    </format>
    <format dxfId="2036">
      <pivotArea dataOnly="0" labelOnly="1" outline="0" axis="axisValues" fieldPosition="0"/>
    </format>
    <format dxfId="2035">
      <pivotArea type="all" dataOnly="0" outline="0" fieldPosition="0"/>
    </format>
    <format dxfId="2034">
      <pivotArea outline="0" collapsedLevelsAreSubtotals="1" fieldPosition="0"/>
    </format>
    <format dxfId="2033">
      <pivotArea field="7" type="button" dataOnly="0" labelOnly="1" outline="0" axis="axisCol" fieldPosition="0"/>
    </format>
    <format dxfId="2032">
      <pivotArea dataOnly="0" labelOnly="1" outline="0" axis="axisValues" fieldPosition="0"/>
    </format>
    <format dxfId="2031">
      <pivotArea dataOnly="0" labelOnly="1" grandRow="1" outline="0" fieldPosition="0"/>
    </format>
    <format dxfId="2030">
      <pivotArea dataOnly="0" labelOnly="1" outline="0" axis="axisValues" fieldPosition="0"/>
    </format>
    <format dxfId="2029">
      <pivotArea type="all" dataOnly="0" outline="0" fieldPosition="0"/>
    </format>
    <format dxfId="2028">
      <pivotArea outline="0" collapsedLevelsAreSubtotals="1" fieldPosition="0"/>
    </format>
    <format dxfId="2027">
      <pivotArea field="7" type="button" dataOnly="0" labelOnly="1" outline="0" axis="axisCol" fieldPosition="0"/>
    </format>
    <format dxfId="2026">
      <pivotArea dataOnly="0" labelOnly="1" outline="0" axis="axisValues" fieldPosition="0"/>
    </format>
    <format dxfId="2025">
      <pivotArea dataOnly="0" labelOnly="1" grandRow="1" outline="0" fieldPosition="0"/>
    </format>
    <format dxfId="2024">
      <pivotArea dataOnly="0" labelOnly="1" outline="0" axis="axisValues" fieldPosition="0"/>
    </format>
    <format dxfId="2023">
      <pivotArea outline="0" collapsedLevelsAreSubtotals="1" fieldPosition="0"/>
    </format>
    <format dxfId="2022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2021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20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2019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201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2017">
      <pivotArea dataOnly="0" labelOnly="1" fieldPosition="0">
        <references count="1">
          <reference field="16" count="1">
            <x v="352"/>
          </reference>
        </references>
      </pivotArea>
    </format>
    <format dxfId="201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2015">
      <pivotArea dataOnly="0" labelOnly="1" fieldPosition="0">
        <references count="1">
          <reference field="16" count="1">
            <x v="433"/>
          </reference>
        </references>
      </pivotArea>
    </format>
    <format dxfId="201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2013">
      <pivotArea dataOnly="0" labelOnly="1" fieldPosition="0">
        <references count="1">
          <reference field="16" count="1">
            <x v="448"/>
          </reference>
        </references>
      </pivotArea>
    </format>
    <format dxfId="201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2011">
      <pivotArea dataOnly="0" labelOnly="1" fieldPosition="0">
        <references count="1">
          <reference field="16" count="1">
            <x v="104"/>
          </reference>
        </references>
      </pivotArea>
    </format>
    <format dxfId="201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2009">
      <pivotArea dataOnly="0" labelOnly="1" fieldPosition="0">
        <references count="1">
          <reference field="16" count="1">
            <x v="68"/>
          </reference>
        </references>
      </pivotArea>
    </format>
    <format dxfId="200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2007">
      <pivotArea dataOnly="0" labelOnly="1" fieldPosition="0">
        <references count="1">
          <reference field="16" count="1">
            <x v="409"/>
          </reference>
        </references>
      </pivotArea>
    </format>
    <format dxfId="2006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2005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2004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2003">
      <pivotArea type="all" dataOnly="0" outline="0" fieldPosition="0"/>
    </format>
    <format dxfId="2002">
      <pivotArea outline="0" collapsedLevelsAreSubtotals="1" fieldPosition="0"/>
    </format>
    <format dxfId="2001">
      <pivotArea type="origin" dataOnly="0" labelOnly="1" outline="0" fieldPosition="0"/>
    </format>
    <format dxfId="2000">
      <pivotArea field="7" type="button" dataOnly="0" labelOnly="1" outline="0" axis="axisCol" fieldPosition="0"/>
    </format>
    <format dxfId="1999">
      <pivotArea field="-2" type="button" dataOnly="0" labelOnly="1" outline="0" axis="axisCol" fieldPosition="1"/>
    </format>
    <format dxfId="1998">
      <pivotArea type="topRight" dataOnly="0" labelOnly="1" outline="0" fieldPosition="0"/>
    </format>
    <format dxfId="1997">
      <pivotArea field="16" type="button" dataOnly="0" labelOnly="1" outline="0" axis="axisRow" fieldPosition="0"/>
    </format>
    <format dxfId="1996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995">
      <pivotArea dataOnly="0" labelOnly="1" grandRow="1" outline="0" fieldPosition="0"/>
    </format>
    <format dxfId="1994">
      <pivotArea dataOnly="0" labelOnly="1" fieldPosition="0">
        <references count="1">
          <reference field="7" count="0"/>
        </references>
      </pivotArea>
    </format>
    <format dxfId="19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9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762">
      <pivotArea outline="0" collapsedLevelsAreSubtotals="1" fieldPosition="0"/>
    </format>
    <format dxfId="1761">
      <pivotArea type="all" dataOnly="0" outline="0" fieldPosition="0"/>
    </format>
    <format dxfId="1760">
      <pivotArea outline="0" collapsedLevelsAreSubtotals="1" fieldPosition="0"/>
    </format>
    <format dxfId="1759">
      <pivotArea field="0" type="button" dataOnly="0" labelOnly="1" outline="0" axis="axisRow" fieldPosition="0"/>
    </format>
    <format dxfId="1758">
      <pivotArea dataOnly="0" labelOnly="1" outline="0" axis="axisValues" fieldPosition="0"/>
    </format>
    <format dxfId="1757">
      <pivotArea dataOnly="0" labelOnly="1" fieldPosition="0">
        <references count="1">
          <reference field="0" count="0"/>
        </references>
      </pivotArea>
    </format>
    <format dxfId="1756">
      <pivotArea dataOnly="0" labelOnly="1" grandRow="1" outline="0" fieldPosition="0"/>
    </format>
    <format dxfId="1755">
      <pivotArea dataOnly="0" labelOnly="1" fieldPosition="0">
        <references count="2">
          <reference field="0" count="0" selected="0"/>
          <reference field="2" count="0"/>
        </references>
      </pivotArea>
    </format>
    <format dxfId="1754">
      <pivotArea dataOnly="0" labelOnly="1" outline="0" axis="axisValues" fieldPosition="0"/>
    </format>
    <format dxfId="1753">
      <pivotArea type="all" dataOnly="0" outline="0" fieldPosition="0"/>
    </format>
    <format dxfId="1752">
      <pivotArea outline="0" collapsedLevelsAreSubtotals="1" fieldPosition="0"/>
    </format>
    <format dxfId="1751">
      <pivotArea field="0" type="button" dataOnly="0" labelOnly="1" outline="0" axis="axisRow" fieldPosition="0"/>
    </format>
    <format dxfId="1750">
      <pivotArea dataOnly="0" labelOnly="1" outline="0" axis="axisValues" fieldPosition="0"/>
    </format>
    <format dxfId="1749">
      <pivotArea dataOnly="0" labelOnly="1" fieldPosition="0">
        <references count="1">
          <reference field="0" count="0"/>
        </references>
      </pivotArea>
    </format>
    <format dxfId="1748">
      <pivotArea dataOnly="0" labelOnly="1" grandRow="1" outline="0" fieldPosition="0"/>
    </format>
    <format dxfId="1747">
      <pivotArea dataOnly="0" labelOnly="1" fieldPosition="0">
        <references count="2">
          <reference field="0" count="0" selected="0"/>
          <reference field="2" count="0"/>
        </references>
      </pivotArea>
    </format>
    <format dxfId="174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787">
      <pivotArea outline="0" collapsedLevelsAreSubtotals="1" fieldPosition="0"/>
    </format>
    <format dxfId="1786">
      <pivotArea type="all" dataOnly="0" outline="0" fieldPosition="0"/>
    </format>
    <format dxfId="1785">
      <pivotArea outline="0" collapsedLevelsAreSubtotals="1" fieldPosition="0"/>
    </format>
    <format dxfId="1784">
      <pivotArea dataOnly="0" labelOnly="1" outline="0" axis="axisValues" fieldPosition="0"/>
    </format>
    <format dxfId="1783">
      <pivotArea dataOnly="0" labelOnly="1" grandRow="1" outline="0" fieldPosition="0"/>
    </format>
    <format dxfId="1782">
      <pivotArea dataOnly="0" labelOnly="1" outline="0" axis="axisValues" fieldPosition="0"/>
    </format>
    <format dxfId="1781">
      <pivotArea type="all" dataOnly="0" outline="0" fieldPosition="0"/>
    </format>
    <format dxfId="1780">
      <pivotArea outline="0" collapsedLevelsAreSubtotals="1" fieldPosition="0"/>
    </format>
    <format dxfId="1779">
      <pivotArea dataOnly="0" labelOnly="1" outline="0" axis="axisValues" fieldPosition="0"/>
    </format>
    <format dxfId="1778">
      <pivotArea dataOnly="0" labelOnly="1" grandRow="1" outline="0" fieldPosition="0"/>
    </format>
    <format dxfId="1777">
      <pivotArea dataOnly="0" labelOnly="1" outline="0" axis="axisValues" fieldPosition="0"/>
    </format>
    <format dxfId="1776">
      <pivotArea type="all" dataOnly="0" outline="0" fieldPosition="0"/>
    </format>
    <format dxfId="1775">
      <pivotArea outline="0" collapsedLevelsAreSubtotals="1" fieldPosition="0"/>
    </format>
    <format dxfId="1774">
      <pivotArea field="1" type="button" dataOnly="0" labelOnly="1" outline="0" axis="axisRow" fieldPosition="0"/>
    </format>
    <format dxfId="1773">
      <pivotArea dataOnly="0" labelOnly="1" outline="0" axis="axisValues" fieldPosition="0"/>
    </format>
    <format dxfId="1772">
      <pivotArea dataOnly="0" labelOnly="1" fieldPosition="0">
        <references count="1">
          <reference field="1" count="0"/>
        </references>
      </pivotArea>
    </format>
    <format dxfId="1771">
      <pivotArea dataOnly="0" labelOnly="1" grandRow="1" outline="0" fieldPosition="0"/>
    </format>
    <format dxfId="1770">
      <pivotArea dataOnly="0" labelOnly="1" outline="0" axis="axisValues" fieldPosition="0"/>
    </format>
    <format dxfId="1769">
      <pivotArea type="all" dataOnly="0" outline="0" fieldPosition="0"/>
    </format>
    <format dxfId="1768">
      <pivotArea outline="0" collapsedLevelsAreSubtotals="1" fieldPosition="0"/>
    </format>
    <format dxfId="1767">
      <pivotArea field="1" type="button" dataOnly="0" labelOnly="1" outline="0" axis="axisRow" fieldPosition="0"/>
    </format>
    <format dxfId="1766">
      <pivotArea dataOnly="0" labelOnly="1" outline="0" axis="axisValues" fieldPosition="0"/>
    </format>
    <format dxfId="1765">
      <pivotArea dataOnly="0" labelOnly="1" fieldPosition="0">
        <references count="1">
          <reference field="1" count="0"/>
        </references>
      </pivotArea>
    </format>
    <format dxfId="1764">
      <pivotArea dataOnly="0" labelOnly="1" grandRow="1" outline="0" fieldPosition="0"/>
    </format>
    <format dxfId="176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816">
      <pivotArea outline="0" collapsedLevelsAreSubtotals="1" fieldPosition="0"/>
    </format>
    <format dxfId="1815">
      <pivotArea type="all" dataOnly="0" outline="0" fieldPosition="0"/>
    </format>
    <format dxfId="1814">
      <pivotArea outline="0" collapsedLevelsAreSubtotals="1" fieldPosition="0"/>
    </format>
    <format dxfId="1813">
      <pivotArea field="1" type="button" dataOnly="0" labelOnly="1" outline="0" axis="axisRow" fieldPosition="0"/>
    </format>
    <format dxfId="1812">
      <pivotArea dataOnly="0" labelOnly="1" outline="0" axis="axisValues" fieldPosition="0"/>
    </format>
    <format dxfId="1811">
      <pivotArea dataOnly="0" labelOnly="1" fieldPosition="0">
        <references count="1">
          <reference field="1" count="0"/>
        </references>
      </pivotArea>
    </format>
    <format dxfId="1810">
      <pivotArea dataOnly="0" labelOnly="1" grandRow="1" outline="0" fieldPosition="0"/>
    </format>
    <format dxfId="1809">
      <pivotArea dataOnly="0" labelOnly="1" outline="0" axis="axisValues" fieldPosition="0"/>
    </format>
    <format dxfId="1808">
      <pivotArea type="all" dataOnly="0" outline="0" fieldPosition="0"/>
    </format>
    <format dxfId="1807">
      <pivotArea outline="0" collapsedLevelsAreSubtotals="1" fieldPosition="0"/>
    </format>
    <format dxfId="1806">
      <pivotArea field="1" type="button" dataOnly="0" labelOnly="1" outline="0" axis="axisRow" fieldPosition="0"/>
    </format>
    <format dxfId="1805">
      <pivotArea dataOnly="0" labelOnly="1" outline="0" axis="axisValues" fieldPosition="0"/>
    </format>
    <format dxfId="1804">
      <pivotArea dataOnly="0" labelOnly="1" fieldPosition="0">
        <references count="1">
          <reference field="1" count="0"/>
        </references>
      </pivotArea>
    </format>
    <format dxfId="1803">
      <pivotArea dataOnly="0" labelOnly="1" grandRow="1" outline="0" fieldPosition="0"/>
    </format>
    <format dxfId="1802">
      <pivotArea dataOnly="0" labelOnly="1" outline="0" axis="axisValues" fieldPosition="0"/>
    </format>
    <format dxfId="1801">
      <pivotArea type="all" dataOnly="0" outline="0" fieldPosition="0"/>
    </format>
    <format dxfId="1800">
      <pivotArea outline="0" collapsedLevelsAreSubtotals="1" fieldPosition="0"/>
    </format>
    <format dxfId="1799">
      <pivotArea field="1" type="button" dataOnly="0" labelOnly="1" outline="0" axis="axisRow" fieldPosition="0"/>
    </format>
    <format dxfId="1798">
      <pivotArea dataOnly="0" labelOnly="1" outline="0" axis="axisValues" fieldPosition="0"/>
    </format>
    <format dxfId="1797">
      <pivotArea dataOnly="0" labelOnly="1" fieldPosition="0">
        <references count="1">
          <reference field="1" count="0"/>
        </references>
      </pivotArea>
    </format>
    <format dxfId="1796">
      <pivotArea dataOnly="0" labelOnly="1" grandRow="1" outline="0" fieldPosition="0"/>
    </format>
    <format dxfId="1795">
      <pivotArea dataOnly="0" labelOnly="1" outline="0" axis="axisValues" fieldPosition="0"/>
    </format>
    <format dxfId="1794">
      <pivotArea type="all" dataOnly="0" outline="0" fieldPosition="0"/>
    </format>
    <format dxfId="1793">
      <pivotArea outline="0" collapsedLevelsAreSubtotals="1" fieldPosition="0"/>
    </format>
    <format dxfId="1792">
      <pivotArea field="1" type="button" dataOnly="0" labelOnly="1" outline="0" axis="axisRow" fieldPosition="0"/>
    </format>
    <format dxfId="1791">
      <pivotArea dataOnly="0" labelOnly="1" outline="0" axis="axisValues" fieldPosition="0"/>
    </format>
    <format dxfId="1790">
      <pivotArea dataOnly="0" labelOnly="1" fieldPosition="0">
        <references count="1">
          <reference field="1" count="0"/>
        </references>
      </pivotArea>
    </format>
    <format dxfId="1789">
      <pivotArea dataOnly="0" labelOnly="1" grandRow="1" outline="0" fieldPosition="0"/>
    </format>
    <format dxfId="178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841">
      <pivotArea outline="0" collapsedLevelsAreSubtotals="1" fieldPosition="0"/>
    </format>
    <format dxfId="1840">
      <pivotArea type="all" dataOnly="0" outline="0" fieldPosition="0"/>
    </format>
    <format dxfId="1839">
      <pivotArea outline="0" collapsedLevelsAreSubtotals="1" fieldPosition="0"/>
    </format>
    <format dxfId="1838">
      <pivotArea dataOnly="0" labelOnly="1" outline="0" axis="axisValues" fieldPosition="0"/>
    </format>
    <format dxfId="1837">
      <pivotArea dataOnly="0" labelOnly="1" grandRow="1" outline="0" fieldPosition="0"/>
    </format>
    <format dxfId="1836">
      <pivotArea dataOnly="0" labelOnly="1" outline="0" axis="axisValues" fieldPosition="0"/>
    </format>
    <format dxfId="1835">
      <pivotArea type="all" dataOnly="0" outline="0" fieldPosition="0"/>
    </format>
    <format dxfId="1834">
      <pivotArea outline="0" collapsedLevelsAreSubtotals="1" fieldPosition="0"/>
    </format>
    <format dxfId="1833">
      <pivotArea dataOnly="0" labelOnly="1" outline="0" axis="axisValues" fieldPosition="0"/>
    </format>
    <format dxfId="1832">
      <pivotArea dataOnly="0" labelOnly="1" grandRow="1" outline="0" fieldPosition="0"/>
    </format>
    <format dxfId="1831">
      <pivotArea dataOnly="0" labelOnly="1" outline="0" axis="axisValues" fieldPosition="0"/>
    </format>
    <format dxfId="1830">
      <pivotArea type="all" dataOnly="0" outline="0" fieldPosition="0"/>
    </format>
    <format dxfId="1829">
      <pivotArea outline="0" collapsedLevelsAreSubtotals="1" fieldPosition="0"/>
    </format>
    <format dxfId="1828">
      <pivotArea field="1" type="button" dataOnly="0" labelOnly="1" outline="0" axis="axisRow" fieldPosition="0"/>
    </format>
    <format dxfId="1827">
      <pivotArea dataOnly="0" labelOnly="1" outline="0" axis="axisValues" fieldPosition="0"/>
    </format>
    <format dxfId="1826">
      <pivotArea dataOnly="0" labelOnly="1" fieldPosition="0">
        <references count="1">
          <reference field="1" count="0"/>
        </references>
      </pivotArea>
    </format>
    <format dxfId="1825">
      <pivotArea dataOnly="0" labelOnly="1" grandRow="1" outline="0" fieldPosition="0"/>
    </format>
    <format dxfId="1824">
      <pivotArea dataOnly="0" labelOnly="1" outline="0" axis="axisValues" fieldPosition="0"/>
    </format>
    <format dxfId="1823">
      <pivotArea type="all" dataOnly="0" outline="0" fieldPosition="0"/>
    </format>
    <format dxfId="1822">
      <pivotArea outline="0" collapsedLevelsAreSubtotals="1" fieldPosition="0"/>
    </format>
    <format dxfId="1821">
      <pivotArea field="1" type="button" dataOnly="0" labelOnly="1" outline="0" axis="axisRow" fieldPosition="0"/>
    </format>
    <format dxfId="1820">
      <pivotArea dataOnly="0" labelOnly="1" outline="0" axis="axisValues" fieldPosition="0"/>
    </format>
    <format dxfId="1819">
      <pivotArea dataOnly="0" labelOnly="1" fieldPosition="0">
        <references count="1">
          <reference field="1" count="0"/>
        </references>
      </pivotArea>
    </format>
    <format dxfId="1818">
      <pivotArea dataOnly="0" labelOnly="1" grandRow="1" outline="0" fieldPosition="0"/>
    </format>
    <format dxfId="181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875">
      <pivotArea outline="0" collapsedLevelsAreSubtotals="1" fieldPosition="0"/>
    </format>
    <format dxfId="1874">
      <pivotArea type="all" dataOnly="0" outline="0" fieldPosition="0"/>
    </format>
    <format dxfId="1873">
      <pivotArea outline="0" collapsedLevelsAreSubtotals="1" fieldPosition="0"/>
    </format>
    <format dxfId="1872">
      <pivotArea dataOnly="0" labelOnly="1" outline="0" axis="axisValues" fieldPosition="0"/>
    </format>
    <format dxfId="1871">
      <pivotArea dataOnly="0" labelOnly="1" grandRow="1" outline="0" fieldPosition="0"/>
    </format>
    <format dxfId="1870">
      <pivotArea dataOnly="0" labelOnly="1" outline="0" axis="axisValues" fieldPosition="0"/>
    </format>
    <format dxfId="1869">
      <pivotArea type="all" dataOnly="0" outline="0" fieldPosition="0"/>
    </format>
    <format dxfId="1868">
      <pivotArea outline="0" collapsedLevelsAreSubtotals="1" fieldPosition="0"/>
    </format>
    <format dxfId="1867">
      <pivotArea dataOnly="0" labelOnly="1" outline="0" axis="axisValues" fieldPosition="0"/>
    </format>
    <format dxfId="1866">
      <pivotArea dataOnly="0" labelOnly="1" grandRow="1" outline="0" fieldPosition="0"/>
    </format>
    <format dxfId="1865">
      <pivotArea dataOnly="0" labelOnly="1" outline="0" axis="axisValues" fieldPosition="0"/>
    </format>
    <format dxfId="1864">
      <pivotArea outline="0" collapsedLevelsAreSubtotals="1" fieldPosition="0"/>
    </format>
    <format dxfId="1863">
      <pivotArea outline="0" collapsedLevelsAreSubtotals="1" fieldPosition="0"/>
    </format>
    <format dxfId="1862">
      <pivotArea outline="0" collapsedLevelsAreSubtotals="1" fieldPosition="0"/>
    </format>
    <format dxfId="18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6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859">
      <pivotArea type="all" dataOnly="0" outline="0" fieldPosition="0"/>
    </format>
    <format dxfId="1858">
      <pivotArea outline="0" collapsedLevelsAreSubtotals="1" fieldPosition="0"/>
    </format>
    <format dxfId="1857">
      <pivotArea field="0" type="button" dataOnly="0" labelOnly="1" outline="0" axis="axisRow" fieldPosition="0"/>
    </format>
    <format dxfId="185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855">
      <pivotArea dataOnly="0" labelOnly="1" grandRow="1" outline="0" fieldPosition="0"/>
    </format>
    <format dxfId="185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85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85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0">
      <pivotArea type="all" dataOnly="0" outline="0" fieldPosition="0"/>
    </format>
    <format dxfId="1849">
      <pivotArea outline="0" collapsedLevelsAreSubtotals="1" fieldPosition="0"/>
    </format>
    <format dxfId="1848">
      <pivotArea field="0" type="button" dataOnly="0" labelOnly="1" outline="0" axis="axisRow" fieldPosition="0"/>
    </format>
    <format dxfId="184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846">
      <pivotArea dataOnly="0" labelOnly="1" grandRow="1" outline="0" fieldPosition="0"/>
    </format>
    <format dxfId="184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84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84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8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890">
      <pivotArea outline="0" collapsedLevelsAreSubtotals="1" fieldPosition="0"/>
    </format>
    <format dxfId="1889">
      <pivotArea type="all" dataOnly="0" outline="0" fieldPosition="0"/>
    </format>
    <format dxfId="1888">
      <pivotArea outline="0" collapsedLevelsAreSubtotals="1" fieldPosition="0"/>
    </format>
    <format dxfId="1887">
      <pivotArea field="0" type="button" dataOnly="0" labelOnly="1" outline="0" axis="axisRow" fieldPosition="0"/>
    </format>
    <format dxfId="1886">
      <pivotArea dataOnly="0" labelOnly="1" outline="0" axis="axisValues" fieldPosition="0"/>
    </format>
    <format dxfId="1885">
      <pivotArea dataOnly="0" labelOnly="1" fieldPosition="0">
        <references count="1">
          <reference field="0" count="0"/>
        </references>
      </pivotArea>
    </format>
    <format dxfId="1884">
      <pivotArea dataOnly="0" labelOnly="1" grandRow="1" outline="0" fieldPosition="0"/>
    </format>
    <format dxfId="1883">
      <pivotArea dataOnly="0" labelOnly="1" outline="0" axis="axisValues" fieldPosition="0"/>
    </format>
    <format dxfId="1882">
      <pivotArea type="all" dataOnly="0" outline="0" fieldPosition="0"/>
    </format>
    <format dxfId="1881">
      <pivotArea outline="0" collapsedLevelsAreSubtotals="1" fieldPosition="0"/>
    </format>
    <format dxfId="1880">
      <pivotArea field="0" type="button" dataOnly="0" labelOnly="1" outline="0" axis="axisRow" fieldPosition="0"/>
    </format>
    <format dxfId="1879">
      <pivotArea dataOnly="0" labelOnly="1" outline="0" axis="axisValues" fieldPosition="0"/>
    </format>
    <format dxfId="1878">
      <pivotArea dataOnly="0" labelOnly="1" fieldPosition="0">
        <references count="1">
          <reference field="0" count="0"/>
        </references>
      </pivotArea>
    </format>
    <format dxfId="1877">
      <pivotArea dataOnly="0" labelOnly="1" grandRow="1" outline="0" fieldPosition="0"/>
    </format>
    <format dxfId="187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905">
      <pivotArea outline="0" collapsedLevelsAreSubtotals="1" fieldPosition="0"/>
    </format>
    <format dxfId="1904">
      <pivotArea type="all" dataOnly="0" outline="0" fieldPosition="0"/>
    </format>
    <format dxfId="1903">
      <pivotArea outline="0" collapsedLevelsAreSubtotals="1" fieldPosition="0"/>
    </format>
    <format dxfId="1902">
      <pivotArea field="1" type="button" dataOnly="0" labelOnly="1" outline="0" axis="axisRow" fieldPosition="0"/>
    </format>
    <format dxfId="1901">
      <pivotArea dataOnly="0" labelOnly="1" outline="0" axis="axisValues" fieldPosition="0"/>
    </format>
    <format dxfId="1900">
      <pivotArea dataOnly="0" labelOnly="1" fieldPosition="0">
        <references count="1">
          <reference field="1" count="0"/>
        </references>
      </pivotArea>
    </format>
    <format dxfId="1899">
      <pivotArea dataOnly="0" labelOnly="1" grandRow="1" outline="0" fieldPosition="0"/>
    </format>
    <format dxfId="1898">
      <pivotArea dataOnly="0" labelOnly="1" outline="0" axis="axisValues" fieldPosition="0"/>
    </format>
    <format dxfId="1897">
      <pivotArea type="all" dataOnly="0" outline="0" fieldPosition="0"/>
    </format>
    <format dxfId="1896">
      <pivotArea outline="0" collapsedLevelsAreSubtotals="1" fieldPosition="0"/>
    </format>
    <format dxfId="1895">
      <pivotArea field="1" type="button" dataOnly="0" labelOnly="1" outline="0" axis="axisRow" fieldPosition="0"/>
    </format>
    <format dxfId="1894">
      <pivotArea dataOnly="0" labelOnly="1" outline="0" axis="axisValues" fieldPosition="0"/>
    </format>
    <format dxfId="1893">
      <pivotArea dataOnly="0" labelOnly="1" fieldPosition="0">
        <references count="1">
          <reference field="1" count="0"/>
        </references>
      </pivotArea>
    </format>
    <format dxfId="1892">
      <pivotArea dataOnly="0" labelOnly="1" grandRow="1" outline="0" fieldPosition="0"/>
    </format>
    <format dxfId="1891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555">
      <pivotArea type="all" dataOnly="0" outline="0" fieldPosition="0"/>
    </format>
    <format dxfId="1554">
      <pivotArea outline="0" collapsedLevelsAreSubtotals="1" fieldPosition="0"/>
    </format>
    <format dxfId="1553">
      <pivotArea field="3" type="button" dataOnly="0" labelOnly="1" outline="0"/>
    </format>
    <format dxfId="1552">
      <pivotArea dataOnly="0" labelOnly="1" outline="0" axis="axisValues" fieldPosition="0"/>
    </format>
    <format dxfId="1551">
      <pivotArea dataOnly="0" labelOnly="1" grandRow="1" outline="0" fieldPosition="0"/>
    </format>
    <format dxfId="1550">
      <pivotArea dataOnly="0" labelOnly="1" outline="0" axis="axisValues" fieldPosition="0"/>
    </format>
    <format dxfId="1549">
      <pivotArea type="all" dataOnly="0" outline="0" fieldPosition="0"/>
    </format>
    <format dxfId="1548">
      <pivotArea outline="0" collapsedLevelsAreSubtotals="1" fieldPosition="0"/>
    </format>
    <format dxfId="1547">
      <pivotArea field="3" type="button" dataOnly="0" labelOnly="1" outline="0"/>
    </format>
    <format dxfId="1546">
      <pivotArea dataOnly="0" labelOnly="1" outline="0" axis="axisValues" fieldPosition="0"/>
    </format>
    <format dxfId="1545">
      <pivotArea dataOnly="0" labelOnly="1" grandRow="1" outline="0" fieldPosition="0"/>
    </format>
    <format dxfId="1544">
      <pivotArea dataOnly="0" labelOnly="1" outline="0" axis="axisValues" fieldPosition="0"/>
    </format>
    <format dxfId="1543">
      <pivotArea outline="0" collapsedLevelsAreSubtotals="1" fieldPosition="0"/>
    </format>
    <format dxfId="1542">
      <pivotArea type="all" dataOnly="0" outline="0" fieldPosition="0"/>
    </format>
    <format dxfId="1541">
      <pivotArea outline="0" collapsedLevelsAreSubtotals="1" fieldPosition="0"/>
    </format>
    <format dxfId="1540">
      <pivotArea field="3" type="button" dataOnly="0" labelOnly="1" outline="0"/>
    </format>
    <format dxfId="1539">
      <pivotArea dataOnly="0" labelOnly="1" outline="0" axis="axisValues" fieldPosition="0"/>
    </format>
    <format dxfId="1538">
      <pivotArea dataOnly="0" labelOnly="1" grandRow="1" outline="0" fieldPosition="0"/>
    </format>
    <format dxfId="1537">
      <pivotArea dataOnly="0" labelOnly="1" outline="0" axis="axisValues" fieldPosition="0"/>
    </format>
    <format dxfId="15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34">
      <pivotArea type="all" dataOnly="0" outline="0" fieldPosition="0"/>
    </format>
    <format dxfId="1533">
      <pivotArea outline="0" collapsedLevelsAreSubtotals="1" fieldPosition="0"/>
    </format>
    <format dxfId="1532">
      <pivotArea field="9" type="button" dataOnly="0" labelOnly="1" outline="0" axis="axisRow" fieldPosition="0"/>
    </format>
    <format dxfId="1531">
      <pivotArea dataOnly="0" labelOnly="1" fieldPosition="0">
        <references count="1">
          <reference field="9" count="0"/>
        </references>
      </pivotArea>
    </format>
    <format dxfId="1530">
      <pivotArea dataOnly="0" labelOnly="1" grandRow="1" outline="0" fieldPosition="0"/>
    </format>
    <format dxfId="15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28">
      <pivotArea type="all" dataOnly="0" outline="0" fieldPosition="0"/>
    </format>
    <format dxfId="1527">
      <pivotArea outline="0" collapsedLevelsAreSubtotals="1" fieldPosition="0"/>
    </format>
    <format dxfId="1526">
      <pivotArea field="9" type="button" dataOnly="0" labelOnly="1" outline="0" axis="axisRow" fieldPosition="0"/>
    </format>
    <format dxfId="1525">
      <pivotArea dataOnly="0" labelOnly="1" fieldPosition="0">
        <references count="1">
          <reference field="9" count="0"/>
        </references>
      </pivotArea>
    </format>
    <format dxfId="1524">
      <pivotArea dataOnly="0" labelOnly="1" grandRow="1" outline="0" fieldPosition="0"/>
    </format>
    <format dxfId="15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588">
      <pivotArea type="all" dataOnly="0" outline="0" fieldPosition="0"/>
    </format>
    <format dxfId="1587">
      <pivotArea outline="0" collapsedLevelsAreSubtotals="1" fieldPosition="0"/>
    </format>
    <format dxfId="1586">
      <pivotArea field="3" type="button" dataOnly="0" labelOnly="1" outline="0"/>
    </format>
    <format dxfId="1585">
      <pivotArea dataOnly="0" labelOnly="1" outline="0" axis="axisValues" fieldPosition="0"/>
    </format>
    <format dxfId="1584">
      <pivotArea dataOnly="0" labelOnly="1" grandRow="1" outline="0" fieldPosition="0"/>
    </format>
    <format dxfId="1583">
      <pivotArea dataOnly="0" labelOnly="1" outline="0" axis="axisValues" fieldPosition="0"/>
    </format>
    <format dxfId="1582">
      <pivotArea type="all" dataOnly="0" outline="0" fieldPosition="0"/>
    </format>
    <format dxfId="1581">
      <pivotArea outline="0" collapsedLevelsAreSubtotals="1" fieldPosition="0"/>
    </format>
    <format dxfId="1580">
      <pivotArea field="3" type="button" dataOnly="0" labelOnly="1" outline="0"/>
    </format>
    <format dxfId="1579">
      <pivotArea dataOnly="0" labelOnly="1" outline="0" axis="axisValues" fieldPosition="0"/>
    </format>
    <format dxfId="1578">
      <pivotArea dataOnly="0" labelOnly="1" grandRow="1" outline="0" fieldPosition="0"/>
    </format>
    <format dxfId="1577">
      <pivotArea dataOnly="0" labelOnly="1" outline="0" axis="axisValues" fieldPosition="0"/>
    </format>
    <format dxfId="1576">
      <pivotArea outline="0" collapsedLevelsAreSubtotals="1" fieldPosition="0"/>
    </format>
    <format dxfId="1575">
      <pivotArea type="all" dataOnly="0" outline="0" fieldPosition="0"/>
    </format>
    <format dxfId="1574">
      <pivotArea outline="0" collapsedLevelsAreSubtotals="1" fieldPosition="0"/>
    </format>
    <format dxfId="1573">
      <pivotArea field="3" type="button" dataOnly="0" labelOnly="1" outline="0"/>
    </format>
    <format dxfId="1572">
      <pivotArea dataOnly="0" labelOnly="1" outline="0" axis="axisValues" fieldPosition="0"/>
    </format>
    <format dxfId="1571">
      <pivotArea dataOnly="0" labelOnly="1" grandRow="1" outline="0" fieldPosition="0"/>
    </format>
    <format dxfId="1570">
      <pivotArea dataOnly="0" labelOnly="1" outline="0" axis="axisValues" fieldPosition="0"/>
    </format>
    <format dxfId="15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67">
      <pivotArea type="all" dataOnly="0" outline="0" fieldPosition="0"/>
    </format>
    <format dxfId="1566">
      <pivotArea outline="0" collapsedLevelsAreSubtotals="1" fieldPosition="0"/>
    </format>
    <format dxfId="1565">
      <pivotArea field="7" type="button" dataOnly="0" labelOnly="1" outline="0" axis="axisRow" fieldPosition="0"/>
    </format>
    <format dxfId="1564">
      <pivotArea dataOnly="0" labelOnly="1" fieldPosition="0">
        <references count="1">
          <reference field="7" count="0"/>
        </references>
      </pivotArea>
    </format>
    <format dxfId="1563">
      <pivotArea dataOnly="0" labelOnly="1" grandRow="1" outline="0" fieldPosition="0"/>
    </format>
    <format dxfId="15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61">
      <pivotArea type="all" dataOnly="0" outline="0" fieldPosition="0"/>
    </format>
    <format dxfId="1560">
      <pivotArea outline="0" collapsedLevelsAreSubtotals="1" fieldPosition="0"/>
    </format>
    <format dxfId="1559">
      <pivotArea field="7" type="button" dataOnly="0" labelOnly="1" outline="0" axis="axisRow" fieldPosition="0"/>
    </format>
    <format dxfId="1558">
      <pivotArea dataOnly="0" labelOnly="1" fieldPosition="0">
        <references count="1">
          <reference field="7" count="0"/>
        </references>
      </pivotArea>
    </format>
    <format dxfId="1557">
      <pivotArea dataOnly="0" labelOnly="1" grandRow="1" outline="0" fieldPosition="0"/>
    </format>
    <format dxfId="15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625">
      <pivotArea type="all" dataOnly="0" outline="0" fieldPosition="0"/>
    </format>
    <format dxfId="1624">
      <pivotArea outline="0" collapsedLevelsAreSubtotals="1" fieldPosition="0"/>
    </format>
    <format dxfId="1623">
      <pivotArea field="3" type="button" dataOnly="0" labelOnly="1" outline="0" axis="axisRow" fieldPosition="1"/>
    </format>
    <format dxfId="1622">
      <pivotArea dataOnly="0" labelOnly="1" outline="0" axis="axisValues" fieldPosition="0"/>
    </format>
    <format dxfId="1621">
      <pivotArea dataOnly="0" labelOnly="1" grandRow="1" outline="0" fieldPosition="0"/>
    </format>
    <format dxfId="1620">
      <pivotArea dataOnly="0" labelOnly="1" outline="0" axis="axisValues" fieldPosition="0"/>
    </format>
    <format dxfId="1619">
      <pivotArea type="all" dataOnly="0" outline="0" fieldPosition="0"/>
    </format>
    <format dxfId="1618">
      <pivotArea outline="0" collapsedLevelsAreSubtotals="1" fieldPosition="0"/>
    </format>
    <format dxfId="1617">
      <pivotArea field="3" type="button" dataOnly="0" labelOnly="1" outline="0" axis="axisRow" fieldPosition="1"/>
    </format>
    <format dxfId="1616">
      <pivotArea dataOnly="0" labelOnly="1" outline="0" axis="axisValues" fieldPosition="0"/>
    </format>
    <format dxfId="1615">
      <pivotArea dataOnly="0" labelOnly="1" grandRow="1" outline="0" fieldPosition="0"/>
    </format>
    <format dxfId="1614">
      <pivotArea dataOnly="0" labelOnly="1" outline="0" axis="axisValues" fieldPosition="0"/>
    </format>
    <format dxfId="1613">
      <pivotArea outline="0" collapsedLevelsAreSubtotals="1" fieldPosition="0"/>
    </format>
    <format dxfId="1612">
      <pivotArea type="all" dataOnly="0" outline="0" fieldPosition="0"/>
    </format>
    <format dxfId="1611">
      <pivotArea outline="0" collapsedLevelsAreSubtotals="1" fieldPosition="0"/>
    </format>
    <format dxfId="1610">
      <pivotArea field="3" type="button" dataOnly="0" labelOnly="1" outline="0" axis="axisRow" fieldPosition="1"/>
    </format>
    <format dxfId="1609">
      <pivotArea dataOnly="0" labelOnly="1" outline="0" axis="axisValues" fieldPosition="0"/>
    </format>
    <format dxfId="1608">
      <pivotArea dataOnly="0" labelOnly="1" grandRow="1" outline="0" fieldPosition="0"/>
    </format>
    <format dxfId="1607">
      <pivotArea dataOnly="0" labelOnly="1" outline="0" axis="axisValues" fieldPosition="0"/>
    </format>
    <format dxfId="1606">
      <pivotArea type="all" dataOnly="0" outline="0" fieldPosition="0"/>
    </format>
    <format dxfId="1605">
      <pivotArea outline="0" collapsedLevelsAreSubtotals="1" fieldPosition="0"/>
    </format>
    <format dxfId="1604">
      <pivotArea field="7" type="button" dataOnly="0" labelOnly="1" outline="0" axis="axisRow" fieldPosition="0"/>
    </format>
    <format dxfId="1603">
      <pivotArea dataOnly="0" labelOnly="1" outline="0" axis="axisValues" fieldPosition="0"/>
    </format>
    <format dxfId="1602">
      <pivotArea dataOnly="0" labelOnly="1" fieldPosition="0">
        <references count="1">
          <reference field="7" count="0"/>
        </references>
      </pivotArea>
    </format>
    <format dxfId="1601">
      <pivotArea dataOnly="0" labelOnly="1" grandRow="1" outline="0" fieldPosition="0"/>
    </format>
    <format dxfId="1600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599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598">
      <pivotArea dataOnly="0" labelOnly="1" outline="0" axis="axisValues" fieldPosition="0"/>
    </format>
    <format dxfId="1597">
      <pivotArea type="all" dataOnly="0" outline="0" fieldPosition="0"/>
    </format>
    <format dxfId="1596">
      <pivotArea outline="0" collapsedLevelsAreSubtotals="1" fieldPosition="0"/>
    </format>
    <format dxfId="1595">
      <pivotArea field="7" type="button" dataOnly="0" labelOnly="1" outline="0" axis="axisRow" fieldPosition="0"/>
    </format>
    <format dxfId="1594">
      <pivotArea dataOnly="0" labelOnly="1" outline="0" axis="axisValues" fieldPosition="0"/>
    </format>
    <format dxfId="1593">
      <pivotArea dataOnly="0" labelOnly="1" fieldPosition="0">
        <references count="1">
          <reference field="7" count="0"/>
        </references>
      </pivotArea>
    </format>
    <format dxfId="1592">
      <pivotArea dataOnly="0" labelOnly="1" grandRow="1" outline="0" fieldPosition="0"/>
    </format>
    <format dxfId="1591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590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58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658">
      <pivotArea type="all" dataOnly="0" outline="0" fieldPosition="0"/>
    </format>
    <format dxfId="1657">
      <pivotArea outline="0" collapsedLevelsAreSubtotals="1" fieldPosition="0"/>
    </format>
    <format dxfId="1656">
      <pivotArea field="3" type="button" dataOnly="0" labelOnly="1" outline="0"/>
    </format>
    <format dxfId="1655">
      <pivotArea dataOnly="0" labelOnly="1" outline="0" axis="axisValues" fieldPosition="0"/>
    </format>
    <format dxfId="1654">
      <pivotArea dataOnly="0" labelOnly="1" grandRow="1" outline="0" fieldPosition="0"/>
    </format>
    <format dxfId="1653">
      <pivotArea dataOnly="0" labelOnly="1" outline="0" axis="axisValues" fieldPosition="0"/>
    </format>
    <format dxfId="1652">
      <pivotArea type="all" dataOnly="0" outline="0" fieldPosition="0"/>
    </format>
    <format dxfId="1651">
      <pivotArea outline="0" collapsedLevelsAreSubtotals="1" fieldPosition="0"/>
    </format>
    <format dxfId="1650">
      <pivotArea field="3" type="button" dataOnly="0" labelOnly="1" outline="0"/>
    </format>
    <format dxfId="1649">
      <pivotArea dataOnly="0" labelOnly="1" outline="0" axis="axisValues" fieldPosition="0"/>
    </format>
    <format dxfId="1648">
      <pivotArea dataOnly="0" labelOnly="1" grandRow="1" outline="0" fieldPosition="0"/>
    </format>
    <format dxfId="1647">
      <pivotArea dataOnly="0" labelOnly="1" outline="0" axis="axisValues" fieldPosition="0"/>
    </format>
    <format dxfId="1646">
      <pivotArea outline="0" collapsedLevelsAreSubtotals="1" fieldPosition="0"/>
    </format>
    <format dxfId="1645">
      <pivotArea type="all" dataOnly="0" outline="0" fieldPosition="0"/>
    </format>
    <format dxfId="1644">
      <pivotArea outline="0" collapsedLevelsAreSubtotals="1" fieldPosition="0"/>
    </format>
    <format dxfId="1643">
      <pivotArea field="3" type="button" dataOnly="0" labelOnly="1" outline="0"/>
    </format>
    <format dxfId="1642">
      <pivotArea dataOnly="0" labelOnly="1" outline="0" axis="axisValues" fieldPosition="0"/>
    </format>
    <format dxfId="1641">
      <pivotArea dataOnly="0" labelOnly="1" grandRow="1" outline="0" fieldPosition="0"/>
    </format>
    <format dxfId="1640">
      <pivotArea dataOnly="0" labelOnly="1" outline="0" axis="axisValues" fieldPosition="0"/>
    </format>
    <format dxfId="16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37">
      <pivotArea type="all" dataOnly="0" outline="0" fieldPosition="0"/>
    </format>
    <format dxfId="1636">
      <pivotArea outline="0" collapsedLevelsAreSubtotals="1" fieldPosition="0"/>
    </format>
    <format dxfId="1635">
      <pivotArea field="7" type="button" dataOnly="0" labelOnly="1" outline="0" axis="axisPage" fieldPosition="0"/>
    </format>
    <format dxfId="1634">
      <pivotArea dataOnly="0" labelOnly="1" fieldPosition="0">
        <references count="1">
          <reference field="7" count="0"/>
        </references>
      </pivotArea>
    </format>
    <format dxfId="1633">
      <pivotArea dataOnly="0" labelOnly="1" grandRow="1" outline="0" fieldPosition="0"/>
    </format>
    <format dxfId="16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31">
      <pivotArea type="all" dataOnly="0" outline="0" fieldPosition="0"/>
    </format>
    <format dxfId="1630">
      <pivotArea outline="0" collapsedLevelsAreSubtotals="1" fieldPosition="0"/>
    </format>
    <format dxfId="1629">
      <pivotArea field="7" type="button" dataOnly="0" labelOnly="1" outline="0" axis="axisPage" fieldPosition="0"/>
    </format>
    <format dxfId="1628">
      <pivotArea dataOnly="0" labelOnly="1" fieldPosition="0">
        <references count="1">
          <reference field="7" count="0"/>
        </references>
      </pivotArea>
    </format>
    <format dxfId="1627">
      <pivotArea dataOnly="0" labelOnly="1" grandRow="1" outline="0" fieldPosition="0"/>
    </format>
    <format dxfId="16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91">
      <pivotArea type="all" dataOnly="0" outline="0" fieldPosition="0"/>
    </format>
    <format dxfId="1690">
      <pivotArea outline="0" collapsedLevelsAreSubtotals="1" fieldPosition="0"/>
    </format>
    <format dxfId="1689">
      <pivotArea field="3" type="button" dataOnly="0" labelOnly="1" outline="0"/>
    </format>
    <format dxfId="1688">
      <pivotArea dataOnly="0" labelOnly="1" outline="0" axis="axisValues" fieldPosition="0"/>
    </format>
    <format dxfId="1687">
      <pivotArea dataOnly="0" labelOnly="1" grandRow="1" outline="0" fieldPosition="0"/>
    </format>
    <format dxfId="1686">
      <pivotArea dataOnly="0" labelOnly="1" outline="0" axis="axisValues" fieldPosition="0"/>
    </format>
    <format dxfId="1685">
      <pivotArea type="all" dataOnly="0" outline="0" fieldPosition="0"/>
    </format>
    <format dxfId="1684">
      <pivotArea outline="0" collapsedLevelsAreSubtotals="1" fieldPosition="0"/>
    </format>
    <format dxfId="1683">
      <pivotArea field="3" type="button" dataOnly="0" labelOnly="1" outline="0"/>
    </format>
    <format dxfId="1682">
      <pivotArea dataOnly="0" labelOnly="1" outline="0" axis="axisValues" fieldPosition="0"/>
    </format>
    <format dxfId="1681">
      <pivotArea dataOnly="0" labelOnly="1" grandRow="1" outline="0" fieldPosition="0"/>
    </format>
    <format dxfId="1680">
      <pivotArea dataOnly="0" labelOnly="1" outline="0" axis="axisValues" fieldPosition="0"/>
    </format>
    <format dxfId="1679">
      <pivotArea outline="0" collapsedLevelsAreSubtotals="1" fieldPosition="0"/>
    </format>
    <format dxfId="1678">
      <pivotArea type="all" dataOnly="0" outline="0" fieldPosition="0"/>
    </format>
    <format dxfId="1677">
      <pivotArea outline="0" collapsedLevelsAreSubtotals="1" fieldPosition="0"/>
    </format>
    <format dxfId="1676">
      <pivotArea field="3" type="button" dataOnly="0" labelOnly="1" outline="0"/>
    </format>
    <format dxfId="1675">
      <pivotArea dataOnly="0" labelOnly="1" outline="0" axis="axisValues" fieldPosition="0"/>
    </format>
    <format dxfId="1674">
      <pivotArea dataOnly="0" labelOnly="1" grandRow="1" outline="0" fieldPosition="0"/>
    </format>
    <format dxfId="1673">
      <pivotArea dataOnly="0" labelOnly="1" outline="0" axis="axisValues" fieldPosition="0"/>
    </format>
    <format dxfId="16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70">
      <pivotArea type="all" dataOnly="0" outline="0" fieldPosition="0"/>
    </format>
    <format dxfId="1669">
      <pivotArea outline="0" collapsedLevelsAreSubtotals="1" fieldPosition="0"/>
    </format>
    <format dxfId="1668">
      <pivotArea field="6" type="button" dataOnly="0" labelOnly="1" outline="0" axis="axisRow" fieldPosition="0"/>
    </format>
    <format dxfId="1667">
      <pivotArea dataOnly="0" labelOnly="1" fieldPosition="0">
        <references count="1">
          <reference field="6" count="0"/>
        </references>
      </pivotArea>
    </format>
    <format dxfId="1666">
      <pivotArea dataOnly="0" labelOnly="1" grandRow="1" outline="0" fieldPosition="0"/>
    </format>
    <format dxfId="16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64">
      <pivotArea type="all" dataOnly="0" outline="0" fieldPosition="0"/>
    </format>
    <format dxfId="1663">
      <pivotArea outline="0" collapsedLevelsAreSubtotals="1" fieldPosition="0"/>
    </format>
    <format dxfId="1662">
      <pivotArea field="6" type="button" dataOnly="0" labelOnly="1" outline="0" axis="axisRow" fieldPosition="0"/>
    </format>
    <format dxfId="1661">
      <pivotArea dataOnly="0" labelOnly="1" fieldPosition="0">
        <references count="1">
          <reference field="6" count="0"/>
        </references>
      </pivotArea>
    </format>
    <format dxfId="1660">
      <pivotArea dataOnly="0" labelOnly="1" grandRow="1" outline="0" fieldPosition="0"/>
    </format>
    <format dxfId="16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724">
      <pivotArea type="all" dataOnly="0" outline="0" fieldPosition="0"/>
    </format>
    <format dxfId="1723">
      <pivotArea outline="0" collapsedLevelsAreSubtotals="1" fieldPosition="0"/>
    </format>
    <format dxfId="1722">
      <pivotArea field="3" type="button" dataOnly="0" labelOnly="1" outline="0"/>
    </format>
    <format dxfId="1721">
      <pivotArea dataOnly="0" labelOnly="1" outline="0" axis="axisValues" fieldPosition="0"/>
    </format>
    <format dxfId="1720">
      <pivotArea dataOnly="0" labelOnly="1" grandRow="1" outline="0" fieldPosition="0"/>
    </format>
    <format dxfId="1719">
      <pivotArea dataOnly="0" labelOnly="1" outline="0" axis="axisValues" fieldPosition="0"/>
    </format>
    <format dxfId="1718">
      <pivotArea type="all" dataOnly="0" outline="0" fieldPosition="0"/>
    </format>
    <format dxfId="1717">
      <pivotArea outline="0" collapsedLevelsAreSubtotals="1" fieldPosition="0"/>
    </format>
    <format dxfId="1716">
      <pivotArea field="3" type="button" dataOnly="0" labelOnly="1" outline="0"/>
    </format>
    <format dxfId="1715">
      <pivotArea dataOnly="0" labelOnly="1" outline="0" axis="axisValues" fieldPosition="0"/>
    </format>
    <format dxfId="1714">
      <pivotArea dataOnly="0" labelOnly="1" grandRow="1" outline="0" fieldPosition="0"/>
    </format>
    <format dxfId="1713">
      <pivotArea dataOnly="0" labelOnly="1" outline="0" axis="axisValues" fieldPosition="0"/>
    </format>
    <format dxfId="1712">
      <pivotArea outline="0" collapsedLevelsAreSubtotals="1" fieldPosition="0"/>
    </format>
    <format dxfId="1711">
      <pivotArea type="all" dataOnly="0" outline="0" fieldPosition="0"/>
    </format>
    <format dxfId="1710">
      <pivotArea outline="0" collapsedLevelsAreSubtotals="1" fieldPosition="0"/>
    </format>
    <format dxfId="1709">
      <pivotArea field="3" type="button" dataOnly="0" labelOnly="1" outline="0"/>
    </format>
    <format dxfId="1708">
      <pivotArea dataOnly="0" labelOnly="1" outline="0" axis="axisValues" fieldPosition="0"/>
    </format>
    <format dxfId="1707">
      <pivotArea dataOnly="0" labelOnly="1" grandRow="1" outline="0" fieldPosition="0"/>
    </format>
    <format dxfId="1706">
      <pivotArea dataOnly="0" labelOnly="1" outline="0" axis="axisValues" fieldPosition="0"/>
    </format>
    <format dxfId="17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03">
      <pivotArea type="all" dataOnly="0" outline="0" fieldPosition="0"/>
    </format>
    <format dxfId="1702">
      <pivotArea outline="0" collapsedLevelsAreSubtotals="1" fieldPosition="0"/>
    </format>
    <format dxfId="1701">
      <pivotArea field="10" type="button" dataOnly="0" labelOnly="1" outline="0" axis="axisRow" fieldPosition="0"/>
    </format>
    <format dxfId="1700">
      <pivotArea dataOnly="0" labelOnly="1" fieldPosition="0">
        <references count="1">
          <reference field="10" count="0"/>
        </references>
      </pivotArea>
    </format>
    <format dxfId="1699">
      <pivotArea dataOnly="0" labelOnly="1" grandRow="1" outline="0" fieldPosition="0"/>
    </format>
    <format dxfId="16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97">
      <pivotArea type="all" dataOnly="0" outline="0" fieldPosition="0"/>
    </format>
    <format dxfId="1696">
      <pivotArea outline="0" collapsedLevelsAreSubtotals="1" fieldPosition="0"/>
    </format>
    <format dxfId="1695">
      <pivotArea field="10" type="button" dataOnly="0" labelOnly="1" outline="0" axis="axisRow" fieldPosition="0"/>
    </format>
    <format dxfId="1694">
      <pivotArea dataOnly="0" labelOnly="1" fieldPosition="0">
        <references count="1">
          <reference field="10" count="0"/>
        </references>
      </pivotArea>
    </format>
    <format dxfId="1693">
      <pivotArea dataOnly="0" labelOnly="1" grandRow="1" outline="0" fieldPosition="0"/>
    </format>
    <format dxfId="16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1436">
      <pivotArea outline="0" collapsedLevelsAreSubtotals="1" fieldPosition="0"/>
    </format>
    <format dxfId="1435">
      <pivotArea outline="0" collapsedLevelsAreSubtotals="1" fieldPosition="0"/>
    </format>
    <format dxfId="14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3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30">
      <pivotArea type="all" dataOnly="0" outline="0" fieldPosition="0"/>
    </format>
    <format dxfId="1429">
      <pivotArea outline="0" collapsedLevelsAreSubtotals="1" fieldPosition="0"/>
    </format>
    <format dxfId="1428">
      <pivotArea field="1" type="button" dataOnly="0" labelOnly="1" outline="0" axis="axisRow" fieldPosition="0"/>
    </format>
    <format dxfId="142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26">
      <pivotArea dataOnly="0" labelOnly="1" grandRow="1" outline="0" fieldPosition="0"/>
    </format>
    <format dxfId="14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24">
      <pivotArea type="all" dataOnly="0" outline="0" fieldPosition="0"/>
    </format>
    <format dxfId="1423">
      <pivotArea outline="0" collapsedLevelsAreSubtotals="1" fieldPosition="0"/>
    </format>
    <format dxfId="1422">
      <pivotArea field="1" type="button" dataOnly="0" labelOnly="1" outline="0" axis="axisRow" fieldPosition="0"/>
    </format>
    <format dxfId="142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20">
      <pivotArea dataOnly="0" labelOnly="1" grandRow="1" outline="0" fieldPosition="0"/>
    </format>
    <format dxfId="14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18">
      <pivotArea type="all" dataOnly="0" outline="0" fieldPosition="0"/>
    </format>
    <format dxfId="1417">
      <pivotArea outline="0" collapsedLevelsAreSubtotals="1" fieldPosition="0"/>
    </format>
    <format dxfId="1416">
      <pivotArea field="1" type="button" dataOnly="0" labelOnly="1" outline="0" axis="axisRow" fieldPosition="0"/>
    </format>
    <format dxfId="141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14">
      <pivotArea dataOnly="0" labelOnly="1" grandRow="1" outline="0" fieldPosition="0"/>
    </format>
    <format dxfId="1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12">
      <pivotArea type="all" dataOnly="0" outline="0" fieldPosition="0"/>
    </format>
    <format dxfId="1411">
      <pivotArea outline="0" collapsedLevelsAreSubtotals="1" fieldPosition="0"/>
    </format>
    <format dxfId="1410">
      <pivotArea field="1" type="button" dataOnly="0" labelOnly="1" outline="0" axis="axisRow" fieldPosition="0"/>
    </format>
    <format dxfId="140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08">
      <pivotArea dataOnly="0" labelOnly="1" grandRow="1" outline="0" fieldPosition="0"/>
    </format>
    <format dxfId="14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field="1" type="button" dataOnly="0" labelOnly="1" outline="0" axis="axisRow" fieldPosition="0"/>
    </format>
    <format dxfId="140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02">
      <pivotArea dataOnly="0" labelOnly="1" grandRow="1" outline="0" fieldPosition="0"/>
    </format>
    <format dxfId="14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00">
      <pivotArea type="all" dataOnly="0" outline="0" fieldPosition="0"/>
    </format>
    <format dxfId="1399">
      <pivotArea outline="0" collapsedLevelsAreSubtotals="1" fieldPosition="0"/>
    </format>
    <format dxfId="1398">
      <pivotArea field="1" type="button" dataOnly="0" labelOnly="1" outline="0" axis="axisRow" fieldPosition="0"/>
    </format>
    <format dxfId="139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96">
      <pivotArea dataOnly="0" labelOnly="1" grandRow="1" outline="0" fieldPosition="0"/>
    </format>
    <format dxfId="13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1465">
      <pivotArea outline="0" collapsedLevelsAreSubtotals="1" fieldPosition="0"/>
    </format>
    <format dxfId="1464">
      <pivotArea type="all" dataOnly="0" outline="0" fieldPosition="0"/>
    </format>
    <format dxfId="1463">
      <pivotArea outline="0" collapsedLevelsAreSubtotals="1" fieldPosition="0"/>
    </format>
    <format dxfId="1462">
      <pivotArea field="1" type="button" dataOnly="0" labelOnly="1" outline="0" axis="axisRow" fieldPosition="0"/>
    </format>
    <format dxfId="1461">
      <pivotArea dataOnly="0" labelOnly="1" outline="0" axis="axisValues" fieldPosition="0"/>
    </format>
    <format dxfId="146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59">
      <pivotArea dataOnly="0" labelOnly="1" grandRow="1" outline="0" fieldPosition="0"/>
    </format>
    <format dxfId="1458">
      <pivotArea dataOnly="0" labelOnly="1" outline="0" axis="axisValues" fieldPosition="0"/>
    </format>
    <format dxfId="1457">
      <pivotArea type="all" dataOnly="0" outline="0" fieldPosition="0"/>
    </format>
    <format dxfId="1456">
      <pivotArea outline="0" collapsedLevelsAreSubtotals="1" fieldPosition="0"/>
    </format>
    <format dxfId="1455">
      <pivotArea field="1" type="button" dataOnly="0" labelOnly="1" outline="0" axis="axisRow" fieldPosition="0"/>
    </format>
    <format dxfId="1454">
      <pivotArea dataOnly="0" labelOnly="1" outline="0" axis="axisValues" fieldPosition="0"/>
    </format>
    <format dxfId="145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1" type="button" dataOnly="0" labelOnly="1" outline="0" axis="axisRow" fieldPosition="0"/>
    </format>
    <format dxfId="1447">
      <pivotArea dataOnly="0" labelOnly="1" outline="0" axis="axisValues" fieldPosition="0"/>
    </format>
    <format dxfId="144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45">
      <pivotArea dataOnly="0" labelOnly="1" grandRow="1" outline="0" fieldPosition="0"/>
    </format>
    <format dxfId="1444">
      <pivotArea dataOnly="0" labelOnly="1" outline="0" axis="axisValues" fieldPosition="0"/>
    </format>
    <format dxfId="1443">
      <pivotArea type="all" dataOnly="0" outline="0" fieldPosition="0"/>
    </format>
    <format dxfId="1442">
      <pivotArea outline="0" collapsedLevelsAreSubtotals="1" fieldPosition="0"/>
    </format>
    <format dxfId="1441">
      <pivotArea field="1" type="button" dataOnly="0" labelOnly="1" outline="0" axis="axisRow" fieldPosition="0"/>
    </format>
    <format dxfId="1440">
      <pivotArea dataOnly="0" labelOnly="1" outline="0" axis="axisValues" fieldPosition="0"/>
    </format>
    <format dxfId="143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38">
      <pivotArea dataOnly="0" labelOnly="1" grandRow="1" outline="0" fieldPosition="0"/>
    </format>
    <format dxfId="1437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1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4"/>
        <i x="14"/>
        <i x="23"/>
        <i x="28"/>
        <i x="11"/>
        <i x="17"/>
        <i x="10"/>
        <i x="12"/>
        <i x="27"/>
        <i x="1"/>
        <i x="33"/>
        <i x="3" s="1"/>
        <i x="8"/>
        <i x="30"/>
        <i x="26"/>
        <i x="24"/>
        <i x="9"/>
        <i x="18"/>
        <i x="16"/>
        <i x="2"/>
        <i x="0"/>
        <i x="19"/>
        <i x="25"/>
        <i x="32"/>
        <i x="15"/>
        <i x="6"/>
        <i x="21"/>
        <i x="31"/>
        <i x="22"/>
        <i x="7"/>
        <i x="5"/>
        <i x="29"/>
        <i x="20"/>
        <i x="13"/>
        <i x="37" nd="1"/>
        <i x="36" nd="1"/>
        <i x="39" nd="1"/>
        <i x="35" nd="1"/>
        <i x="40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4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1" s="1" nd="1"/>
        <i x="402" s="1" nd="1"/>
        <i x="40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92" nd="1"/>
        <i x="36" nd="1"/>
        <i x="100" nd="1"/>
        <i x="54" nd="1"/>
        <i x="55" nd="1"/>
        <i x="76" nd="1"/>
        <i x="44" nd="1"/>
        <i x="97" nd="1"/>
        <i x="98" nd="1"/>
        <i x="96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3" nd="1"/>
        <i x="81" nd="1"/>
        <i x="43" nd="1"/>
        <i x="90" nd="1"/>
        <i x="89" nd="1"/>
        <i x="38" nd="1"/>
        <i x="101" nd="1"/>
        <i x="87" nd="1"/>
        <i x="79" nd="1"/>
        <i x="41" nd="1"/>
        <i x="102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94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886" totalsRowShown="0" headerRowDxfId="1745" dataDxfId="1744">
  <autoFilter ref="B2:T3886"/>
  <sortState ref="B3:R3093">
    <sortCondition ref="D3:D3093"/>
  </sortState>
  <tableColumns count="19">
    <tableColumn id="1" name="Evento / Mercado" dataDxfId="1743"/>
    <tableColumn id="17" name="Exchange" dataDxfId="1742"/>
    <tableColumn id="3" name="Data de liquidação" dataDxfId="1741"/>
    <tableColumn id="4" name="L/P Líquido" dataDxfId="1740"/>
    <tableColumn id="5" name="Comissão%" dataDxfId="1739"/>
    <tableColumn id="6" name="L/P Bruto" dataDxfId="1738">
      <calculatedColumnFormula>IF(E3&gt;0,E3/(1-F3),E3)</calculatedColumnFormula>
    </tableColumn>
    <tableColumn id="2" name="Método" dataDxfId="1737"/>
    <tableColumn id="7" name="Placar" dataDxfId="1736"/>
    <tableColumn id="8" name="Odd" dataDxfId="1735"/>
    <tableColumn id="9" name="Stake/Responsabilidade" dataDxfId="1734"/>
    <tableColumn id="10" name="Data" dataDxfId="1733">
      <calculatedColumnFormula>INT(base[[#This Row],[Data de liquidação]])</calculatedColumnFormula>
    </tableColumn>
    <tableColumn id="11" name="ComissãoR$" dataDxfId="1732">
      <calculatedColumnFormula>base[[#This Row],[L/P Bruto]]-base[[#This Row],[L/P Líquido]]</calculatedColumnFormula>
    </tableColumn>
    <tableColumn id="13" name="Stakes" dataDxfId="1731">
      <calculatedColumnFormula>base[[#This Row],[L/P Líquido]]/base[[#This Row],[Stake/Responsabilidade]]</calculatedColumnFormula>
    </tableColumn>
    <tableColumn id="12" name="Resultado_Binario" dataDxfId="1730">
      <calculatedColumnFormula>IF(base[[#This Row],[L/P Líquido]]&gt;0,1,0)</calculatedColumnFormula>
    </tableColumn>
    <tableColumn id="16" name="Campeonato" dataDxfId="1729"/>
    <tableColumn id="14" name="Casa" dataDxfId="1728">
      <calculatedColumnFormula>LEFT(base[[#This Row],[Evento / Mercado]],FIND("vs",base[[#This Row],[Evento / Mercado]])-2)</calculatedColumnFormula>
    </tableColumn>
    <tableColumn id="15" name="Visitante" dataDxfId="1727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726">
      <calculatedColumnFormula>LEFT(base[[#This Row],[Evento / Mercado]],FIND("/",base[[#This Row],[Evento / Mercado]])-2)</calculatedColumnFormula>
    </tableColumn>
    <tableColumn id="19" name="Horário" dataDxfId="1725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522" dataDxfId="1521">
  <autoFilter ref="B7:P248"/>
  <tableColumns count="15">
    <tableColumn id="1" name="Data" dataDxfId="1520"/>
    <tableColumn id="2" name="Jogo" dataDxfId="1519"/>
    <tableColumn id="3" name="Odd Casa Ataque" dataDxfId="1518"/>
    <tableColumn id="4" name="Stake Casa Ataque" dataDxfId="1517"/>
    <tableColumn id="5" name="Odd Fulltbet" dataDxfId="1516"/>
    <tableColumn id="6" name="Stake Fulltbet" dataDxfId="1515"/>
    <tableColumn id="7" name="Resultado Fulltbet" dataDxfId="1514"/>
    <tableColumn id="8" name="Casa Ataque" dataDxfId="1513"/>
    <tableColumn id="9" name="Lucro Fulltbet" dataDxfId="1512">
      <calculatedColumnFormula>IF(H8="Ganhou",(F8-1)*G8,-G8)</calculatedColumnFormula>
    </tableColumn>
    <tableColumn id="10" name="Lucro Casa Ataque" dataDxfId="1511">
      <calculatedColumnFormula>IF(H8="Perdeu",(D8-1)*E8,-E8)</calculatedColumnFormula>
    </tableColumn>
    <tableColumn id="11" name="Comissão Casa Ataque" dataDxfId="1510">
      <calculatedColumnFormula>IF(H8="Perdeu",-K8*0.028,0)</calculatedColumnFormula>
    </tableColumn>
    <tableColumn id="12" name="Lucro Líquido Casa Ataque" dataDxfId="1509">
      <calculatedColumnFormula>SUM(K8:L8)</calculatedColumnFormula>
    </tableColumn>
    <tableColumn id="13" name="Resultado" dataDxfId="1508">
      <calculatedColumnFormula>SUM(J8:L8)</calculatedColumnFormula>
    </tableColumn>
    <tableColumn id="14" name="ROI" dataDxfId="1507" dataCellStyle="Porcentagem">
      <calculatedColumnFormula>IFERROR(N8/SUM(G8,E8),"")</calculatedColumnFormula>
    </tableColumn>
    <tableColumn id="15" name="Proporção Stakes" dataDxfId="1506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505" dataDxfId="1504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503"/>
    <tableColumn id="14" name="Horário" dataDxfId="1502"/>
    <tableColumn id="2" name="Time 1" dataDxfId="1501"/>
    <tableColumn id="3" name="Time 2" dataDxfId="1500"/>
    <tableColumn id="4" name="Surebet / Simples" dataDxfId="1499"/>
    <tableColumn id="5" name="Casa 1" dataDxfId="1498"/>
    <tableColumn id="6" name="Odd 1" dataDxfId="1497"/>
    <tableColumn id="7" name="Valor Casa 1" dataDxfId="1496"/>
    <tableColumn id="17" name="Resultado Casa 1" dataDxfId="1495"/>
    <tableColumn id="19" name="L/P Casa 1" dataDxfId="1494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493"/>
    <tableColumn id="9" name="Odd 2" dataDxfId="1492"/>
    <tableColumn id="10" name="Valor Casa 2" dataDxfId="1491"/>
    <tableColumn id="18" name="Resultado Casa 2" dataDxfId="1490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489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488"/>
    <tableColumn id="13" name="Lucro Provisório" dataDxfId="1487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1486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1485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1484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1483" dataDxfId="1482">
  <autoFilter ref="B5:Q46"/>
  <tableColumns count="16">
    <tableColumn id="1" name="Data" dataDxfId="1481"/>
    <tableColumn id="2" name="Jogo" dataDxfId="1480"/>
    <tableColumn id="3" name="Mercado Casa B" dataDxfId="1479"/>
    <tableColumn id="4" name="Rodada" dataDxfId="1478"/>
    <tableColumn id="5" name="Stake Fullbet" dataDxfId="1477"/>
    <tableColumn id="6" name="Odd Fulltbet" dataDxfId="1476"/>
    <tableColumn id="7" name="Odd Casa B" dataDxfId="1475"/>
    <tableColumn id="8" name="ROI" dataDxfId="1474" dataCellStyle="Porcentagem">
      <calculatedColumnFormula>(G6-1-G6/H6)/(1+G6/H6)</calculatedColumnFormula>
    </tableColumn>
    <tableColumn id="9" name="Stake Casa B Calculada" dataDxfId="1473">
      <calculatedColumnFormula>F6*(G6-1)</calculatedColumnFormula>
    </tableColumn>
    <tableColumn id="10" name="Gestão Casa B" dataDxfId="1472" dataCellStyle="Porcentagem">
      <calculatedColumnFormula>J6/$H$3</calculatedColumnFormula>
    </tableColumn>
    <tableColumn id="11" name="Stake Casa B Real" dataDxfId="1471"/>
    <tableColumn id="12" name="Custo Entrada" dataDxfId="1470"/>
    <tableColumn id="13" name="Resultado Casa B" dataDxfId="1469"/>
    <tableColumn id="14" name="L/P Casa B" dataDxfId="1468">
      <calculatedColumnFormula>IF(N6="Red",-L6,IF(N6="",0,L6*(H6-1)))</calculatedColumnFormula>
    </tableColumn>
    <tableColumn id="15" name="L/P Final" dataDxfId="1467">
      <calculatedColumnFormula>O6-M6</calculatedColumnFormula>
    </tableColumn>
    <tableColumn id="16" name="Divisão" dataDxfId="1466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394" dataDxfId="1393">
  <autoFilter ref="B4:E656"/>
  <tableColumns count="4">
    <tableColumn id="1" name="Data" dataDxfId="1392"/>
    <tableColumn id="2" name="Odd" dataDxfId="1391"/>
    <tableColumn id="3" name="Resultado" dataDxfId="1390"/>
    <tableColumn id="4" name="LP" dataDxfId="1389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2:29:0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6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 x14ac:dyDescent="0.25"/>
  <cols>
    <col min="1" max="16384" width="8.796875" style="42"/>
  </cols>
  <sheetData>
    <row r="1" ht="13.2" x14ac:dyDescent="0.25"/>
    <row r="2" ht="13.2" x14ac:dyDescent="0.25"/>
    <row r="3" ht="13.2" x14ac:dyDescent="0.25"/>
    <row r="4" ht="13.2" x14ac:dyDescent="0.25"/>
    <row r="5" ht="13.2" x14ac:dyDescent="0.25"/>
    <row r="6" ht="13.2" x14ac:dyDescent="0.25"/>
    <row r="7" ht="13.2" x14ac:dyDescent="0.25"/>
    <row r="8" ht="13.2" x14ac:dyDescent="0.25"/>
    <row r="9" ht="13.2" x14ac:dyDescent="0.25"/>
    <row r="10" ht="13.2" x14ac:dyDescent="0.25"/>
    <row r="11" ht="13.2" x14ac:dyDescent="0.25"/>
    <row r="12" ht="13.2" x14ac:dyDescent="0.25"/>
    <row r="13" ht="13.2" x14ac:dyDescent="0.25"/>
    <row r="14" ht="13.2" x14ac:dyDescent="0.25"/>
    <row r="15" ht="13.2" x14ac:dyDescent="0.25"/>
    <row r="16" ht="13.2" x14ac:dyDescent="0.25"/>
    <row r="17" ht="13.2" x14ac:dyDescent="0.25"/>
    <row r="18" ht="13.2" x14ac:dyDescent="0.25"/>
    <row r="19" ht="13.2" x14ac:dyDescent="0.25"/>
    <row r="20" ht="13.2" x14ac:dyDescent="0.25"/>
    <row r="21" ht="13.2" x14ac:dyDescent="0.25"/>
    <row r="22" ht="13.2" x14ac:dyDescent="0.25"/>
    <row r="23" ht="13.2" x14ac:dyDescent="0.25"/>
    <row r="24" ht="13.2" x14ac:dyDescent="0.25"/>
    <row r="25" ht="13.2" x14ac:dyDescent="0.25"/>
    <row r="26" ht="13.2" x14ac:dyDescent="0.25"/>
    <row r="27" ht="13.2" x14ac:dyDescent="0.25"/>
    <row r="28" ht="13.2" x14ac:dyDescent="0.25"/>
    <row r="29" ht="13.2" x14ac:dyDescent="0.25"/>
    <row r="30" ht="13.2" x14ac:dyDescent="0.25"/>
    <row r="31" ht="13.2" x14ac:dyDescent="0.25"/>
    <row r="32" ht="13.2" x14ac:dyDescent="0.25"/>
    <row r="33" ht="13.2" x14ac:dyDescent="0.25"/>
    <row r="34" ht="13.2" x14ac:dyDescent="0.25"/>
    <row r="35" ht="13.2" x14ac:dyDescent="0.25"/>
    <row r="36" ht="13.2" x14ac:dyDescent="0.25"/>
    <row r="37" ht="13.2" x14ac:dyDescent="0.25"/>
    <row r="38" ht="13.2" x14ac:dyDescent="0.25"/>
    <row r="39" ht="13.2" x14ac:dyDescent="0.25"/>
    <row r="40" ht="13.2" x14ac:dyDescent="0.25"/>
    <row r="41" ht="13.2" x14ac:dyDescent="0.25"/>
    <row r="42" ht="13.2" x14ac:dyDescent="0.25"/>
    <row r="43" ht="13.2" x14ac:dyDescent="0.25"/>
    <row r="44" ht="13.2" x14ac:dyDescent="0.25"/>
    <row r="45" ht="13.2" x14ac:dyDescent="0.25"/>
    <row r="46" ht="13.2" x14ac:dyDescent="0.25"/>
    <row r="47" ht="13.2" x14ac:dyDescent="0.25"/>
    <row r="48" ht="13.2" x14ac:dyDescent="0.25"/>
    <row r="49" ht="13.2" x14ac:dyDescent="0.25"/>
    <row r="50" ht="13.2" x14ac:dyDescent="0.25"/>
    <row r="51" ht="13.2" x14ac:dyDescent="0.25"/>
    <row r="52" ht="13.2" x14ac:dyDescent="0.25"/>
    <row r="53" ht="13.2" x14ac:dyDescent="0.25"/>
    <row r="54" ht="13.2" x14ac:dyDescent="0.25"/>
    <row r="55" ht="13.2" x14ac:dyDescent="0.25"/>
    <row r="56" ht="13.2" x14ac:dyDescent="0.25"/>
    <row r="57" ht="13.2" x14ac:dyDescent="0.25"/>
    <row r="58" ht="13.2" x14ac:dyDescent="0.25"/>
    <row r="59" ht="13.2" x14ac:dyDescent="0.25"/>
    <row r="60" ht="13.2" x14ac:dyDescent="0.25"/>
    <row r="61" ht="13.2" x14ac:dyDescent="0.25"/>
    <row r="62" ht="13.2" x14ac:dyDescent="0.25"/>
    <row r="63" ht="13.2" x14ac:dyDescent="0.25"/>
    <row r="64" ht="13.2" x14ac:dyDescent="0.25"/>
    <row r="65" ht="13.2" x14ac:dyDescent="0.25"/>
    <row r="66" ht="13.2" x14ac:dyDescent="0.25"/>
    <row r="67" ht="13.2" x14ac:dyDescent="0.25"/>
    <row r="68" ht="13.2" x14ac:dyDescent="0.25"/>
    <row r="69" ht="13.2" x14ac:dyDescent="0.25"/>
    <row r="70" ht="13.2" x14ac:dyDescent="0.25"/>
    <row r="71" ht="13.2" x14ac:dyDescent="0.25"/>
    <row r="72" ht="13.2" x14ac:dyDescent="0.25"/>
    <row r="73" ht="13.2" x14ac:dyDescent="0.25"/>
    <row r="74" ht="13.2" x14ac:dyDescent="0.25"/>
    <row r="75" ht="13.2" x14ac:dyDescent="0.25"/>
    <row r="76" ht="13.2" x14ac:dyDescent="0.25"/>
    <row r="77" ht="13.2" x14ac:dyDescent="0.25"/>
    <row r="78" ht="13.2" x14ac:dyDescent="0.25"/>
    <row r="79" ht="13.2" x14ac:dyDescent="0.25"/>
    <row r="80" ht="13.2" x14ac:dyDescent="0.25"/>
    <row r="81" ht="13.2" x14ac:dyDescent="0.25"/>
    <row r="82" ht="13.2" x14ac:dyDescent="0.25"/>
    <row r="83" ht="13.2" x14ac:dyDescent="0.25"/>
    <row r="84" ht="13.2" x14ac:dyDescent="0.25"/>
    <row r="85" ht="13.2" x14ac:dyDescent="0.25"/>
    <row r="86" ht="13.2" x14ac:dyDescent="0.25"/>
    <row r="87" ht="13.2" x14ac:dyDescent="0.25"/>
    <row r="88" ht="13.2" x14ac:dyDescent="0.25"/>
    <row r="89" ht="13.2" x14ac:dyDescent="0.25"/>
    <row r="90" ht="13.2" x14ac:dyDescent="0.25"/>
    <row r="91" ht="13.2" x14ac:dyDescent="0.25"/>
    <row r="92" ht="13.2" x14ac:dyDescent="0.25"/>
    <row r="93" ht="13.2" x14ac:dyDescent="0.25"/>
    <row r="94" ht="13.2" x14ac:dyDescent="0.25"/>
    <row r="9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 x14ac:dyDescent="0.25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 x14ac:dyDescent="0.25">
      <c r="B2" s="1386" t="s">
        <v>3</v>
      </c>
      <c r="C2" s="1387" t="s">
        <v>1648</v>
      </c>
    </row>
    <row r="4" spans="2:12" ht="13.2" x14ac:dyDescent="0.25">
      <c r="B4" s="1386" t="s">
        <v>266</v>
      </c>
      <c r="C4" s="1387" t="s">
        <v>3975</v>
      </c>
      <c r="D4" s="1387" t="s">
        <v>1741</v>
      </c>
      <c r="E4" s="1387" t="s">
        <v>385</v>
      </c>
      <c r="F4" s="1387" t="s">
        <v>839</v>
      </c>
      <c r="G4" s="1387" t="s">
        <v>1786</v>
      </c>
      <c r="H4" s="1387" t="s">
        <v>1787</v>
      </c>
      <c r="I4" s="1387" t="s">
        <v>1791</v>
      </c>
      <c r="J4" s="389" t="s">
        <v>1788</v>
      </c>
      <c r="K4" s="389" t="s">
        <v>1789</v>
      </c>
      <c r="L4" s="389" t="s">
        <v>1790</v>
      </c>
    </row>
    <row r="5" spans="2:12" ht="13.2" x14ac:dyDescent="0.25">
      <c r="B5" s="1390" t="s">
        <v>2277</v>
      </c>
      <c r="C5" s="1377">
        <v>50</v>
      </c>
      <c r="D5" s="1375">
        <v>-8.9270157068062694</v>
      </c>
      <c r="E5" s="1375">
        <v>-19.953499999999988</v>
      </c>
      <c r="F5" s="1375">
        <v>1.0694000000000004</v>
      </c>
      <c r="G5" s="1375">
        <v>1.5274000000000001</v>
      </c>
      <c r="H5" s="1389">
        <v>-2.7753282519194372E-2</v>
      </c>
      <c r="I5" s="1389">
        <v>0.68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 x14ac:dyDescent="0.25">
      <c r="B6" s="1390" t="s">
        <v>2537</v>
      </c>
      <c r="C6" s="1377">
        <v>9</v>
      </c>
      <c r="D6" s="1375">
        <v>-1.0581675392670151</v>
      </c>
      <c r="E6" s="1375">
        <v>-1.3705499999999997</v>
      </c>
      <c r="F6" s="1375">
        <v>-0.68527499999999986</v>
      </c>
      <c r="G6" s="1375">
        <v>1.73</v>
      </c>
      <c r="H6" s="1389">
        <v>-7.6141666666666649E-2</v>
      </c>
      <c r="I6" s="1389">
        <v>0.55555555555555558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 x14ac:dyDescent="0.25">
      <c r="B7" s="1390" t="s">
        <v>1740</v>
      </c>
      <c r="C7" s="1377">
        <v>23</v>
      </c>
      <c r="D7" s="1375">
        <v>-9.7172774869109926</v>
      </c>
      <c r="E7" s="1375">
        <v>-10.54</v>
      </c>
      <c r="F7" s="1375">
        <v>-5.2302083333333318</v>
      </c>
      <c r="G7" s="1375">
        <v>2.09</v>
      </c>
      <c r="H7" s="1389">
        <v>-0.22952961672473865</v>
      </c>
      <c r="I7" s="1389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 x14ac:dyDescent="0.25">
      <c r="B8" s="1390" t="s">
        <v>1738</v>
      </c>
      <c r="C8" s="1377">
        <v>33</v>
      </c>
      <c r="D8" s="1375">
        <v>-10.555287958115183</v>
      </c>
      <c r="E8" s="1375">
        <v>-11.790300000000002</v>
      </c>
      <c r="F8" s="1375">
        <v>-5.883129797979799</v>
      </c>
      <c r="G8" s="1375">
        <v>1.9912121212121214</v>
      </c>
      <c r="H8" s="1389">
        <v>-0.17869505910882091</v>
      </c>
      <c r="I8" s="1389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 x14ac:dyDescent="0.25">
      <c r="B9" s="1390" t="s">
        <v>2854</v>
      </c>
      <c r="C9" s="1377">
        <v>63</v>
      </c>
      <c r="D9" s="1375">
        <v>-9.0452879581151748</v>
      </c>
      <c r="E9" s="1375">
        <v>-14.173250000000003</v>
      </c>
      <c r="F9" s="1375">
        <v>-2.7326499999999996</v>
      </c>
      <c r="G9" s="1375">
        <v>1.7058730158730162</v>
      </c>
      <c r="H9" s="1389">
        <v>-5.0259751773049657E-2</v>
      </c>
      <c r="I9" s="1389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 x14ac:dyDescent="0.25">
      <c r="B10" s="1390" t="s">
        <v>2337</v>
      </c>
      <c r="C10" s="1377">
        <v>26</v>
      </c>
      <c r="D10" s="1375">
        <v>0.26884816753926533</v>
      </c>
      <c r="E10" s="1375">
        <v>-0.28324999999999978</v>
      </c>
      <c r="F10" s="1375">
        <v>0.32267499999999982</v>
      </c>
      <c r="G10" s="1375">
        <v>1.1015384615384614</v>
      </c>
      <c r="H10" s="1389">
        <v>-1.9670138888888875E-3</v>
      </c>
      <c r="I10" s="1389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 x14ac:dyDescent="0.25">
      <c r="B11" s="1390" t="s">
        <v>1647</v>
      </c>
      <c r="C11" s="1377">
        <v>35</v>
      </c>
      <c r="D11" s="1375">
        <v>-3.0106282722513051</v>
      </c>
      <c r="E11" s="1375">
        <v>-6.129999999999999</v>
      </c>
      <c r="F11" s="1375">
        <v>0.12400000000000055</v>
      </c>
      <c r="G11" s="1375">
        <v>2.2642857142857133</v>
      </c>
      <c r="H11" s="1389">
        <v>-3.7378048780487796E-2</v>
      </c>
      <c r="I11" s="1389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 x14ac:dyDescent="0.25">
      <c r="B12" s="1390" t="s">
        <v>2338</v>
      </c>
      <c r="C12" s="1377">
        <v>17</v>
      </c>
      <c r="D12" s="1375">
        <v>-7.9133992987175166</v>
      </c>
      <c r="E12" s="1375">
        <v>-8.34</v>
      </c>
      <c r="F12" s="1375">
        <v>-4.2650000000000006</v>
      </c>
      <c r="G12" s="1375">
        <v>4.6647058823529415</v>
      </c>
      <c r="H12" s="1389">
        <v>-0.24667258207630877</v>
      </c>
      <c r="I12" s="1389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 x14ac:dyDescent="0.25">
      <c r="B13" s="1390" t="s">
        <v>1543</v>
      </c>
      <c r="C13" s="1377">
        <v>224</v>
      </c>
      <c r="D13" s="1375">
        <v>-10.514816753926654</v>
      </c>
      <c r="E13" s="1375">
        <v>-41.210000000000129</v>
      </c>
      <c r="F13" s="1375">
        <v>7.8835781777518692</v>
      </c>
      <c r="G13" s="1375">
        <v>9.2225892857142835</v>
      </c>
      <c r="H13" s="1389">
        <v>-2.355153219261857E-2</v>
      </c>
      <c r="I13" s="1389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 x14ac:dyDescent="0.25">
      <c r="B14" s="1390" t="s">
        <v>2920</v>
      </c>
      <c r="C14" s="1377">
        <v>19</v>
      </c>
      <c r="D14" s="1375">
        <v>-164.9350261780105</v>
      </c>
      <c r="E14" s="1375">
        <v>-168.81739999999999</v>
      </c>
      <c r="F14" s="1375">
        <v>-3.3479177745386086</v>
      </c>
      <c r="G14" s="1375">
        <v>9.189473684210526</v>
      </c>
      <c r="H14" s="1389">
        <v>-0.17757915553405001</v>
      </c>
      <c r="I14" s="1389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 x14ac:dyDescent="0.25">
      <c r="B15" s="1390" t="s">
        <v>2919</v>
      </c>
      <c r="C15" s="1377">
        <v>39</v>
      </c>
      <c r="D15" s="1375">
        <v>107.58026178010473</v>
      </c>
      <c r="E15" s="1375">
        <v>97.259050000000002</v>
      </c>
      <c r="F15" s="1375">
        <v>2.092878968033681</v>
      </c>
      <c r="G15" s="1375">
        <v>10.082051282051282</v>
      </c>
      <c r="H15" s="1389">
        <v>4.6028892569805975E-2</v>
      </c>
      <c r="I15" s="1389">
        <v>0.94871794871794868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 x14ac:dyDescent="0.25">
      <c r="B16" s="1390" t="s">
        <v>2921</v>
      </c>
      <c r="C16" s="1377">
        <v>13</v>
      </c>
      <c r="D16" s="1375">
        <v>-5.7905759162303658</v>
      </c>
      <c r="E16" s="1375">
        <v>-5.9799999999999995</v>
      </c>
      <c r="F16" s="1375">
        <v>-1.0309999999999997</v>
      </c>
      <c r="G16" s="1375">
        <v>1.2461538461538462</v>
      </c>
      <c r="H16" s="1389">
        <v>-0.10678571428571428</v>
      </c>
      <c r="I16" s="1389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 x14ac:dyDescent="0.25">
      <c r="B17" s="1390" t="s">
        <v>1699</v>
      </c>
      <c r="C17" s="1377">
        <v>44</v>
      </c>
      <c r="D17" s="1375">
        <v>5.3654973821989405</v>
      </c>
      <c r="E17" s="1375">
        <v>-1.3172500000000005</v>
      </c>
      <c r="F17" s="1375">
        <v>-8.2642525034007125E-2</v>
      </c>
      <c r="G17" s="1375">
        <v>11.34909090909091</v>
      </c>
      <c r="H17" s="1389">
        <v>-7.7117850242960028E-4</v>
      </c>
      <c r="I17" s="1389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 x14ac:dyDescent="0.25">
      <c r="B18" s="1390" t="s">
        <v>1697</v>
      </c>
      <c r="C18" s="1377">
        <v>133</v>
      </c>
      <c r="D18" s="1375">
        <v>-119.1501047120418</v>
      </c>
      <c r="E18" s="1375">
        <v>-136.55609999999996</v>
      </c>
      <c r="F18" s="1375">
        <v>0.39007825383179201</v>
      </c>
      <c r="G18" s="1375">
        <v>21.408646616541354</v>
      </c>
      <c r="H18" s="1389">
        <v>-1.7356700810790545E-2</v>
      </c>
      <c r="I18" s="1389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 x14ac:dyDescent="0.25">
      <c r="B19" s="1390" t="s">
        <v>1700</v>
      </c>
      <c r="C19" s="1377">
        <v>14</v>
      </c>
      <c r="D19" s="1375">
        <v>-6.4263350785340281</v>
      </c>
      <c r="E19" s="1375">
        <v>-6.8395999999999972</v>
      </c>
      <c r="F19" s="1375">
        <v>0.11180093288071344</v>
      </c>
      <c r="G19" s="1375">
        <v>3.5642857142857136</v>
      </c>
      <c r="H19" s="1389">
        <v>-3.246594199458868E-2</v>
      </c>
      <c r="I19" s="1389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 x14ac:dyDescent="0.25">
      <c r="B20" s="1390" t="s">
        <v>2207</v>
      </c>
      <c r="C20" s="1377">
        <v>10</v>
      </c>
      <c r="D20" s="1375">
        <v>-7.1578534031413605</v>
      </c>
      <c r="E20" s="1375">
        <v>-7.3599999999999994</v>
      </c>
      <c r="F20" s="1375">
        <v>-0.73599999999999977</v>
      </c>
      <c r="G20" s="1375">
        <v>1.8679999999999999</v>
      </c>
      <c r="H20" s="1389">
        <v>-7.3599999999999999E-2</v>
      </c>
      <c r="I20" s="1389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 x14ac:dyDescent="0.25">
      <c r="B21" s="1390" t="s">
        <v>1774</v>
      </c>
      <c r="C21" s="1377">
        <v>35</v>
      </c>
      <c r="D21" s="1375">
        <v>-10.007748691099476</v>
      </c>
      <c r="E21" s="1375">
        <v>-11.087399999999999</v>
      </c>
      <c r="F21" s="1375">
        <v>-5.5436999999999994</v>
      </c>
      <c r="G21" s="1375">
        <v>1.6742857142857146</v>
      </c>
      <c r="H21" s="1389">
        <v>-0.15839142857142854</v>
      </c>
      <c r="I21" s="1389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 x14ac:dyDescent="0.25">
      <c r="B22" s="1390" t="s">
        <v>1739</v>
      </c>
      <c r="C22" s="1377">
        <v>120</v>
      </c>
      <c r="D22" s="1375">
        <v>219.79759162303662</v>
      </c>
      <c r="E22" s="1375">
        <v>194.75339999999997</v>
      </c>
      <c r="F22" s="1375">
        <v>2.4393972047378822</v>
      </c>
      <c r="G22" s="1375">
        <v>21.891749999999998</v>
      </c>
      <c r="H22" s="1389">
        <v>1.9266910561545201E-2</v>
      </c>
      <c r="I22" s="1389">
        <v>0.96666666666666667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 x14ac:dyDescent="0.25">
      <c r="B23" s="1390" t="s">
        <v>1756</v>
      </c>
      <c r="C23" s="1377">
        <v>31</v>
      </c>
      <c r="D23" s="1375">
        <v>-34.778219895287954</v>
      </c>
      <c r="E23" s="1375">
        <v>-42.445400000000006</v>
      </c>
      <c r="F23" s="1375">
        <v>-0.16024369539091321</v>
      </c>
      <c r="G23" s="1375">
        <v>2.5438709677419356</v>
      </c>
      <c r="H23" s="1389">
        <v>-9.5468735942420169E-2</v>
      </c>
      <c r="I23" s="1389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 x14ac:dyDescent="0.25">
      <c r="B24" s="1390" t="s">
        <v>1645</v>
      </c>
      <c r="C24" s="1377">
        <v>51</v>
      </c>
      <c r="D24" s="1375">
        <v>-31.429319371727747</v>
      </c>
      <c r="E24" s="1375">
        <v>-34.290000000000006</v>
      </c>
      <c r="F24" s="1375">
        <v>-0.7453333333333334</v>
      </c>
      <c r="G24" s="1375">
        <v>1.4664705882352937</v>
      </c>
      <c r="H24" s="1389">
        <v>-8.4250614250614267E-2</v>
      </c>
      <c r="I24" s="1389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 x14ac:dyDescent="0.25">
      <c r="B25" s="1390" t="s">
        <v>1698</v>
      </c>
      <c r="C25" s="1377">
        <v>20</v>
      </c>
      <c r="D25" s="1375">
        <v>-0.43554973821989185</v>
      </c>
      <c r="E25" s="1375">
        <v>-1.4999999999999976</v>
      </c>
      <c r="F25" s="1375">
        <v>-0.12234641548927228</v>
      </c>
      <c r="G25" s="1375">
        <v>2.1914999999999996</v>
      </c>
      <c r="H25" s="1389">
        <v>-1.8752344043005346E-2</v>
      </c>
      <c r="I25" s="1389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 x14ac:dyDescent="0.25">
      <c r="B26" s="1390" t="s">
        <v>3296</v>
      </c>
      <c r="C26" s="1377">
        <v>23</v>
      </c>
      <c r="D26" s="1375">
        <v>9.4240837696336399E-2</v>
      </c>
      <c r="E26" s="1375">
        <v>-0.71999999999999953</v>
      </c>
      <c r="F26" s="1375">
        <v>-0.35999999999999976</v>
      </c>
      <c r="G26" s="1375">
        <v>1.6604347826086958</v>
      </c>
      <c r="H26" s="1389">
        <v>-1.5652173913043469E-2</v>
      </c>
      <c r="I26" s="1389">
        <v>0.60869565217391308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 x14ac:dyDescent="0.25">
      <c r="B27" s="1390" t="s">
        <v>2307</v>
      </c>
      <c r="C27" s="1377">
        <v>34</v>
      </c>
      <c r="D27" s="1375">
        <v>-43.963350785340324</v>
      </c>
      <c r="E27" s="1375">
        <v>-47.384999999999991</v>
      </c>
      <c r="F27" s="1375">
        <v>-0.58592857142857191</v>
      </c>
      <c r="G27" s="1375">
        <v>1.0458823529411765</v>
      </c>
      <c r="H27" s="1389">
        <v>-2.692329545454545E-2</v>
      </c>
      <c r="I27" s="1389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 x14ac:dyDescent="0.25">
      <c r="B28" s="1388" t="s">
        <v>267</v>
      </c>
      <c r="C28" s="1377">
        <v>1066</v>
      </c>
      <c r="D28" s="1375">
        <v>-151.70952495316763</v>
      </c>
      <c r="E28" s="1375">
        <v>-286.0765500000004</v>
      </c>
      <c r="F28" s="1375">
        <v>-17.07756690929196</v>
      </c>
      <c r="G28" s="1375">
        <v>8.9328048780487777</v>
      </c>
      <c r="H28" s="1389">
        <v>-9.8158729603201808E-3</v>
      </c>
      <c r="I28" s="1389">
        <v>0.69793621013133211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 x14ac:dyDescent="0.25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 x14ac:dyDescent="0.25">
      <c r="B2" s="381" t="s">
        <v>1782</v>
      </c>
      <c r="C2" s="381" t="s">
        <v>1783</v>
      </c>
      <c r="D2" s="381" t="s">
        <v>1784</v>
      </c>
      <c r="E2" s="381" t="s">
        <v>81</v>
      </c>
      <c r="F2" s="381" t="s">
        <v>255</v>
      </c>
      <c r="G2" s="381" t="s">
        <v>1785</v>
      </c>
      <c r="H2" s="381" t="s">
        <v>1757</v>
      </c>
      <c r="I2" s="381" t="s">
        <v>1781</v>
      </c>
      <c r="J2" s="381" t="s">
        <v>263</v>
      </c>
      <c r="K2" s="381" t="s">
        <v>1758</v>
      </c>
      <c r="L2" s="381" t="s">
        <v>156</v>
      </c>
      <c r="M2" s="381" t="s">
        <v>4</v>
      </c>
    </row>
    <row r="3" spans="2:13" ht="19.95" customHeight="1" x14ac:dyDescent="0.25">
      <c r="B3" s="382" t="s">
        <v>2277</v>
      </c>
      <c r="C3" s="382" t="s">
        <v>1759</v>
      </c>
      <c r="D3" s="382" t="s">
        <v>1760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2993</v>
      </c>
    </row>
    <row r="4" spans="2:13" ht="19.95" customHeight="1" x14ac:dyDescent="0.25">
      <c r="B4" s="382" t="s">
        <v>1740</v>
      </c>
      <c r="C4" s="382" t="s">
        <v>1759</v>
      </c>
      <c r="D4" s="382" t="s">
        <v>1760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1761</v>
      </c>
    </row>
    <row r="5" spans="2:13" ht="19.95" customHeight="1" x14ac:dyDescent="0.25">
      <c r="B5" s="382" t="s">
        <v>1738</v>
      </c>
      <c r="C5" s="382" t="s">
        <v>1759</v>
      </c>
      <c r="D5" s="382" t="s">
        <v>1762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1763</v>
      </c>
    </row>
    <row r="6" spans="2:13" ht="19.95" customHeight="1" x14ac:dyDescent="0.25">
      <c r="B6" s="382" t="s">
        <v>2854</v>
      </c>
      <c r="C6" s="382" t="s">
        <v>1759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2994</v>
      </c>
    </row>
    <row r="7" spans="2:13" ht="19.95" customHeight="1" x14ac:dyDescent="0.25">
      <c r="B7" s="382" t="s">
        <v>2337</v>
      </c>
      <c r="C7" s="382" t="s">
        <v>1759</v>
      </c>
      <c r="D7" s="382" t="s">
        <v>1760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2995</v>
      </c>
    </row>
    <row r="8" spans="2:13" ht="19.95" customHeight="1" x14ac:dyDescent="0.25">
      <c r="B8" s="382" t="s">
        <v>1647</v>
      </c>
      <c r="C8" s="382" t="s">
        <v>1759</v>
      </c>
      <c r="D8" s="382" t="s">
        <v>1764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1765</v>
      </c>
    </row>
    <row r="9" spans="2:13" ht="19.95" customHeight="1" x14ac:dyDescent="0.25">
      <c r="B9" s="382" t="s">
        <v>1543</v>
      </c>
      <c r="C9" s="382" t="s">
        <v>1766</v>
      </c>
      <c r="D9" s="382" t="s">
        <v>1767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1768</v>
      </c>
    </row>
    <row r="10" spans="2:13" ht="19.95" customHeight="1" x14ac:dyDescent="0.25">
      <c r="B10" s="382" t="s">
        <v>2921</v>
      </c>
      <c r="C10" s="382" t="s">
        <v>1759</v>
      </c>
      <c r="D10" s="382" t="s">
        <v>2996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2997</v>
      </c>
    </row>
    <row r="11" spans="2:13" ht="19.95" customHeight="1" x14ac:dyDescent="0.25">
      <c r="B11" s="382" t="s">
        <v>1769</v>
      </c>
      <c r="C11" s="382" t="s">
        <v>1766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1770</v>
      </c>
    </row>
    <row r="12" spans="2:13" ht="19.95" customHeight="1" x14ac:dyDescent="0.25">
      <c r="B12" s="382" t="s">
        <v>1697</v>
      </c>
      <c r="C12" s="382" t="s">
        <v>1766</v>
      </c>
      <c r="D12" s="382" t="s">
        <v>1771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1772</v>
      </c>
    </row>
    <row r="13" spans="2:13" ht="19.95" customHeight="1" x14ac:dyDescent="0.25">
      <c r="B13" s="382" t="s">
        <v>1700</v>
      </c>
      <c r="C13" s="382" t="s">
        <v>1766</v>
      </c>
      <c r="D13" s="382" t="s">
        <v>1536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1773</v>
      </c>
    </row>
    <row r="14" spans="2:13" ht="19.95" customHeight="1" x14ac:dyDescent="0.25">
      <c r="B14" s="382" t="s">
        <v>1774</v>
      </c>
      <c r="C14" s="382" t="s">
        <v>1759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1775</v>
      </c>
    </row>
    <row r="15" spans="2:13" ht="19.95" customHeight="1" x14ac:dyDescent="0.25">
      <c r="B15" s="382" t="s">
        <v>1739</v>
      </c>
      <c r="C15" s="382" t="s">
        <v>1766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1776</v>
      </c>
    </row>
    <row r="16" spans="2:13" ht="19.95" customHeight="1" x14ac:dyDescent="0.25">
      <c r="B16" s="382" t="s">
        <v>1739</v>
      </c>
      <c r="C16" s="382" t="s">
        <v>1766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2998</v>
      </c>
    </row>
    <row r="17" spans="2:13" ht="19.95" customHeight="1" x14ac:dyDescent="0.25">
      <c r="B17" s="382" t="s">
        <v>1756</v>
      </c>
      <c r="C17" s="382" t="s">
        <v>1766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1777</v>
      </c>
    </row>
    <row r="18" spans="2:13" ht="19.95" customHeight="1" x14ac:dyDescent="0.25">
      <c r="B18" s="382" t="s">
        <v>1645</v>
      </c>
      <c r="C18" s="382" t="s">
        <v>1759</v>
      </c>
      <c r="D18" s="382" t="s">
        <v>1778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1779</v>
      </c>
    </row>
    <row r="19" spans="2:13" ht="19.95" customHeight="1" x14ac:dyDescent="0.25">
      <c r="B19" s="382" t="s">
        <v>1698</v>
      </c>
      <c r="C19" s="382" t="s">
        <v>1759</v>
      </c>
      <c r="D19" s="382" t="s">
        <v>1767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1780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 x14ac:dyDescent="0.25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 x14ac:dyDescent="0.25"/>
    <row r="2" spans="2:17" ht="13.8" x14ac:dyDescent="0.25">
      <c r="B2" s="1386" t="s">
        <v>266</v>
      </c>
      <c r="C2" s="1387" t="s">
        <v>1232</v>
      </c>
      <c r="D2" s="1387" t="s">
        <v>385</v>
      </c>
      <c r="E2"/>
      <c r="G2" s="1386" t="s">
        <v>266</v>
      </c>
      <c r="H2" s="1387" t="s">
        <v>1232</v>
      </c>
      <c r="I2" s="1387" t="s">
        <v>385</v>
      </c>
      <c r="J2"/>
      <c r="L2" s="1386" t="s">
        <v>266</v>
      </c>
      <c r="M2" s="1387" t="s">
        <v>1232</v>
      </c>
      <c r="N2" s="1387" t="s">
        <v>385</v>
      </c>
      <c r="O2"/>
    </row>
    <row r="3" spans="2:17" ht="13.8" x14ac:dyDescent="0.25">
      <c r="B3" s="1388" t="s">
        <v>390</v>
      </c>
      <c r="C3" s="1389">
        <v>0.8571428571428571</v>
      </c>
      <c r="D3" s="1375">
        <v>120.03314999999999</v>
      </c>
      <c r="E3"/>
      <c r="G3" s="1388">
        <v>8</v>
      </c>
      <c r="H3" s="1389">
        <v>0.75</v>
      </c>
      <c r="I3" s="1375">
        <v>-27.193049999999999</v>
      </c>
      <c r="J3"/>
      <c r="L3" s="1388" t="s">
        <v>391</v>
      </c>
      <c r="M3" s="1389">
        <v>0.91275167785234901</v>
      </c>
      <c r="N3" s="1375">
        <v>1251.541899999999</v>
      </c>
      <c r="O3"/>
      <c r="P3" s="1387" t="s">
        <v>3975</v>
      </c>
      <c r="Q3" s="1387" t="s">
        <v>1233</v>
      </c>
    </row>
    <row r="4" spans="2:17" ht="13.8" x14ac:dyDescent="0.25">
      <c r="B4" s="1388" t="s">
        <v>1210</v>
      </c>
      <c r="C4" s="1389">
        <v>1</v>
      </c>
      <c r="D4" s="1375">
        <v>202.51000000000002</v>
      </c>
      <c r="E4"/>
      <c r="G4" s="1388">
        <v>8.1999999999999993</v>
      </c>
      <c r="H4" s="1389">
        <v>0.6</v>
      </c>
      <c r="I4" s="1375">
        <v>-204.76870000000002</v>
      </c>
      <c r="J4"/>
      <c r="L4" s="1388" t="s">
        <v>1476</v>
      </c>
      <c r="M4" s="1389">
        <v>1</v>
      </c>
      <c r="N4" s="1375">
        <v>197.69</v>
      </c>
      <c r="O4"/>
      <c r="P4" s="1375">
        <v>206</v>
      </c>
      <c r="Q4" s="1375">
        <v>13.422746475016803</v>
      </c>
    </row>
    <row r="5" spans="2:17" ht="13.8" x14ac:dyDescent="0.25">
      <c r="B5" s="1388" t="s">
        <v>1200</v>
      </c>
      <c r="C5" s="1389">
        <v>1</v>
      </c>
      <c r="D5" s="1375">
        <v>50.82</v>
      </c>
      <c r="E5"/>
      <c r="G5" s="1388">
        <v>8.4</v>
      </c>
      <c r="H5" s="1389">
        <v>1</v>
      </c>
      <c r="I5" s="1375">
        <v>249.8563</v>
      </c>
      <c r="J5"/>
      <c r="L5" s="1388" t="s">
        <v>4473</v>
      </c>
      <c r="M5" s="1389">
        <v>1</v>
      </c>
      <c r="N5" s="1375">
        <v>169.87855000000002</v>
      </c>
      <c r="O5"/>
    </row>
    <row r="6" spans="2:17" ht="13.8" x14ac:dyDescent="0.25">
      <c r="B6" s="1388" t="s">
        <v>1202</v>
      </c>
      <c r="C6" s="1389">
        <v>1</v>
      </c>
      <c r="D6" s="1375">
        <v>41.09</v>
      </c>
      <c r="E6"/>
      <c r="G6" s="1388">
        <v>8.6</v>
      </c>
      <c r="H6" s="1389">
        <v>1</v>
      </c>
      <c r="I6" s="1375">
        <v>235.23</v>
      </c>
      <c r="J6"/>
      <c r="L6" s="1388" t="s">
        <v>1220</v>
      </c>
      <c r="M6" s="1389">
        <v>1</v>
      </c>
      <c r="N6" s="1375">
        <v>167.35774999999998</v>
      </c>
      <c r="O6"/>
    </row>
    <row r="7" spans="2:17" ht="13.8" x14ac:dyDescent="0.25">
      <c r="B7" s="1388" t="s">
        <v>1199</v>
      </c>
      <c r="C7" s="1389">
        <v>1</v>
      </c>
      <c r="D7" s="1375">
        <v>40.69</v>
      </c>
      <c r="E7"/>
      <c r="G7" s="1388">
        <v>8.8000000000000007</v>
      </c>
      <c r="H7" s="1389">
        <v>0.83333333333333337</v>
      </c>
      <c r="I7" s="1375">
        <v>-178.13</v>
      </c>
      <c r="J7"/>
      <c r="L7" s="1388" t="s">
        <v>4519</v>
      </c>
      <c r="M7" s="1389">
        <v>1</v>
      </c>
      <c r="N7" s="1375">
        <v>112.56129999999999</v>
      </c>
      <c r="O7"/>
    </row>
    <row r="8" spans="2:17" ht="13.8" x14ac:dyDescent="0.25">
      <c r="B8" s="1388" t="s">
        <v>1360</v>
      </c>
      <c r="C8" s="1389">
        <v>1</v>
      </c>
      <c r="D8" s="1375">
        <v>36.08</v>
      </c>
      <c r="E8"/>
      <c r="G8" s="1388">
        <v>9</v>
      </c>
      <c r="H8" s="1389">
        <v>0.875</v>
      </c>
      <c r="I8" s="1375">
        <v>314.36999999999995</v>
      </c>
      <c r="J8"/>
      <c r="L8" s="1388" t="s">
        <v>4520</v>
      </c>
      <c r="M8" s="1389">
        <v>1</v>
      </c>
      <c r="N8" s="1375">
        <v>112.49999999999999</v>
      </c>
      <c r="O8"/>
    </row>
    <row r="9" spans="2:17" ht="13.8" x14ac:dyDescent="0.25">
      <c r="B9" s="1388" t="s">
        <v>1730</v>
      </c>
      <c r="C9" s="1389">
        <v>1</v>
      </c>
      <c r="D9" s="1375">
        <v>24.76315</v>
      </c>
      <c r="E9"/>
      <c r="G9" s="1388">
        <v>9.0297787256731521</v>
      </c>
      <c r="H9" s="1389">
        <v>1</v>
      </c>
      <c r="I9" s="1375">
        <v>17.86</v>
      </c>
      <c r="J9"/>
      <c r="L9" s="1388" t="s">
        <v>4471</v>
      </c>
      <c r="M9" s="1389">
        <v>1</v>
      </c>
      <c r="N9" s="1375">
        <v>108.8566</v>
      </c>
      <c r="O9"/>
    </row>
    <row r="10" spans="2:17" ht="13.8" x14ac:dyDescent="0.25">
      <c r="B10" s="1388" t="s">
        <v>1201</v>
      </c>
      <c r="C10" s="1389">
        <v>0.5</v>
      </c>
      <c r="D10" s="1375">
        <v>13.819999999999999</v>
      </c>
      <c r="E10"/>
      <c r="G10" s="1388">
        <v>9.1999999999999993</v>
      </c>
      <c r="H10" s="1389">
        <v>1</v>
      </c>
      <c r="I10" s="1375">
        <v>277.10999999999996</v>
      </c>
      <c r="J10"/>
      <c r="L10" s="1388" t="s">
        <v>4472</v>
      </c>
      <c r="M10" s="1389">
        <v>1</v>
      </c>
      <c r="N10" s="1375">
        <v>102.39000000000001</v>
      </c>
      <c r="O10"/>
    </row>
    <row r="11" spans="2:17" ht="13.8" x14ac:dyDescent="0.25">
      <c r="B11" s="1388" t="s">
        <v>1206</v>
      </c>
      <c r="C11" s="1389">
        <v>1</v>
      </c>
      <c r="D11" s="1375">
        <v>11.46</v>
      </c>
      <c r="E11"/>
      <c r="G11" s="1388">
        <v>9.4</v>
      </c>
      <c r="H11" s="1389">
        <v>1</v>
      </c>
      <c r="I11" s="1375">
        <v>78.010000000000005</v>
      </c>
      <c r="J11"/>
      <c r="L11" s="1388" t="s">
        <v>4521</v>
      </c>
      <c r="M11" s="1389">
        <v>1</v>
      </c>
      <c r="N11" s="1375">
        <v>100.09</v>
      </c>
      <c r="O11"/>
    </row>
    <row r="12" spans="2:17" ht="13.8" x14ac:dyDescent="0.25">
      <c r="B12" s="1388" t="s">
        <v>1218</v>
      </c>
      <c r="C12" s="1389">
        <v>0</v>
      </c>
      <c r="D12" s="1375">
        <v>-147.32</v>
      </c>
      <c r="E12"/>
      <c r="G12" s="1388">
        <v>9.6</v>
      </c>
      <c r="H12" s="1389">
        <v>0.75</v>
      </c>
      <c r="I12" s="1375">
        <v>-305.69</v>
      </c>
      <c r="J12"/>
      <c r="L12" s="1388" t="s">
        <v>4522</v>
      </c>
      <c r="M12" s="1389">
        <v>1</v>
      </c>
      <c r="N12" s="1375">
        <v>98.910550000000001</v>
      </c>
      <c r="O12"/>
    </row>
    <row r="13" spans="2:17" ht="13.8" x14ac:dyDescent="0.25">
      <c r="B13" s="1388" t="s">
        <v>1209</v>
      </c>
      <c r="C13" s="1389">
        <v>0.5</v>
      </c>
      <c r="D13" s="1375">
        <v>-153.88</v>
      </c>
      <c r="E13"/>
      <c r="G13" s="1388">
        <v>9.6883567567567574</v>
      </c>
      <c r="H13" s="1389">
        <v>1</v>
      </c>
      <c r="I13" s="1375">
        <v>40.69</v>
      </c>
      <c r="J13"/>
      <c r="L13" s="1388" t="s">
        <v>4523</v>
      </c>
      <c r="M13" s="1389">
        <v>1</v>
      </c>
      <c r="N13" s="1375">
        <v>98.800000000000011</v>
      </c>
      <c r="O13"/>
    </row>
    <row r="14" spans="2:17" ht="13.8" x14ac:dyDescent="0.25">
      <c r="B14" s="1388" t="s">
        <v>391</v>
      </c>
      <c r="C14" s="1389">
        <v>0.91275167785234901</v>
      </c>
      <c r="D14" s="1375">
        <v>1251.5418999999986</v>
      </c>
      <c r="E14"/>
      <c r="G14" s="1388">
        <v>9.7999250018749517</v>
      </c>
      <c r="H14" s="1389">
        <v>1</v>
      </c>
      <c r="I14" s="1375">
        <v>43.48</v>
      </c>
      <c r="J14"/>
      <c r="L14" s="1388" t="s">
        <v>4524</v>
      </c>
      <c r="M14" s="1389">
        <v>1</v>
      </c>
      <c r="N14" s="1375">
        <v>98.75</v>
      </c>
      <c r="O14"/>
    </row>
    <row r="15" spans="2:17" ht="13.8" x14ac:dyDescent="0.25">
      <c r="B15" s="1388" t="s">
        <v>1360</v>
      </c>
      <c r="C15" s="1389">
        <v>1</v>
      </c>
      <c r="D15" s="1375">
        <v>445.88694999999996</v>
      </c>
      <c r="E15"/>
      <c r="G15" s="1388">
        <v>9.8000000000000007</v>
      </c>
      <c r="H15" s="1389">
        <v>0.8571428571428571</v>
      </c>
      <c r="I15" s="1375">
        <v>-152.39999999999995</v>
      </c>
      <c r="J15"/>
      <c r="L15" s="1388" t="s">
        <v>4525</v>
      </c>
      <c r="M15" s="1389">
        <v>1</v>
      </c>
      <c r="N15" s="1375">
        <v>94.75</v>
      </c>
      <c r="O15"/>
    </row>
    <row r="16" spans="2:17" ht="13.8" x14ac:dyDescent="0.25">
      <c r="B16" s="1388" t="s">
        <v>1206</v>
      </c>
      <c r="C16" s="1389">
        <v>1</v>
      </c>
      <c r="D16" s="1375">
        <v>338.73985000000005</v>
      </c>
      <c r="E16"/>
      <c r="G16" s="1388">
        <v>10</v>
      </c>
      <c r="H16" s="1389">
        <v>1</v>
      </c>
      <c r="I16" s="1375">
        <v>415.41999999999996</v>
      </c>
      <c r="J16"/>
      <c r="L16" s="1388" t="s">
        <v>1222</v>
      </c>
      <c r="M16" s="1389">
        <v>1</v>
      </c>
      <c r="N16" s="1375">
        <v>92.45</v>
      </c>
      <c r="O16"/>
    </row>
    <row r="17" spans="2:15" ht="13.8" x14ac:dyDescent="0.25">
      <c r="B17" s="1388" t="s">
        <v>1200</v>
      </c>
      <c r="C17" s="1389">
        <v>1</v>
      </c>
      <c r="D17" s="1375">
        <v>295.46629999999999</v>
      </c>
      <c r="E17"/>
      <c r="G17" s="1388">
        <v>10.247327524770684</v>
      </c>
      <c r="H17" s="1389">
        <v>1</v>
      </c>
      <c r="I17" s="1375">
        <v>44.96</v>
      </c>
      <c r="J17"/>
      <c r="L17" s="1388" t="s">
        <v>4526</v>
      </c>
      <c r="M17" s="1389">
        <v>1</v>
      </c>
      <c r="N17" s="1375">
        <v>79.14</v>
      </c>
      <c r="O17"/>
    </row>
    <row r="18" spans="2:15" ht="13.8" x14ac:dyDescent="0.25">
      <c r="B18" s="1388" t="s">
        <v>1203</v>
      </c>
      <c r="C18" s="1389">
        <v>1</v>
      </c>
      <c r="D18" s="1375">
        <v>246.21999999999997</v>
      </c>
      <c r="E18"/>
      <c r="G18" s="1388">
        <v>10.5</v>
      </c>
      <c r="H18" s="1389">
        <v>1</v>
      </c>
      <c r="I18" s="1375">
        <v>284.24669999999998</v>
      </c>
      <c r="J18"/>
      <c r="L18" s="1388" t="s">
        <v>4527</v>
      </c>
      <c r="M18" s="1389">
        <v>0.75</v>
      </c>
      <c r="N18" s="1375">
        <v>76.031649999999999</v>
      </c>
      <c r="O18"/>
    </row>
    <row r="19" spans="2:15" ht="13.8" x14ac:dyDescent="0.25">
      <c r="B19" s="1388" t="s">
        <v>1202</v>
      </c>
      <c r="C19" s="1389">
        <v>0.875</v>
      </c>
      <c r="D19" s="1375">
        <v>180.74519999999995</v>
      </c>
      <c r="E19"/>
      <c r="G19" s="1388">
        <v>11</v>
      </c>
      <c r="H19" s="1389">
        <v>1</v>
      </c>
      <c r="I19" s="1375">
        <v>310.59999999999997</v>
      </c>
      <c r="J19"/>
      <c r="L19" s="1388" t="s">
        <v>4528</v>
      </c>
      <c r="M19" s="1389">
        <v>1</v>
      </c>
      <c r="N19" s="1375">
        <v>75.16</v>
      </c>
      <c r="O19"/>
    </row>
    <row r="20" spans="2:15" ht="13.8" x14ac:dyDescent="0.25">
      <c r="B20" s="1388" t="s">
        <v>1210</v>
      </c>
      <c r="C20" s="1389">
        <v>1</v>
      </c>
      <c r="D20" s="1375">
        <v>173.85325</v>
      </c>
      <c r="E20"/>
      <c r="G20" s="1388">
        <v>11.5</v>
      </c>
      <c r="H20" s="1389">
        <v>0.625</v>
      </c>
      <c r="I20" s="1375">
        <v>-349.64</v>
      </c>
      <c r="J20"/>
      <c r="L20" s="1388" t="s">
        <v>4529</v>
      </c>
      <c r="M20" s="1389">
        <v>0.75</v>
      </c>
      <c r="N20" s="1375">
        <v>74.274650000000008</v>
      </c>
      <c r="O20"/>
    </row>
    <row r="21" spans="2:15" ht="13.8" x14ac:dyDescent="0.25">
      <c r="B21" s="1388" t="s">
        <v>1214</v>
      </c>
      <c r="C21" s="1389">
        <v>1</v>
      </c>
      <c r="D21" s="1375">
        <v>159.94319999999999</v>
      </c>
      <c r="E21"/>
      <c r="G21" s="1388">
        <v>12</v>
      </c>
      <c r="H21" s="1389">
        <v>0.9</v>
      </c>
      <c r="I21" s="1375">
        <v>-157.22000000000003</v>
      </c>
      <c r="J21"/>
      <c r="L21" s="1388" t="s">
        <v>4530</v>
      </c>
      <c r="M21" s="1389">
        <v>1</v>
      </c>
      <c r="N21" s="1375">
        <v>66.98</v>
      </c>
      <c r="O21"/>
    </row>
    <row r="22" spans="2:15" ht="13.8" x14ac:dyDescent="0.25">
      <c r="B22" s="1388" t="s">
        <v>2011</v>
      </c>
      <c r="C22" s="1389">
        <v>1</v>
      </c>
      <c r="D22" s="1375">
        <v>152.5266</v>
      </c>
      <c r="E22"/>
      <c r="G22" s="1388">
        <v>12.5</v>
      </c>
      <c r="H22" s="1389">
        <v>1</v>
      </c>
      <c r="I22" s="1375">
        <v>385.94319999999999</v>
      </c>
      <c r="J22"/>
      <c r="L22" s="1388" t="s">
        <v>1221</v>
      </c>
      <c r="M22" s="1389">
        <v>1</v>
      </c>
      <c r="N22" s="1375">
        <v>65.050000000000011</v>
      </c>
      <c r="O22"/>
    </row>
    <row r="23" spans="2:15" ht="13.8" x14ac:dyDescent="0.25">
      <c r="B23" s="1388" t="s">
        <v>3295</v>
      </c>
      <c r="C23" s="1389">
        <v>1</v>
      </c>
      <c r="D23" s="1375">
        <v>144.3913</v>
      </c>
      <c r="E23"/>
      <c r="G23" s="1388">
        <v>13</v>
      </c>
      <c r="H23" s="1389">
        <v>1</v>
      </c>
      <c r="I23" s="1375">
        <v>128.91</v>
      </c>
      <c r="J23"/>
      <c r="L23" s="1388" t="s">
        <v>4531</v>
      </c>
      <c r="M23" s="1389">
        <v>1</v>
      </c>
      <c r="N23" s="1375">
        <v>64.16</v>
      </c>
      <c r="O23"/>
    </row>
    <row r="24" spans="2:15" ht="13.8" x14ac:dyDescent="0.25">
      <c r="B24" s="1388" t="s">
        <v>1199</v>
      </c>
      <c r="C24" s="1389">
        <v>1</v>
      </c>
      <c r="D24" s="1375">
        <v>143.85</v>
      </c>
      <c r="E24"/>
      <c r="G24" s="1388">
        <v>13.5</v>
      </c>
      <c r="H24" s="1389">
        <v>0.90909090909090906</v>
      </c>
      <c r="I24" s="1375">
        <v>204.85999999999999</v>
      </c>
      <c r="J24"/>
      <c r="L24" s="1388" t="s">
        <v>2208</v>
      </c>
      <c r="M24" s="1389">
        <v>1</v>
      </c>
      <c r="N24" s="1375">
        <v>61.72</v>
      </c>
      <c r="O24"/>
    </row>
    <row r="25" spans="2:15" ht="13.8" x14ac:dyDescent="0.25">
      <c r="B25" s="1388" t="s">
        <v>4467</v>
      </c>
      <c r="C25" s="1389">
        <v>1</v>
      </c>
      <c r="D25" s="1375">
        <v>124.02</v>
      </c>
      <c r="E25"/>
      <c r="G25" s="1388">
        <v>13.79</v>
      </c>
      <c r="H25" s="1389">
        <v>1</v>
      </c>
      <c r="I25" s="1375">
        <v>27.914649999999998</v>
      </c>
      <c r="J25"/>
      <c r="L25" s="1388" t="s">
        <v>1227</v>
      </c>
      <c r="M25" s="1389">
        <v>1</v>
      </c>
      <c r="N25" s="1375">
        <v>61</v>
      </c>
      <c r="O25"/>
    </row>
    <row r="26" spans="2:15" ht="13.8" x14ac:dyDescent="0.25">
      <c r="B26" s="1388" t="s">
        <v>1218</v>
      </c>
      <c r="C26" s="1389">
        <v>1</v>
      </c>
      <c r="D26" s="1375">
        <v>109.18</v>
      </c>
      <c r="E26"/>
      <c r="G26" s="1388">
        <v>13.82</v>
      </c>
      <c r="H26" s="1389">
        <v>1</v>
      </c>
      <c r="I26" s="1375">
        <v>11.02</v>
      </c>
      <c r="J26"/>
      <c r="L26" s="1388" t="s">
        <v>4532</v>
      </c>
      <c r="M26" s="1389">
        <v>1</v>
      </c>
      <c r="N26" s="1375">
        <v>60.95</v>
      </c>
      <c r="O26"/>
    </row>
    <row r="27" spans="2:15" ht="13.8" x14ac:dyDescent="0.25">
      <c r="B27" s="1388" t="s">
        <v>1208</v>
      </c>
      <c r="C27" s="1389">
        <v>0.8</v>
      </c>
      <c r="D27" s="1375">
        <v>107.86165</v>
      </c>
      <c r="E27"/>
      <c r="G27" s="1388">
        <v>14</v>
      </c>
      <c r="H27" s="1389">
        <v>0.9</v>
      </c>
      <c r="I27" s="1375">
        <v>-112.58999999999999</v>
      </c>
      <c r="J27"/>
      <c r="L27" s="1388" t="s">
        <v>4474</v>
      </c>
      <c r="M27" s="1389">
        <v>1</v>
      </c>
      <c r="N27" s="1375">
        <v>59.047649999999997</v>
      </c>
      <c r="O27"/>
    </row>
    <row r="28" spans="2:15" ht="13.8" x14ac:dyDescent="0.25">
      <c r="B28" s="1388" t="s">
        <v>1201</v>
      </c>
      <c r="C28" s="1389">
        <v>0.88888888888888884</v>
      </c>
      <c r="D28" s="1375">
        <v>93.749950000000013</v>
      </c>
      <c r="E28"/>
      <c r="G28" s="1388">
        <v>14.5</v>
      </c>
      <c r="H28" s="1389">
        <v>1</v>
      </c>
      <c r="I28" s="1375">
        <v>271.52634999999998</v>
      </c>
      <c r="J28"/>
      <c r="L28" s="1388" t="s">
        <v>1230</v>
      </c>
      <c r="M28" s="1389">
        <v>1</v>
      </c>
      <c r="N28" s="1375">
        <v>56.120000000000005</v>
      </c>
      <c r="O28"/>
    </row>
    <row r="29" spans="2:15" ht="13.8" x14ac:dyDescent="0.25">
      <c r="B29" s="1388" t="s">
        <v>3601</v>
      </c>
      <c r="C29" s="1389">
        <v>1</v>
      </c>
      <c r="D29" s="1375">
        <v>84.08</v>
      </c>
      <c r="E29"/>
      <c r="G29" s="1388">
        <v>15</v>
      </c>
      <c r="H29" s="1389">
        <v>1</v>
      </c>
      <c r="I29" s="1375">
        <v>62.97</v>
      </c>
      <c r="J29"/>
      <c r="L29" s="1388" t="s">
        <v>4533</v>
      </c>
      <c r="M29" s="1389">
        <v>1</v>
      </c>
      <c r="N29" s="1375">
        <v>55.57</v>
      </c>
      <c r="O29"/>
    </row>
    <row r="30" spans="2:15" ht="13.8" x14ac:dyDescent="0.25">
      <c r="B30" s="1388" t="s">
        <v>1204</v>
      </c>
      <c r="C30" s="1389">
        <v>1</v>
      </c>
      <c r="D30" s="1375">
        <v>74.62</v>
      </c>
      <c r="E30"/>
      <c r="G30" s="1388">
        <v>15.5</v>
      </c>
      <c r="H30" s="1389">
        <v>1</v>
      </c>
      <c r="I30" s="1375">
        <v>121.33054999999999</v>
      </c>
      <c r="J30"/>
      <c r="L30" s="1388" t="s">
        <v>1247</v>
      </c>
      <c r="M30" s="1389">
        <v>1</v>
      </c>
      <c r="N30" s="1375">
        <v>54.873249999999999</v>
      </c>
      <c r="O30"/>
    </row>
    <row r="31" spans="2:15" ht="13.8" x14ac:dyDescent="0.25">
      <c r="B31" s="1388" t="s">
        <v>3637</v>
      </c>
      <c r="C31" s="1389">
        <v>1</v>
      </c>
      <c r="D31" s="1375">
        <v>73.03</v>
      </c>
      <c r="E31"/>
      <c r="G31" s="1388">
        <v>16</v>
      </c>
      <c r="H31" s="1389">
        <v>1</v>
      </c>
      <c r="I31" s="1375">
        <v>101.23984999999999</v>
      </c>
      <c r="J31"/>
      <c r="L31" s="1388" t="s">
        <v>1535</v>
      </c>
      <c r="M31" s="1389">
        <v>1</v>
      </c>
      <c r="N31" s="1375">
        <v>53.4</v>
      </c>
      <c r="O31"/>
    </row>
    <row r="32" spans="2:15" ht="13.8" x14ac:dyDescent="0.25">
      <c r="B32" s="1388" t="s">
        <v>2409</v>
      </c>
      <c r="C32" s="1389">
        <v>1</v>
      </c>
      <c r="D32" s="1375">
        <v>62.227649999999997</v>
      </c>
      <c r="E32"/>
      <c r="G32" s="1388">
        <v>16.5</v>
      </c>
      <c r="H32" s="1389">
        <v>1</v>
      </c>
      <c r="I32" s="1375">
        <v>209.72424999999998</v>
      </c>
      <c r="J32"/>
      <c r="L32" s="1388" t="s">
        <v>4534</v>
      </c>
      <c r="M32" s="1389">
        <v>1</v>
      </c>
      <c r="N32" s="1375">
        <v>53.28</v>
      </c>
      <c r="O32"/>
    </row>
    <row r="33" spans="2:15" ht="13.8" x14ac:dyDescent="0.25">
      <c r="B33" s="1388" t="s">
        <v>2129</v>
      </c>
      <c r="C33" s="1389">
        <v>1</v>
      </c>
      <c r="D33" s="1375">
        <v>61.72</v>
      </c>
      <c r="E33"/>
      <c r="G33" s="1388">
        <v>17</v>
      </c>
      <c r="H33" s="1389">
        <v>1</v>
      </c>
      <c r="I33" s="1375">
        <v>44.69</v>
      </c>
      <c r="J33"/>
      <c r="L33" s="1388" t="s">
        <v>4535</v>
      </c>
      <c r="M33" s="1389">
        <v>1</v>
      </c>
      <c r="N33" s="1375">
        <v>51.85</v>
      </c>
      <c r="O33"/>
    </row>
    <row r="34" spans="2:15" ht="13.8" x14ac:dyDescent="0.25">
      <c r="B34" s="1388" t="s">
        <v>2069</v>
      </c>
      <c r="C34" s="1389">
        <v>1</v>
      </c>
      <c r="D34" s="1375">
        <v>53.28</v>
      </c>
      <c r="E34"/>
      <c r="G34" s="1388">
        <v>17.5</v>
      </c>
      <c r="H34" s="1389">
        <v>0</v>
      </c>
      <c r="I34" s="1375">
        <v>-72.17</v>
      </c>
      <c r="J34"/>
      <c r="L34" s="1388" t="s">
        <v>4536</v>
      </c>
      <c r="M34" s="1389">
        <v>1</v>
      </c>
      <c r="N34" s="1375">
        <v>51.63</v>
      </c>
      <c r="O34"/>
    </row>
    <row r="35" spans="2:15" ht="13.8" x14ac:dyDescent="0.25">
      <c r="B35" s="1388" t="s">
        <v>2923</v>
      </c>
      <c r="C35" s="1389">
        <v>1</v>
      </c>
      <c r="D35" s="1375">
        <v>51.85</v>
      </c>
      <c r="E35"/>
      <c r="G35" s="1388">
        <v>18.5</v>
      </c>
      <c r="H35" s="1389">
        <v>1</v>
      </c>
      <c r="I35" s="1375">
        <v>36.03</v>
      </c>
      <c r="J35"/>
      <c r="L35" s="1388" t="s">
        <v>4537</v>
      </c>
      <c r="M35" s="1389">
        <v>1</v>
      </c>
      <c r="N35" s="1375">
        <v>50.93</v>
      </c>
      <c r="O35"/>
    </row>
    <row r="36" spans="2:15" ht="13.8" x14ac:dyDescent="0.25">
      <c r="B36" s="1388" t="s">
        <v>4468</v>
      </c>
      <c r="C36" s="1389">
        <v>1</v>
      </c>
      <c r="D36" s="1375">
        <v>43.48</v>
      </c>
      <c r="E36"/>
      <c r="G36" s="1388">
        <v>19</v>
      </c>
      <c r="H36" s="1389">
        <v>1</v>
      </c>
      <c r="I36" s="1375">
        <v>41.379999999999995</v>
      </c>
      <c r="J36"/>
      <c r="L36" s="1388" t="s">
        <v>4538</v>
      </c>
      <c r="M36" s="1389">
        <v>1</v>
      </c>
      <c r="N36" s="1375">
        <v>50.31</v>
      </c>
      <c r="O36"/>
    </row>
    <row r="37" spans="2:15" ht="13.8" x14ac:dyDescent="0.25">
      <c r="B37" s="1388" t="s">
        <v>4469</v>
      </c>
      <c r="C37" s="1389">
        <v>1</v>
      </c>
      <c r="D37" s="1375">
        <v>42.5</v>
      </c>
      <c r="E37"/>
      <c r="G37" s="1388">
        <v>21</v>
      </c>
      <c r="H37" s="1389">
        <v>1</v>
      </c>
      <c r="I37" s="1375">
        <v>97.65</v>
      </c>
      <c r="J37"/>
      <c r="L37" s="1388" t="s">
        <v>414</v>
      </c>
      <c r="M37" s="1389">
        <v>1</v>
      </c>
      <c r="N37" s="1375">
        <v>49.14</v>
      </c>
      <c r="O37"/>
    </row>
    <row r="38" spans="2:15" ht="13.8" x14ac:dyDescent="0.25">
      <c r="B38" s="1388" t="s">
        <v>1586</v>
      </c>
      <c r="C38" s="1389">
        <v>1</v>
      </c>
      <c r="D38" s="1375">
        <v>38.770000000000003</v>
      </c>
      <c r="E38"/>
      <c r="G38" s="1388">
        <v>22</v>
      </c>
      <c r="H38" s="1389">
        <v>1</v>
      </c>
      <c r="I38" s="1375">
        <v>37.39</v>
      </c>
      <c r="J38"/>
      <c r="L38" s="1388" t="s">
        <v>4539</v>
      </c>
      <c r="M38" s="1389">
        <v>1</v>
      </c>
      <c r="N38" s="1375">
        <v>47.75</v>
      </c>
      <c r="O38"/>
    </row>
    <row r="39" spans="2:15" ht="13.8" x14ac:dyDescent="0.25">
      <c r="B39" s="1388" t="s">
        <v>1497</v>
      </c>
      <c r="C39" s="1389">
        <v>1</v>
      </c>
      <c r="D39" s="1375">
        <v>33.85</v>
      </c>
      <c r="E39"/>
      <c r="G39" s="1388">
        <v>23</v>
      </c>
      <c r="H39" s="1389">
        <v>1</v>
      </c>
      <c r="I39" s="1375">
        <v>16.61</v>
      </c>
      <c r="J39"/>
      <c r="L39" s="1388" t="s">
        <v>4540</v>
      </c>
      <c r="M39" s="1389">
        <v>1</v>
      </c>
      <c r="N39" s="1375">
        <v>47.01</v>
      </c>
      <c r="O39"/>
    </row>
    <row r="40" spans="2:15" ht="13.8" x14ac:dyDescent="0.25">
      <c r="B40" s="1388" t="s">
        <v>1597</v>
      </c>
      <c r="C40" s="1389">
        <v>1</v>
      </c>
      <c r="D40" s="1375">
        <v>33.619999999999997</v>
      </c>
      <c r="E40"/>
      <c r="G40" s="1388">
        <v>25</v>
      </c>
      <c r="H40" s="1389">
        <v>1</v>
      </c>
      <c r="I40" s="1375">
        <v>31.32</v>
      </c>
      <c r="J40"/>
      <c r="L40" s="1388" t="s">
        <v>4475</v>
      </c>
      <c r="M40" s="1389">
        <v>1</v>
      </c>
      <c r="N40" s="1375">
        <v>46.69</v>
      </c>
      <c r="O40"/>
    </row>
    <row r="41" spans="2:15" ht="13.8" x14ac:dyDescent="0.25">
      <c r="B41" s="1388" t="s">
        <v>3486</v>
      </c>
      <c r="C41" s="1389">
        <v>1</v>
      </c>
      <c r="D41" s="1375">
        <v>31.83</v>
      </c>
      <c r="E41"/>
      <c r="G41" s="1388">
        <v>26</v>
      </c>
      <c r="H41" s="1389">
        <v>1</v>
      </c>
      <c r="I41" s="1375">
        <v>30.56</v>
      </c>
      <c r="J41"/>
      <c r="L41" s="1388" t="s">
        <v>4476</v>
      </c>
      <c r="M41" s="1389">
        <v>1</v>
      </c>
      <c r="N41" s="1375">
        <v>46.58</v>
      </c>
      <c r="O41"/>
    </row>
    <row r="42" spans="2:15" ht="13.8" x14ac:dyDescent="0.25">
      <c r="B42" s="1388" t="s">
        <v>1197</v>
      </c>
      <c r="C42" s="1389">
        <v>1</v>
      </c>
      <c r="D42" s="1375">
        <v>30.12</v>
      </c>
      <c r="E42"/>
      <c r="G42" s="1388">
        <v>28</v>
      </c>
      <c r="H42" s="1389">
        <v>1</v>
      </c>
      <c r="I42" s="1375">
        <v>14.14</v>
      </c>
      <c r="J42"/>
      <c r="L42" s="1388" t="s">
        <v>4541</v>
      </c>
      <c r="M42" s="1389">
        <v>1</v>
      </c>
      <c r="N42" s="1375">
        <v>43.48</v>
      </c>
      <c r="O42"/>
    </row>
    <row r="43" spans="2:15" ht="13.8" x14ac:dyDescent="0.25">
      <c r="B43" s="1388" t="s">
        <v>2924</v>
      </c>
      <c r="C43" s="1389">
        <v>1</v>
      </c>
      <c r="D43" s="1375">
        <v>26.82</v>
      </c>
      <c r="E43"/>
      <c r="G43" s="1388">
        <v>30</v>
      </c>
      <c r="H43" s="1389">
        <v>1</v>
      </c>
      <c r="I43" s="1375">
        <v>13.17</v>
      </c>
      <c r="J43"/>
      <c r="L43" s="1388" t="s">
        <v>4542</v>
      </c>
      <c r="M43" s="1389">
        <v>1</v>
      </c>
      <c r="N43" s="1375">
        <v>43.4</v>
      </c>
      <c r="O43"/>
    </row>
    <row r="44" spans="2:15" ht="13.8" x14ac:dyDescent="0.25">
      <c r="B44" s="1388" t="s">
        <v>1217</v>
      </c>
      <c r="C44" s="1389">
        <v>1</v>
      </c>
      <c r="D44" s="1375">
        <v>22.48</v>
      </c>
      <c r="E44"/>
      <c r="G44" s="1388">
        <v>34</v>
      </c>
      <c r="H44" s="1389">
        <v>1</v>
      </c>
      <c r="I44" s="1375">
        <v>11</v>
      </c>
      <c r="J44"/>
      <c r="L44" s="1388" t="s">
        <v>4543</v>
      </c>
      <c r="M44" s="1389">
        <v>1</v>
      </c>
      <c r="N44" s="1375">
        <v>42.5</v>
      </c>
      <c r="O44"/>
    </row>
    <row r="45" spans="2:15" ht="13.8" x14ac:dyDescent="0.25">
      <c r="B45" s="1388" t="s">
        <v>1215</v>
      </c>
      <c r="C45" s="1389">
        <v>1</v>
      </c>
      <c r="D45" s="1375">
        <v>5.0199999999999996</v>
      </c>
      <c r="E45"/>
      <c r="G45" s="1388">
        <v>38</v>
      </c>
      <c r="H45" s="1389">
        <v>1</v>
      </c>
      <c r="I45" s="1375">
        <v>10.323550000000001</v>
      </c>
      <c r="J45"/>
      <c r="L45" s="1388" t="s">
        <v>4544</v>
      </c>
      <c r="M45" s="1389">
        <v>1</v>
      </c>
      <c r="N45" s="1375">
        <v>40.97</v>
      </c>
      <c r="O45"/>
    </row>
    <row r="46" spans="2:15" ht="13.8" x14ac:dyDescent="0.25">
      <c r="B46" s="1388" t="s">
        <v>1212</v>
      </c>
      <c r="C46" s="1389">
        <v>0</v>
      </c>
      <c r="D46" s="1375">
        <v>-1.04</v>
      </c>
      <c r="E46"/>
      <c r="G46" s="1388">
        <v>44</v>
      </c>
      <c r="H46" s="1389">
        <v>1</v>
      </c>
      <c r="I46" s="1375">
        <v>9.3000000000000007</v>
      </c>
      <c r="J46"/>
      <c r="L46" s="1388" t="s">
        <v>4545</v>
      </c>
      <c r="M46" s="1389">
        <v>1</v>
      </c>
      <c r="N46" s="1375">
        <v>40.32</v>
      </c>
      <c r="O46"/>
    </row>
    <row r="47" spans="2:15" ht="13.8" x14ac:dyDescent="0.25">
      <c r="B47" s="1388" t="s">
        <v>3294</v>
      </c>
      <c r="C47" s="1389">
        <v>0.5</v>
      </c>
      <c r="D47" s="1375">
        <v>-41.61</v>
      </c>
      <c r="E47"/>
      <c r="G47" s="1388">
        <v>50</v>
      </c>
      <c r="H47" s="1389">
        <v>1</v>
      </c>
      <c r="I47" s="1375">
        <v>7.7927999999999997</v>
      </c>
      <c r="J47"/>
      <c r="L47" s="1388" t="s">
        <v>4546</v>
      </c>
      <c r="M47" s="1389">
        <v>1</v>
      </c>
      <c r="N47" s="1375">
        <v>40.32</v>
      </c>
      <c r="O47"/>
    </row>
    <row r="48" spans="2:15" ht="13.8" x14ac:dyDescent="0.25">
      <c r="B48" s="1388" t="s">
        <v>1209</v>
      </c>
      <c r="C48" s="1389">
        <v>0.8</v>
      </c>
      <c r="D48" s="1375">
        <v>-101.21000000000001</v>
      </c>
      <c r="E48"/>
      <c r="G48" s="1388">
        <v>15.066348655680832</v>
      </c>
      <c r="H48" s="1389">
        <v>1</v>
      </c>
      <c r="I48" s="1375">
        <v>38.36</v>
      </c>
      <c r="J48"/>
      <c r="L48" s="1388" t="s">
        <v>4547</v>
      </c>
      <c r="M48" s="1389">
        <v>1</v>
      </c>
      <c r="N48" s="1375">
        <v>39.79</v>
      </c>
      <c r="O48"/>
    </row>
    <row r="49" spans="2:15" ht="13.8" x14ac:dyDescent="0.25">
      <c r="B49" s="1388" t="s">
        <v>1207</v>
      </c>
      <c r="C49" s="1389">
        <v>0.83333333333333337</v>
      </c>
      <c r="D49" s="1375">
        <v>-135.82000000000005</v>
      </c>
      <c r="E49"/>
      <c r="G49" s="1388">
        <v>31</v>
      </c>
      <c r="H49" s="1389">
        <v>0</v>
      </c>
      <c r="I49" s="1375">
        <v>-399.96</v>
      </c>
      <c r="J49"/>
      <c r="L49" s="1388" t="s">
        <v>4548</v>
      </c>
      <c r="M49" s="1389">
        <v>1</v>
      </c>
      <c r="N49" s="1375">
        <v>38.770000000000003</v>
      </c>
      <c r="O49"/>
    </row>
    <row r="50" spans="2:15" ht="13.8" x14ac:dyDescent="0.25">
      <c r="B50" s="1388" t="s">
        <v>3026</v>
      </c>
      <c r="C50" s="1389">
        <v>0.8</v>
      </c>
      <c r="D50" s="1375">
        <v>-232.93000000000006</v>
      </c>
      <c r="E50"/>
      <c r="G50" s="1388">
        <v>8.2190371887053004</v>
      </c>
      <c r="H50" s="1389">
        <v>1</v>
      </c>
      <c r="I50" s="1375">
        <v>55.57</v>
      </c>
      <c r="J50"/>
      <c r="L50" s="1388" t="s">
        <v>4549</v>
      </c>
      <c r="M50" s="1389">
        <v>1</v>
      </c>
      <c r="N50" s="1375">
        <v>37.07</v>
      </c>
      <c r="O50"/>
    </row>
    <row r="51" spans="2:15" ht="13.8" x14ac:dyDescent="0.25">
      <c r="B51" s="1388" t="s">
        <v>2790</v>
      </c>
      <c r="C51" s="1389">
        <v>0.75</v>
      </c>
      <c r="D51" s="1375">
        <v>-308.86</v>
      </c>
      <c r="E51"/>
      <c r="G51" s="1388">
        <v>10.525</v>
      </c>
      <c r="H51" s="1389">
        <v>1</v>
      </c>
      <c r="I51" s="1375">
        <v>40.11</v>
      </c>
      <c r="J51"/>
      <c r="L51" s="1388" t="s">
        <v>1250</v>
      </c>
      <c r="M51" s="1389">
        <v>1</v>
      </c>
      <c r="N51" s="1375">
        <v>36.29</v>
      </c>
      <c r="O51"/>
    </row>
    <row r="52" spans="2:15" ht="13.8" x14ac:dyDescent="0.25">
      <c r="B52" s="1388" t="s">
        <v>2131</v>
      </c>
      <c r="C52" s="1389">
        <v>0.75</v>
      </c>
      <c r="D52" s="1375">
        <v>-312.54000000000002</v>
      </c>
      <c r="E52"/>
      <c r="G52" s="1388" t="s">
        <v>267</v>
      </c>
      <c r="H52" s="1389">
        <v>0.92233009708737868</v>
      </c>
      <c r="I52" s="1375">
        <v>2412.9064499999995</v>
      </c>
      <c r="J52"/>
      <c r="L52" s="1388" t="s">
        <v>4550</v>
      </c>
      <c r="M52" s="1389">
        <v>1</v>
      </c>
      <c r="N52" s="1375">
        <v>36.130000000000003</v>
      </c>
      <c r="O52"/>
    </row>
    <row r="53" spans="2:15" ht="13.8" x14ac:dyDescent="0.25">
      <c r="B53" s="1388" t="s">
        <v>1205</v>
      </c>
      <c r="C53" s="1389">
        <v>0.5</v>
      </c>
      <c r="D53" s="1375">
        <v>-328.89</v>
      </c>
      <c r="E53"/>
      <c r="G53"/>
      <c r="H53"/>
      <c r="I53"/>
      <c r="J53"/>
      <c r="L53" s="1388" t="s">
        <v>4551</v>
      </c>
      <c r="M53" s="1389">
        <v>1</v>
      </c>
      <c r="N53" s="1375">
        <v>33.85</v>
      </c>
      <c r="O53"/>
    </row>
    <row r="54" spans="2:15" ht="13.8" x14ac:dyDescent="0.25">
      <c r="B54" s="1388" t="s">
        <v>1439</v>
      </c>
      <c r="C54" s="1389">
        <v>0.5</v>
      </c>
      <c r="D54" s="1375">
        <v>-371.33000000000004</v>
      </c>
      <c r="G54"/>
      <c r="H54"/>
      <c r="I54"/>
      <c r="J54"/>
      <c r="L54" s="1388" t="s">
        <v>4552</v>
      </c>
      <c r="M54" s="1389">
        <v>1</v>
      </c>
      <c r="N54" s="1375">
        <v>33.619999999999997</v>
      </c>
      <c r="O54"/>
    </row>
    <row r="55" spans="2:15" ht="13.8" x14ac:dyDescent="0.25">
      <c r="B55" s="1388" t="s">
        <v>3636</v>
      </c>
      <c r="C55" s="1389">
        <v>0</v>
      </c>
      <c r="D55" s="1375">
        <v>-399.96</v>
      </c>
      <c r="G55"/>
      <c r="H55"/>
      <c r="I55"/>
      <c r="J55"/>
      <c r="L55" s="1388" t="s">
        <v>3029</v>
      </c>
      <c r="M55" s="1389">
        <v>1</v>
      </c>
      <c r="N55" s="1375">
        <v>33.08</v>
      </c>
      <c r="O55"/>
    </row>
    <row r="56" spans="2:15" ht="13.8" x14ac:dyDescent="0.25">
      <c r="B56" s="1388" t="s">
        <v>1358</v>
      </c>
      <c r="C56" s="1389">
        <v>1</v>
      </c>
      <c r="D56" s="1375">
        <v>36.729999999999997</v>
      </c>
      <c r="G56"/>
      <c r="H56"/>
      <c r="I56"/>
      <c r="J56"/>
      <c r="L56" s="1388" t="s">
        <v>1229</v>
      </c>
      <c r="M56" s="1389">
        <v>1</v>
      </c>
      <c r="N56" s="1375">
        <v>32.54</v>
      </c>
      <c r="O56"/>
    </row>
    <row r="57" spans="2:15" ht="13.8" x14ac:dyDescent="0.25">
      <c r="B57" s="1388" t="s">
        <v>1360</v>
      </c>
      <c r="C57" s="1389">
        <v>1</v>
      </c>
      <c r="D57" s="1375">
        <v>36.729999999999997</v>
      </c>
      <c r="G57"/>
      <c r="H57"/>
      <c r="I57"/>
      <c r="J57"/>
      <c r="L57" s="1388" t="s">
        <v>4553</v>
      </c>
      <c r="M57" s="1389">
        <v>1</v>
      </c>
      <c r="N57" s="1375">
        <v>31.83</v>
      </c>
      <c r="O57"/>
    </row>
    <row r="58" spans="2:15" ht="13.8" x14ac:dyDescent="0.25">
      <c r="B58" s="1388" t="s">
        <v>1577</v>
      </c>
      <c r="C58" s="1389">
        <v>1</v>
      </c>
      <c r="D58" s="1375">
        <v>336.94000000000005</v>
      </c>
      <c r="E58"/>
      <c r="G58"/>
      <c r="H58"/>
      <c r="I58"/>
      <c r="J58"/>
      <c r="L58" s="1388" t="s">
        <v>4554</v>
      </c>
      <c r="M58" s="1389">
        <v>1</v>
      </c>
      <c r="N58" s="1375">
        <v>31.83</v>
      </c>
      <c r="O58"/>
    </row>
    <row r="59" spans="2:15" ht="13.8" x14ac:dyDescent="0.25">
      <c r="B59" s="1388" t="s">
        <v>1360</v>
      </c>
      <c r="C59" s="1389">
        <v>1</v>
      </c>
      <c r="D59" s="1375">
        <v>166.35</v>
      </c>
      <c r="E59"/>
      <c r="G59"/>
      <c r="H59"/>
      <c r="I59"/>
      <c r="J59"/>
      <c r="L59" s="1388" t="s">
        <v>4555</v>
      </c>
      <c r="M59" s="1389">
        <v>1</v>
      </c>
      <c r="N59" s="1375">
        <v>31.553199999999997</v>
      </c>
      <c r="O59"/>
    </row>
    <row r="60" spans="2:15" ht="13.8" x14ac:dyDescent="0.25">
      <c r="B60" s="1388" t="s">
        <v>1211</v>
      </c>
      <c r="C60" s="1389">
        <v>1</v>
      </c>
      <c r="D60" s="1375">
        <v>63.59</v>
      </c>
      <c r="E60"/>
      <c r="G60"/>
      <c r="H60"/>
      <c r="I60"/>
      <c r="J60"/>
      <c r="L60" s="1388" t="s">
        <v>4556</v>
      </c>
      <c r="M60" s="1389">
        <v>1</v>
      </c>
      <c r="N60" s="1375">
        <v>30.56</v>
      </c>
      <c r="O60"/>
    </row>
    <row r="61" spans="2:15" ht="13.8" x14ac:dyDescent="0.25">
      <c r="B61" s="1388" t="s">
        <v>1200</v>
      </c>
      <c r="C61" s="1389">
        <v>1</v>
      </c>
      <c r="D61" s="1375">
        <v>40.32</v>
      </c>
      <c r="E61"/>
      <c r="G61"/>
      <c r="H61"/>
      <c r="I61"/>
      <c r="J61"/>
      <c r="L61" s="1388" t="s">
        <v>4557</v>
      </c>
      <c r="M61" s="1389">
        <v>1</v>
      </c>
      <c r="N61" s="1375">
        <v>28.65</v>
      </c>
      <c r="O61"/>
    </row>
    <row r="62" spans="2:15" ht="13.8" x14ac:dyDescent="0.25">
      <c r="B62" s="1388" t="s">
        <v>2011</v>
      </c>
      <c r="C62" s="1389">
        <v>1</v>
      </c>
      <c r="D62" s="1375">
        <v>36.29</v>
      </c>
      <c r="E62"/>
      <c r="G62"/>
      <c r="H62"/>
      <c r="I62"/>
      <c r="J62"/>
      <c r="L62" s="1388" t="s">
        <v>3602</v>
      </c>
      <c r="M62" s="1389">
        <v>1</v>
      </c>
      <c r="N62" s="1375">
        <v>26.82</v>
      </c>
      <c r="O62"/>
    </row>
    <row r="63" spans="2:15" ht="13.8" x14ac:dyDescent="0.25">
      <c r="B63" s="1388" t="s">
        <v>1207</v>
      </c>
      <c r="C63" s="1389">
        <v>1</v>
      </c>
      <c r="D63" s="1375">
        <v>30.39</v>
      </c>
      <c r="E63"/>
      <c r="G63"/>
      <c r="H63"/>
      <c r="I63"/>
      <c r="J63"/>
      <c r="L63" s="1388" t="s">
        <v>1561</v>
      </c>
      <c r="M63" s="1389">
        <v>1</v>
      </c>
      <c r="N63" s="1375">
        <v>24.92</v>
      </c>
      <c r="O63"/>
    </row>
    <row r="64" spans="2:15" ht="13.8" x14ac:dyDescent="0.25">
      <c r="B64" s="1388" t="s">
        <v>3353</v>
      </c>
      <c r="C64" s="1389">
        <v>1</v>
      </c>
      <c r="D64" s="1375">
        <v>639.3614</v>
      </c>
      <c r="E64"/>
      <c r="G64"/>
      <c r="H64"/>
      <c r="I64"/>
      <c r="J64"/>
      <c r="L64" s="1388" t="s">
        <v>4558</v>
      </c>
      <c r="M64" s="1389">
        <v>1</v>
      </c>
      <c r="N64" s="1375">
        <v>24.64</v>
      </c>
      <c r="O64"/>
    </row>
    <row r="65" spans="2:15" ht="13.8" x14ac:dyDescent="0.25">
      <c r="B65" s="1388" t="s">
        <v>3294</v>
      </c>
      <c r="C65" s="1389">
        <v>1</v>
      </c>
      <c r="D65" s="1375">
        <v>639.3614</v>
      </c>
      <c r="E65"/>
      <c r="G65"/>
      <c r="H65"/>
      <c r="I65"/>
      <c r="J65"/>
      <c r="L65" s="1388" t="s">
        <v>4559</v>
      </c>
      <c r="M65" s="1389">
        <v>1</v>
      </c>
      <c r="N65" s="1375">
        <v>23.34</v>
      </c>
      <c r="O65"/>
    </row>
    <row r="66" spans="2:15" ht="13.8" x14ac:dyDescent="0.25">
      <c r="B66" s="1388" t="s">
        <v>3746</v>
      </c>
      <c r="C66" s="1389">
        <v>1</v>
      </c>
      <c r="D66" s="1375">
        <v>28.3</v>
      </c>
      <c r="E66"/>
      <c r="G66"/>
      <c r="H66"/>
      <c r="I66"/>
      <c r="J66"/>
      <c r="L66" s="1388" t="s">
        <v>1223</v>
      </c>
      <c r="M66" s="1389">
        <v>1</v>
      </c>
      <c r="N66" s="1375">
        <v>17.059999999999999</v>
      </c>
      <c r="O66"/>
    </row>
    <row r="67" spans="2:15" ht="13.8" x14ac:dyDescent="0.25">
      <c r="B67" s="1388" t="s">
        <v>3294</v>
      </c>
      <c r="C67" s="1389">
        <v>1</v>
      </c>
      <c r="D67" s="1375">
        <v>28.3</v>
      </c>
      <c r="E67"/>
      <c r="G67"/>
      <c r="H67"/>
      <c r="I67"/>
      <c r="J67"/>
      <c r="L67" s="1388" t="s">
        <v>4560</v>
      </c>
      <c r="M67" s="1389">
        <v>1</v>
      </c>
      <c r="N67" s="1375">
        <v>17.059999999999999</v>
      </c>
      <c r="O67"/>
    </row>
    <row r="68" spans="2:15" ht="13.8" x14ac:dyDescent="0.25">
      <c r="B68" s="1388" t="s">
        <v>267</v>
      </c>
      <c r="C68" s="1389">
        <v>0.92233009708737868</v>
      </c>
      <c r="D68" s="1375">
        <v>2412.9064499999995</v>
      </c>
      <c r="E68"/>
      <c r="G68"/>
      <c r="H68"/>
      <c r="I68"/>
      <c r="J68"/>
      <c r="L68" s="1388" t="s">
        <v>1228</v>
      </c>
      <c r="M68" s="1389">
        <v>1</v>
      </c>
      <c r="N68" s="1375">
        <v>16.73</v>
      </c>
      <c r="O68"/>
    </row>
    <row r="69" spans="2:15" ht="13.8" x14ac:dyDescent="0.25">
      <c r="B69"/>
      <c r="C69"/>
      <c r="D69"/>
      <c r="E69"/>
      <c r="G69"/>
      <c r="H69"/>
      <c r="I69"/>
      <c r="J69"/>
      <c r="L69" s="1388" t="s">
        <v>4561</v>
      </c>
      <c r="M69" s="1389">
        <v>1</v>
      </c>
      <c r="N69" s="1375">
        <v>16.61</v>
      </c>
      <c r="O69"/>
    </row>
    <row r="70" spans="2:15" ht="13.8" x14ac:dyDescent="0.25">
      <c r="B70"/>
      <c r="C70"/>
      <c r="D70"/>
      <c r="E70"/>
      <c r="G70"/>
      <c r="H70"/>
      <c r="I70"/>
      <c r="J70"/>
      <c r="L70" s="1388" t="s">
        <v>1225</v>
      </c>
      <c r="M70" s="1389">
        <v>1</v>
      </c>
      <c r="N70" s="1375">
        <v>7.64</v>
      </c>
      <c r="O70"/>
    </row>
    <row r="71" spans="2:15" ht="13.8" x14ac:dyDescent="0.25">
      <c r="B71"/>
      <c r="C71"/>
      <c r="D71"/>
      <c r="E71"/>
      <c r="G71"/>
      <c r="H71"/>
      <c r="I71"/>
      <c r="J71"/>
      <c r="L71" s="1388" t="s">
        <v>1224</v>
      </c>
      <c r="M71" s="1389">
        <v>1</v>
      </c>
      <c r="N71" s="1375">
        <v>6.82</v>
      </c>
      <c r="O71"/>
    </row>
    <row r="72" spans="2:15" ht="13.8" x14ac:dyDescent="0.25">
      <c r="B72"/>
      <c r="C72"/>
      <c r="D72"/>
      <c r="E72"/>
      <c r="G72"/>
      <c r="H72"/>
      <c r="I72"/>
      <c r="J72"/>
      <c r="L72" s="1388" t="s">
        <v>4562</v>
      </c>
      <c r="M72" s="1389">
        <v>1</v>
      </c>
      <c r="N72" s="1375">
        <v>5.0199999999999996</v>
      </c>
      <c r="O72"/>
    </row>
    <row r="73" spans="2:15" ht="13.8" x14ac:dyDescent="0.25">
      <c r="B73"/>
      <c r="C73"/>
      <c r="D73"/>
      <c r="E73"/>
      <c r="G73"/>
      <c r="H73"/>
      <c r="I73"/>
      <c r="J73"/>
      <c r="L73" s="1388" t="s">
        <v>4563</v>
      </c>
      <c r="M73" s="1389">
        <v>0</v>
      </c>
      <c r="N73" s="1375">
        <v>-1.04</v>
      </c>
      <c r="O73"/>
    </row>
    <row r="74" spans="2:15" ht="13.8" x14ac:dyDescent="0.25">
      <c r="B74"/>
      <c r="C74"/>
      <c r="D74"/>
      <c r="E74"/>
      <c r="G74"/>
      <c r="H74"/>
      <c r="I74"/>
      <c r="J74"/>
      <c r="L74" s="1388" t="s">
        <v>4564</v>
      </c>
      <c r="M74" s="1389">
        <v>0.8</v>
      </c>
      <c r="N74" s="1375">
        <v>-22.970049999999986</v>
      </c>
      <c r="O74"/>
    </row>
    <row r="75" spans="2:15" ht="13.8" x14ac:dyDescent="0.25">
      <c r="B75"/>
      <c r="C75"/>
      <c r="D75"/>
      <c r="E75"/>
      <c r="G75"/>
      <c r="H75"/>
      <c r="I75"/>
      <c r="J75"/>
      <c r="L75" s="1388" t="s">
        <v>4565</v>
      </c>
      <c r="M75" s="1389">
        <v>0</v>
      </c>
      <c r="N75" s="1375">
        <v>-72.17</v>
      </c>
      <c r="O75"/>
    </row>
    <row r="76" spans="2:15" ht="13.8" x14ac:dyDescent="0.25">
      <c r="B76"/>
      <c r="C76"/>
      <c r="D76"/>
      <c r="E76"/>
      <c r="G76"/>
      <c r="H76"/>
      <c r="I76"/>
      <c r="J76"/>
      <c r="L76" s="1388" t="s">
        <v>1557</v>
      </c>
      <c r="M76" s="1389">
        <v>0.8</v>
      </c>
      <c r="N76" s="1375">
        <v>-92.510149999999996</v>
      </c>
      <c r="O76"/>
    </row>
    <row r="77" spans="2:15" ht="13.8" x14ac:dyDescent="0.25">
      <c r="B77"/>
      <c r="C77"/>
      <c r="D77"/>
      <c r="E77"/>
      <c r="G77"/>
      <c r="H77"/>
      <c r="I77"/>
      <c r="J77"/>
      <c r="L77" s="1388" t="s">
        <v>1389</v>
      </c>
      <c r="M77" s="1389">
        <v>0.75</v>
      </c>
      <c r="N77" s="1375">
        <v>-268.43305000000004</v>
      </c>
      <c r="O77"/>
    </row>
    <row r="78" spans="2:15" ht="13.8" x14ac:dyDescent="0.25">
      <c r="B78"/>
      <c r="C78"/>
      <c r="D78"/>
      <c r="E78"/>
      <c r="G78"/>
      <c r="H78"/>
      <c r="I78"/>
      <c r="J78"/>
      <c r="L78" s="1388" t="s">
        <v>4566</v>
      </c>
      <c r="M78" s="1389">
        <v>0.5</v>
      </c>
      <c r="N78" s="1375">
        <v>-272.19</v>
      </c>
      <c r="O78"/>
    </row>
    <row r="79" spans="2:15" ht="13.8" x14ac:dyDescent="0.25">
      <c r="B79"/>
      <c r="C79"/>
      <c r="D79"/>
      <c r="E79"/>
      <c r="G79"/>
      <c r="H79"/>
      <c r="I79"/>
      <c r="J79"/>
      <c r="L79" s="1388" t="s">
        <v>4567</v>
      </c>
      <c r="M79" s="1389">
        <v>0.5</v>
      </c>
      <c r="N79" s="1375">
        <v>-355.99</v>
      </c>
      <c r="O79"/>
    </row>
    <row r="80" spans="2:15" ht="13.8" x14ac:dyDescent="0.25">
      <c r="B80"/>
      <c r="C80"/>
      <c r="D80"/>
      <c r="E80"/>
      <c r="G80"/>
      <c r="H80"/>
      <c r="I80"/>
      <c r="J80"/>
      <c r="L80" s="1388" t="s">
        <v>4477</v>
      </c>
      <c r="M80" s="1389">
        <v>0</v>
      </c>
      <c r="N80" s="1375">
        <v>-365.02</v>
      </c>
      <c r="O80"/>
    </row>
    <row r="81" spans="2:15" ht="13.8" x14ac:dyDescent="0.25">
      <c r="B81"/>
      <c r="C81"/>
      <c r="D81"/>
      <c r="E81"/>
      <c r="G81"/>
      <c r="H81"/>
      <c r="I81"/>
      <c r="J81"/>
      <c r="L81" s="1388" t="s">
        <v>4568</v>
      </c>
      <c r="M81" s="1389">
        <v>0</v>
      </c>
      <c r="N81" s="1375">
        <v>-399.96</v>
      </c>
      <c r="O81"/>
    </row>
    <row r="82" spans="2:15" ht="13.8" x14ac:dyDescent="0.25">
      <c r="B82"/>
      <c r="C82"/>
      <c r="D82"/>
      <c r="E82"/>
      <c r="G82"/>
      <c r="H82"/>
      <c r="I82"/>
      <c r="J82"/>
      <c r="L82" s="1388" t="s">
        <v>4157</v>
      </c>
      <c r="M82" s="1389">
        <v>0</v>
      </c>
      <c r="N82" s="1375">
        <v>-399.98</v>
      </c>
      <c r="O82"/>
    </row>
    <row r="83" spans="2:15" ht="13.8" x14ac:dyDescent="0.25">
      <c r="B83"/>
      <c r="C83"/>
      <c r="G83"/>
      <c r="H83"/>
      <c r="I83"/>
      <c r="J83"/>
      <c r="L83" s="1388" t="s">
        <v>4569</v>
      </c>
      <c r="M83" s="1389">
        <v>0</v>
      </c>
      <c r="N83" s="1375">
        <v>-425.04</v>
      </c>
      <c r="O83"/>
    </row>
    <row r="84" spans="2:15" ht="13.8" x14ac:dyDescent="0.25">
      <c r="B84"/>
      <c r="C84"/>
      <c r="G84"/>
      <c r="H84"/>
      <c r="I84"/>
      <c r="J84"/>
      <c r="L84" s="1388" t="s">
        <v>1577</v>
      </c>
      <c r="M84" s="1389">
        <v>1</v>
      </c>
      <c r="N84" s="1375">
        <v>336.93999999999994</v>
      </c>
      <c r="O84"/>
    </row>
    <row r="85" spans="2:15" ht="13.8" x14ac:dyDescent="0.25">
      <c r="B85"/>
      <c r="C85"/>
      <c r="G85"/>
      <c r="H85"/>
      <c r="I85"/>
      <c r="J85"/>
      <c r="L85" s="1388" t="s">
        <v>1535</v>
      </c>
      <c r="M85" s="1389">
        <v>1</v>
      </c>
      <c r="N85" s="1375">
        <v>78.84</v>
      </c>
      <c r="O85"/>
    </row>
    <row r="86" spans="2:15" ht="13.8" x14ac:dyDescent="0.25">
      <c r="B86"/>
      <c r="C86"/>
      <c r="G86"/>
      <c r="H86"/>
      <c r="I86"/>
      <c r="J86"/>
      <c r="L86" s="1388" t="s">
        <v>4570</v>
      </c>
      <c r="M86" s="1389">
        <v>1</v>
      </c>
      <c r="N86" s="1375">
        <v>44.96</v>
      </c>
      <c r="O86"/>
    </row>
    <row r="87" spans="2:15" ht="13.8" x14ac:dyDescent="0.25">
      <c r="B87"/>
      <c r="C87"/>
      <c r="G87"/>
      <c r="H87"/>
      <c r="I87"/>
      <c r="J87"/>
      <c r="L87" s="1388" t="s">
        <v>4523</v>
      </c>
      <c r="M87" s="1389">
        <v>1</v>
      </c>
      <c r="N87" s="1375">
        <v>42.55</v>
      </c>
      <c r="O87"/>
    </row>
    <row r="88" spans="2:15" ht="13.8" x14ac:dyDescent="0.25">
      <c r="B88"/>
      <c r="C88"/>
      <c r="G88"/>
      <c r="H88"/>
      <c r="I88"/>
      <c r="J88"/>
      <c r="L88" s="1388" t="s">
        <v>2624</v>
      </c>
      <c r="M88" s="1389">
        <v>1</v>
      </c>
      <c r="N88" s="1375">
        <v>40.32</v>
      </c>
      <c r="O88"/>
    </row>
    <row r="89" spans="2:15" ht="13.8" x14ac:dyDescent="0.25">
      <c r="B89"/>
      <c r="C89"/>
      <c r="G89"/>
      <c r="H89"/>
      <c r="I89"/>
      <c r="J89"/>
      <c r="L89" s="1388" t="s">
        <v>4571</v>
      </c>
      <c r="M89" s="1389">
        <v>1</v>
      </c>
      <c r="N89" s="1375">
        <v>36.29</v>
      </c>
      <c r="O89"/>
    </row>
    <row r="90" spans="2:15" ht="13.8" x14ac:dyDescent="0.25">
      <c r="B90"/>
      <c r="C90"/>
      <c r="G90"/>
      <c r="H90"/>
      <c r="I90"/>
      <c r="J90"/>
      <c r="L90" s="1388" t="s">
        <v>4572</v>
      </c>
      <c r="M90" s="1389">
        <v>1</v>
      </c>
      <c r="N90" s="1375">
        <v>34.56</v>
      </c>
      <c r="O90"/>
    </row>
    <row r="91" spans="2:15" ht="13.8" x14ac:dyDescent="0.25">
      <c r="B91"/>
      <c r="C91"/>
      <c r="G91"/>
      <c r="H91"/>
      <c r="I91"/>
      <c r="J91"/>
      <c r="L91" s="1388" t="s">
        <v>4528</v>
      </c>
      <c r="M91" s="1389">
        <v>1</v>
      </c>
      <c r="N91" s="1375">
        <v>30.39</v>
      </c>
      <c r="O91"/>
    </row>
    <row r="92" spans="2:15" ht="13.8" x14ac:dyDescent="0.25">
      <c r="B92"/>
      <c r="C92"/>
      <c r="G92"/>
      <c r="H92"/>
      <c r="I92"/>
      <c r="J92"/>
      <c r="L92" s="1388" t="s">
        <v>4573</v>
      </c>
      <c r="M92" s="1389">
        <v>1</v>
      </c>
      <c r="N92" s="1375">
        <v>29.03</v>
      </c>
      <c r="O92"/>
    </row>
    <row r="93" spans="2:15" ht="13.8" x14ac:dyDescent="0.25">
      <c r="B93"/>
      <c r="C93"/>
      <c r="G93"/>
      <c r="H93"/>
      <c r="I93"/>
      <c r="J93"/>
      <c r="L93" s="1388" t="s">
        <v>267</v>
      </c>
      <c r="M93" s="1389">
        <v>0.91772151898734178</v>
      </c>
      <c r="N93" s="1375">
        <v>1588.4818999999991</v>
      </c>
      <c r="O93"/>
    </row>
    <row r="94" spans="2:15" ht="13.8" x14ac:dyDescent="0.25">
      <c r="B94"/>
      <c r="C94"/>
      <c r="G94"/>
      <c r="H94"/>
      <c r="I94"/>
      <c r="J94"/>
      <c r="L94"/>
      <c r="M94"/>
      <c r="N94"/>
      <c r="O94"/>
    </row>
    <row r="95" spans="2:15" ht="13.8" x14ac:dyDescent="0.25">
      <c r="B95"/>
      <c r="C95"/>
      <c r="G95"/>
      <c r="H95"/>
      <c r="I95"/>
      <c r="J95"/>
      <c r="L95"/>
      <c r="M95"/>
      <c r="N95"/>
      <c r="O95"/>
    </row>
    <row r="96" spans="2:15" ht="13.8" x14ac:dyDescent="0.25">
      <c r="B96"/>
      <c r="C96"/>
      <c r="G96"/>
      <c r="H96"/>
      <c r="I96"/>
      <c r="J96"/>
      <c r="L96"/>
      <c r="M96"/>
      <c r="N96"/>
      <c r="O96"/>
    </row>
    <row r="97" spans="2:15" ht="13.8" x14ac:dyDescent="0.25">
      <c r="B97"/>
      <c r="C97"/>
      <c r="G97"/>
      <c r="H97"/>
      <c r="I97"/>
      <c r="J97"/>
      <c r="L97"/>
      <c r="M97"/>
      <c r="N97"/>
      <c r="O97"/>
    </row>
    <row r="98" spans="2:15" ht="13.8" x14ac:dyDescent="0.25">
      <c r="B98"/>
      <c r="C98"/>
      <c r="G98"/>
      <c r="H98"/>
      <c r="I98"/>
      <c r="J98"/>
      <c r="L98"/>
      <c r="M98"/>
      <c r="N98"/>
      <c r="O98"/>
    </row>
    <row r="99" spans="2:15" ht="13.8" x14ac:dyDescent="0.25">
      <c r="B99"/>
      <c r="C99"/>
      <c r="G99"/>
      <c r="H99"/>
      <c r="I99"/>
      <c r="J99"/>
      <c r="L99"/>
      <c r="M99"/>
      <c r="N99"/>
      <c r="O99"/>
    </row>
    <row r="100" spans="2:15" ht="13.8" x14ac:dyDescent="0.25">
      <c r="B100"/>
      <c r="C100"/>
      <c r="G100"/>
      <c r="H100"/>
      <c r="I100"/>
      <c r="J100"/>
      <c r="L100"/>
      <c r="M100"/>
      <c r="N100"/>
      <c r="O100"/>
    </row>
    <row r="101" spans="2:15" ht="13.8" x14ac:dyDescent="0.25">
      <c r="B101"/>
      <c r="C101"/>
      <c r="G101"/>
      <c r="H101"/>
      <c r="I101"/>
      <c r="J101"/>
      <c r="L101"/>
      <c r="M101"/>
      <c r="N101"/>
      <c r="O101"/>
    </row>
    <row r="102" spans="2:15" ht="13.8" x14ac:dyDescent="0.25">
      <c r="B102"/>
      <c r="C102"/>
      <c r="G102"/>
      <c r="H102"/>
      <c r="I102"/>
      <c r="J102"/>
      <c r="L102"/>
      <c r="M102"/>
      <c r="N102"/>
      <c r="O102"/>
    </row>
    <row r="103" spans="2:15" ht="13.8" x14ac:dyDescent="0.25">
      <c r="B103"/>
      <c r="C103"/>
      <c r="G103"/>
      <c r="H103"/>
      <c r="I103"/>
      <c r="J103"/>
      <c r="L103"/>
      <c r="M103"/>
      <c r="N103"/>
      <c r="O103"/>
    </row>
    <row r="104" spans="2:15" ht="13.8" x14ac:dyDescent="0.25">
      <c r="B104"/>
      <c r="C104"/>
      <c r="G104"/>
      <c r="H104"/>
      <c r="I104"/>
      <c r="J104"/>
      <c r="L104"/>
      <c r="M104"/>
      <c r="N104"/>
      <c r="O104"/>
    </row>
    <row r="105" spans="2:15" ht="13.8" x14ac:dyDescent="0.25">
      <c r="B105"/>
      <c r="C105"/>
      <c r="G105"/>
      <c r="H105"/>
      <c r="I105"/>
      <c r="J105"/>
      <c r="L105"/>
      <c r="M105"/>
      <c r="N105"/>
      <c r="O105"/>
    </row>
    <row r="106" spans="2:15" ht="13.8" x14ac:dyDescent="0.25">
      <c r="B106"/>
      <c r="C106"/>
      <c r="G106"/>
      <c r="H106"/>
      <c r="I106"/>
      <c r="J106"/>
      <c r="L106"/>
      <c r="M106"/>
      <c r="N106"/>
      <c r="O106"/>
    </row>
    <row r="107" spans="2:15" ht="13.8" x14ac:dyDescent="0.25">
      <c r="B107"/>
      <c r="C107"/>
      <c r="G107"/>
      <c r="H107"/>
      <c r="I107"/>
      <c r="J107"/>
      <c r="L107"/>
      <c r="M107"/>
      <c r="N107"/>
      <c r="O107"/>
    </row>
    <row r="108" spans="2:15" ht="13.8" x14ac:dyDescent="0.25">
      <c r="B108"/>
      <c r="C108"/>
      <c r="G108"/>
      <c r="H108"/>
      <c r="I108"/>
      <c r="J108"/>
      <c r="L108"/>
      <c r="M108"/>
      <c r="N108"/>
      <c r="O108"/>
    </row>
    <row r="109" spans="2:15" ht="13.8" x14ac:dyDescent="0.25">
      <c r="B109"/>
      <c r="C109"/>
      <c r="G109"/>
      <c r="H109"/>
      <c r="I109"/>
      <c r="J109"/>
      <c r="L109"/>
      <c r="M109"/>
      <c r="N109"/>
      <c r="O109"/>
    </row>
    <row r="110" spans="2:15" ht="13.8" x14ac:dyDescent="0.25">
      <c r="B110"/>
      <c r="C110"/>
      <c r="G110"/>
      <c r="H110"/>
      <c r="I110"/>
      <c r="J110"/>
      <c r="L110"/>
      <c r="M110"/>
      <c r="N110"/>
      <c r="O110"/>
    </row>
    <row r="111" spans="2:15" ht="13.8" x14ac:dyDescent="0.25">
      <c r="B111"/>
      <c r="C111"/>
      <c r="G111"/>
      <c r="H111"/>
      <c r="I111"/>
      <c r="J111"/>
      <c r="L111"/>
      <c r="M111"/>
      <c r="N111"/>
      <c r="O111"/>
    </row>
    <row r="112" spans="2:15" ht="13.8" x14ac:dyDescent="0.25">
      <c r="B112"/>
      <c r="C112"/>
      <c r="G112"/>
      <c r="H112"/>
      <c r="I112"/>
      <c r="J112"/>
      <c r="L112"/>
      <c r="M112"/>
      <c r="N112"/>
      <c r="O112"/>
    </row>
    <row r="113" spans="2:15" ht="13.8" x14ac:dyDescent="0.25">
      <c r="B113"/>
      <c r="C113"/>
      <c r="G113"/>
      <c r="H113"/>
      <c r="I113"/>
      <c r="J113"/>
      <c r="L113"/>
      <c r="M113"/>
      <c r="N113"/>
      <c r="O113"/>
    </row>
    <row r="114" spans="2:15" ht="13.8" x14ac:dyDescent="0.25">
      <c r="B114"/>
      <c r="C114"/>
      <c r="G114"/>
      <c r="H114"/>
      <c r="I114"/>
      <c r="J114"/>
      <c r="L114"/>
      <c r="M114"/>
      <c r="N114"/>
      <c r="O114"/>
    </row>
    <row r="115" spans="2:15" ht="13.8" x14ac:dyDescent="0.25">
      <c r="B115"/>
      <c r="C115"/>
      <c r="G115"/>
      <c r="H115"/>
      <c r="I115"/>
      <c r="J115"/>
      <c r="L115"/>
      <c r="M115"/>
      <c r="N115"/>
      <c r="O115"/>
    </row>
    <row r="116" spans="2:15" ht="13.8" x14ac:dyDescent="0.25">
      <c r="B116"/>
      <c r="C116"/>
      <c r="G116"/>
      <c r="H116"/>
      <c r="I116"/>
      <c r="J116"/>
      <c r="L116"/>
      <c r="M116"/>
      <c r="N116"/>
      <c r="O116"/>
    </row>
    <row r="117" spans="2:15" ht="13.8" x14ac:dyDescent="0.25">
      <c r="B117"/>
      <c r="C117"/>
      <c r="G117"/>
      <c r="H117"/>
      <c r="I117"/>
      <c r="J117"/>
      <c r="L117"/>
      <c r="M117"/>
      <c r="N117"/>
      <c r="O117"/>
    </row>
    <row r="118" spans="2:15" ht="13.8" x14ac:dyDescent="0.25">
      <c r="B118"/>
      <c r="C118"/>
      <c r="G118"/>
      <c r="H118"/>
      <c r="I118"/>
      <c r="J118"/>
      <c r="L118"/>
      <c r="M118"/>
      <c r="N118"/>
      <c r="O118"/>
    </row>
    <row r="119" spans="2:15" ht="13.8" x14ac:dyDescent="0.25">
      <c r="B119"/>
      <c r="C119"/>
      <c r="G119"/>
      <c r="H119"/>
      <c r="I119"/>
      <c r="J119"/>
      <c r="L119"/>
      <c r="M119"/>
      <c r="N119"/>
      <c r="O119"/>
    </row>
    <row r="120" spans="2:15" ht="13.8" x14ac:dyDescent="0.25">
      <c r="B120"/>
      <c r="C120"/>
      <c r="G120"/>
      <c r="H120"/>
      <c r="I120"/>
      <c r="J120"/>
      <c r="L120"/>
      <c r="M120"/>
      <c r="N120"/>
      <c r="O120"/>
    </row>
    <row r="121" spans="2:15" ht="13.8" x14ac:dyDescent="0.25">
      <c r="B121"/>
      <c r="C121"/>
      <c r="G121"/>
      <c r="H121"/>
      <c r="I121"/>
      <c r="J121"/>
      <c r="L121"/>
      <c r="M121"/>
      <c r="N121"/>
      <c r="O121"/>
    </row>
    <row r="122" spans="2:15" ht="13.8" x14ac:dyDescent="0.25">
      <c r="B122"/>
      <c r="C122"/>
      <c r="G122"/>
      <c r="H122"/>
      <c r="I122"/>
      <c r="J122"/>
      <c r="L122"/>
      <c r="M122"/>
      <c r="N122"/>
      <c r="O122"/>
    </row>
    <row r="123" spans="2:15" ht="13.8" x14ac:dyDescent="0.25">
      <c r="B123"/>
      <c r="C123"/>
      <c r="G123"/>
      <c r="H123"/>
      <c r="I123"/>
      <c r="J123"/>
      <c r="L123"/>
      <c r="M123"/>
      <c r="N123"/>
      <c r="O123"/>
    </row>
    <row r="124" spans="2:15" ht="13.8" x14ac:dyDescent="0.25">
      <c r="B124"/>
      <c r="C124"/>
      <c r="G124"/>
      <c r="H124"/>
      <c r="I124"/>
      <c r="J124"/>
      <c r="L124"/>
      <c r="M124"/>
      <c r="N124"/>
      <c r="O124"/>
    </row>
    <row r="125" spans="2:15" ht="13.8" x14ac:dyDescent="0.25">
      <c r="B125"/>
      <c r="C125"/>
      <c r="G125"/>
      <c r="H125"/>
      <c r="I125"/>
      <c r="J125"/>
      <c r="L125"/>
      <c r="M125"/>
      <c r="N125"/>
      <c r="O125"/>
    </row>
    <row r="126" spans="2:15" ht="13.8" x14ac:dyDescent="0.25">
      <c r="B126"/>
      <c r="C126"/>
      <c r="G126"/>
      <c r="H126"/>
      <c r="I126"/>
      <c r="J126"/>
      <c r="L126"/>
      <c r="M126"/>
      <c r="N126"/>
      <c r="O126"/>
    </row>
    <row r="127" spans="2:15" ht="13.8" x14ac:dyDescent="0.25">
      <c r="B127"/>
      <c r="C127"/>
      <c r="G127"/>
      <c r="H127"/>
      <c r="I127"/>
      <c r="J127"/>
      <c r="L127"/>
      <c r="M127"/>
      <c r="N127"/>
      <c r="O127"/>
    </row>
    <row r="128" spans="2:15" ht="13.8" x14ac:dyDescent="0.25">
      <c r="B128"/>
      <c r="C128"/>
      <c r="G128"/>
      <c r="H128"/>
      <c r="I128"/>
      <c r="J128"/>
      <c r="L128"/>
      <c r="M128"/>
      <c r="N128"/>
      <c r="O128"/>
    </row>
    <row r="129" spans="2:15" ht="13.8" x14ac:dyDescent="0.25">
      <c r="B129"/>
      <c r="C129"/>
      <c r="G129"/>
      <c r="H129"/>
      <c r="I129"/>
      <c r="J129"/>
      <c r="L129"/>
      <c r="M129"/>
      <c r="N129"/>
      <c r="O129"/>
    </row>
    <row r="130" spans="2:15" ht="13.8" x14ac:dyDescent="0.25">
      <c r="B130"/>
      <c r="C130"/>
      <c r="G130"/>
      <c r="H130"/>
      <c r="I130"/>
      <c r="J130"/>
      <c r="L130"/>
      <c r="M130"/>
      <c r="N130"/>
      <c r="O130"/>
    </row>
    <row r="131" spans="2:15" ht="13.8" x14ac:dyDescent="0.25">
      <c r="B131"/>
      <c r="C131"/>
      <c r="G131"/>
      <c r="H131"/>
      <c r="I131"/>
      <c r="J131"/>
      <c r="L131"/>
      <c r="M131"/>
      <c r="N131"/>
      <c r="O131"/>
    </row>
    <row r="132" spans="2:15" ht="13.8" x14ac:dyDescent="0.25">
      <c r="B132"/>
      <c r="C132"/>
      <c r="G132"/>
      <c r="H132"/>
      <c r="I132"/>
      <c r="J132"/>
      <c r="L132"/>
      <c r="M132"/>
      <c r="N132"/>
      <c r="O132"/>
    </row>
    <row r="133" spans="2:15" ht="13.8" x14ac:dyDescent="0.25">
      <c r="B133"/>
      <c r="C133"/>
      <c r="G133"/>
      <c r="H133"/>
      <c r="I133"/>
      <c r="J133"/>
      <c r="L133"/>
      <c r="M133"/>
      <c r="N133"/>
      <c r="O133"/>
    </row>
    <row r="134" spans="2:15" ht="13.8" x14ac:dyDescent="0.25">
      <c r="B134"/>
      <c r="C134"/>
      <c r="G134"/>
      <c r="H134"/>
      <c r="I134"/>
      <c r="J134"/>
      <c r="L134"/>
      <c r="M134"/>
      <c r="N134"/>
      <c r="O134"/>
    </row>
    <row r="135" spans="2:15" ht="13.8" x14ac:dyDescent="0.25">
      <c r="B135"/>
      <c r="C135"/>
      <c r="G135"/>
      <c r="H135"/>
      <c r="I135"/>
      <c r="J135"/>
      <c r="L135"/>
      <c r="M135"/>
      <c r="N135"/>
      <c r="O135"/>
    </row>
    <row r="136" spans="2:15" ht="13.8" x14ac:dyDescent="0.25">
      <c r="B136"/>
      <c r="C136"/>
      <c r="G136"/>
      <c r="H136"/>
      <c r="I136"/>
      <c r="J136"/>
      <c r="L136"/>
      <c r="M136"/>
      <c r="N136"/>
      <c r="O136"/>
    </row>
    <row r="137" spans="2:15" ht="13.8" x14ac:dyDescent="0.25">
      <c r="B137"/>
      <c r="C137"/>
      <c r="G137"/>
      <c r="H137"/>
      <c r="I137"/>
      <c r="J137"/>
      <c r="L137"/>
      <c r="M137"/>
      <c r="N137"/>
      <c r="O137"/>
    </row>
    <row r="138" spans="2:15" ht="13.8" x14ac:dyDescent="0.25">
      <c r="B138"/>
      <c r="C138"/>
      <c r="G138"/>
      <c r="H138"/>
      <c r="I138"/>
      <c r="J138"/>
      <c r="L138"/>
      <c r="M138"/>
      <c r="N138"/>
      <c r="O138"/>
    </row>
    <row r="139" spans="2:15" ht="13.8" x14ac:dyDescent="0.25">
      <c r="B139"/>
      <c r="C139"/>
      <c r="G139"/>
      <c r="H139"/>
      <c r="I139"/>
      <c r="J139"/>
      <c r="L139"/>
      <c r="M139"/>
      <c r="N139"/>
      <c r="O139"/>
    </row>
    <row r="140" spans="2:15" ht="13.8" x14ac:dyDescent="0.25">
      <c r="B140"/>
      <c r="C140"/>
      <c r="G140"/>
      <c r="H140"/>
      <c r="I140"/>
      <c r="J140"/>
      <c r="L140"/>
      <c r="M140"/>
      <c r="N140"/>
      <c r="O140"/>
    </row>
    <row r="141" spans="2:15" ht="13.8" x14ac:dyDescent="0.25">
      <c r="B141"/>
      <c r="C141"/>
      <c r="G141"/>
      <c r="H141"/>
      <c r="I141"/>
      <c r="J141"/>
      <c r="L141"/>
      <c r="M141"/>
      <c r="N141"/>
      <c r="O141"/>
    </row>
    <row r="142" spans="2:15" ht="13.8" x14ac:dyDescent="0.25">
      <c r="B142"/>
      <c r="C142"/>
      <c r="G142"/>
      <c r="H142"/>
      <c r="I142"/>
      <c r="J142"/>
      <c r="L142"/>
      <c r="M142"/>
      <c r="N142"/>
      <c r="O142"/>
    </row>
    <row r="143" spans="2:15" ht="13.8" x14ac:dyDescent="0.25">
      <c r="B143"/>
      <c r="C143"/>
      <c r="G143"/>
      <c r="H143"/>
      <c r="I143"/>
      <c r="J143"/>
      <c r="L143"/>
      <c r="M143"/>
      <c r="N143"/>
      <c r="O143"/>
    </row>
    <row r="144" spans="2:15" ht="13.8" x14ac:dyDescent="0.25">
      <c r="B144"/>
      <c r="C144"/>
      <c r="G144"/>
      <c r="H144"/>
      <c r="I144"/>
      <c r="J144"/>
      <c r="L144"/>
      <c r="M144"/>
      <c r="N144"/>
      <c r="O144"/>
    </row>
    <row r="145" spans="2:15" ht="13.8" x14ac:dyDescent="0.25">
      <c r="B145"/>
      <c r="C145"/>
      <c r="G145"/>
      <c r="H145"/>
      <c r="I145"/>
      <c r="J145"/>
      <c r="L145"/>
      <c r="M145"/>
      <c r="N145"/>
      <c r="O145"/>
    </row>
    <row r="146" spans="2:15" ht="13.8" x14ac:dyDescent="0.25">
      <c r="B146"/>
      <c r="C146"/>
      <c r="G146"/>
      <c r="H146"/>
      <c r="I146"/>
      <c r="J146"/>
      <c r="L146"/>
      <c r="M146"/>
      <c r="N146"/>
      <c r="O146"/>
    </row>
    <row r="147" spans="2:15" ht="13.8" x14ac:dyDescent="0.25">
      <c r="B147"/>
      <c r="C147"/>
      <c r="G147"/>
      <c r="H147"/>
      <c r="I147"/>
      <c r="J147"/>
      <c r="L147"/>
      <c r="M147"/>
      <c r="N147"/>
      <c r="O147"/>
    </row>
    <row r="148" spans="2:15" ht="13.8" x14ac:dyDescent="0.25">
      <c r="B148"/>
      <c r="C148"/>
      <c r="G148"/>
      <c r="H148"/>
      <c r="I148"/>
      <c r="J148"/>
      <c r="L148"/>
      <c r="M148"/>
      <c r="N148"/>
      <c r="O148"/>
    </row>
    <row r="149" spans="2:15" ht="13.8" x14ac:dyDescent="0.25">
      <c r="B149"/>
      <c r="C149"/>
      <c r="G149"/>
      <c r="H149"/>
      <c r="I149"/>
      <c r="J149"/>
      <c r="L149"/>
      <c r="M149"/>
      <c r="N149"/>
      <c r="O149"/>
    </row>
    <row r="150" spans="2:15" ht="13.8" x14ac:dyDescent="0.25">
      <c r="B150"/>
      <c r="C150"/>
      <c r="G150"/>
      <c r="H150"/>
      <c r="I150"/>
      <c r="J150"/>
      <c r="L150"/>
      <c r="M150"/>
      <c r="N150"/>
      <c r="O150"/>
    </row>
    <row r="151" spans="2:15" ht="13.8" x14ac:dyDescent="0.25">
      <c r="B151"/>
      <c r="C151"/>
      <c r="G151"/>
      <c r="H151"/>
      <c r="I151"/>
      <c r="J151"/>
      <c r="L151"/>
      <c r="M151"/>
      <c r="N151"/>
      <c r="O151"/>
    </row>
    <row r="152" spans="2:15" ht="13.8" x14ac:dyDescent="0.25">
      <c r="B152"/>
      <c r="C152"/>
      <c r="G152"/>
      <c r="H152"/>
      <c r="I152"/>
      <c r="J152"/>
      <c r="L152"/>
      <c r="M152"/>
      <c r="N152"/>
      <c r="O152"/>
    </row>
    <row r="153" spans="2:15" ht="13.8" x14ac:dyDescent="0.25">
      <c r="B153"/>
      <c r="C153"/>
      <c r="G153"/>
      <c r="H153"/>
      <c r="I153"/>
      <c r="J153"/>
      <c r="L153"/>
      <c r="M153"/>
      <c r="N153"/>
      <c r="O153"/>
    </row>
    <row r="154" spans="2:15" ht="13.8" x14ac:dyDescent="0.25">
      <c r="B154"/>
      <c r="C154"/>
      <c r="G154"/>
      <c r="H154"/>
      <c r="I154"/>
      <c r="J154"/>
      <c r="L154"/>
      <c r="M154"/>
      <c r="N154"/>
      <c r="O154"/>
    </row>
    <row r="155" spans="2:15" ht="13.8" x14ac:dyDescent="0.25">
      <c r="B155"/>
      <c r="C155"/>
      <c r="G155"/>
      <c r="H155"/>
      <c r="I155"/>
      <c r="J155"/>
      <c r="L155"/>
      <c r="M155"/>
      <c r="N155"/>
      <c r="O155"/>
    </row>
    <row r="156" spans="2:15" ht="13.8" x14ac:dyDescent="0.25">
      <c r="B156"/>
      <c r="C156"/>
      <c r="G156"/>
      <c r="H156"/>
      <c r="I156"/>
      <c r="J156"/>
      <c r="L156"/>
      <c r="M156"/>
      <c r="N156"/>
      <c r="O156"/>
    </row>
    <row r="157" spans="2:15" ht="13.8" x14ac:dyDescent="0.25">
      <c r="B157"/>
      <c r="C157"/>
      <c r="G157"/>
      <c r="H157"/>
      <c r="I157"/>
      <c r="J157"/>
      <c r="L157"/>
      <c r="M157"/>
      <c r="N157"/>
      <c r="O157"/>
    </row>
    <row r="158" spans="2:15" ht="13.8" x14ac:dyDescent="0.25">
      <c r="B158"/>
      <c r="C158"/>
      <c r="G158"/>
      <c r="H158"/>
      <c r="I158"/>
      <c r="J158"/>
      <c r="L158"/>
      <c r="M158"/>
      <c r="N158"/>
      <c r="O158"/>
    </row>
    <row r="159" spans="2:15" ht="13.8" x14ac:dyDescent="0.25">
      <c r="B159"/>
      <c r="C159"/>
      <c r="G159"/>
      <c r="H159"/>
      <c r="I159"/>
      <c r="J159"/>
      <c r="L159"/>
      <c r="M159"/>
      <c r="N159"/>
      <c r="O159"/>
    </row>
    <row r="160" spans="2:15" ht="13.8" x14ac:dyDescent="0.25">
      <c r="B160"/>
      <c r="C160"/>
      <c r="G160"/>
      <c r="H160"/>
      <c r="I160"/>
      <c r="J160"/>
      <c r="L160"/>
      <c r="M160"/>
      <c r="N160"/>
      <c r="O160"/>
    </row>
    <row r="161" spans="2:15" ht="13.8" x14ac:dyDescent="0.25">
      <c r="B161"/>
      <c r="C161"/>
      <c r="G161"/>
      <c r="H161"/>
      <c r="I161"/>
      <c r="J161"/>
      <c r="L161"/>
      <c r="M161"/>
      <c r="N161"/>
      <c r="O161"/>
    </row>
    <row r="162" spans="2:15" ht="13.8" x14ac:dyDescent="0.25">
      <c r="B162"/>
      <c r="C162"/>
      <c r="G162"/>
      <c r="H162"/>
      <c r="I162"/>
      <c r="J162"/>
      <c r="L162"/>
      <c r="M162"/>
      <c r="N162"/>
      <c r="O162"/>
    </row>
    <row r="163" spans="2:15" ht="13.8" x14ac:dyDescent="0.25">
      <c r="B163"/>
      <c r="C163"/>
      <c r="G163"/>
      <c r="H163"/>
      <c r="I163"/>
      <c r="J163"/>
      <c r="L163"/>
      <c r="M163"/>
      <c r="N163"/>
      <c r="O163"/>
    </row>
    <row r="164" spans="2:15" ht="13.8" x14ac:dyDescent="0.25">
      <c r="B164"/>
      <c r="C164"/>
      <c r="G164"/>
      <c r="H164"/>
      <c r="I164"/>
      <c r="J164"/>
      <c r="L164"/>
      <c r="M164"/>
      <c r="N164"/>
      <c r="O164"/>
    </row>
    <row r="165" spans="2:15" ht="13.8" x14ac:dyDescent="0.25">
      <c r="B165"/>
      <c r="C165"/>
      <c r="G165"/>
      <c r="H165"/>
      <c r="I165"/>
      <c r="J165"/>
      <c r="L165"/>
      <c r="M165"/>
      <c r="N165"/>
      <c r="O165"/>
    </row>
    <row r="166" spans="2:15" ht="13.8" x14ac:dyDescent="0.25">
      <c r="B166"/>
      <c r="C166"/>
      <c r="G166"/>
      <c r="H166"/>
      <c r="I166"/>
      <c r="J166"/>
      <c r="L166"/>
      <c r="M166"/>
      <c r="N166"/>
      <c r="O166"/>
    </row>
    <row r="167" spans="2:15" ht="13.8" x14ac:dyDescent="0.25">
      <c r="B167"/>
      <c r="C167"/>
      <c r="G167"/>
      <c r="H167"/>
      <c r="I167"/>
      <c r="J167"/>
      <c r="L167"/>
      <c r="M167"/>
      <c r="N167"/>
      <c r="O167"/>
    </row>
    <row r="168" spans="2:15" ht="13.8" x14ac:dyDescent="0.25">
      <c r="B168"/>
      <c r="C168"/>
      <c r="G168"/>
      <c r="H168"/>
      <c r="I168"/>
      <c r="J168"/>
      <c r="L168"/>
      <c r="M168"/>
      <c r="N168"/>
      <c r="O168"/>
    </row>
    <row r="169" spans="2:15" ht="13.8" x14ac:dyDescent="0.25">
      <c r="B169"/>
      <c r="C169"/>
      <c r="G169"/>
      <c r="H169"/>
      <c r="I169"/>
      <c r="J169"/>
      <c r="L169"/>
      <c r="M169"/>
      <c r="N169"/>
      <c r="O169"/>
    </row>
    <row r="170" spans="2:15" ht="13.8" x14ac:dyDescent="0.25">
      <c r="B170"/>
      <c r="C170"/>
      <c r="G170"/>
      <c r="H170"/>
      <c r="I170"/>
      <c r="J170"/>
      <c r="L170"/>
      <c r="M170"/>
      <c r="N170"/>
      <c r="O170"/>
    </row>
    <row r="171" spans="2:15" ht="13.8" x14ac:dyDescent="0.25">
      <c r="B171"/>
      <c r="C171"/>
      <c r="G171"/>
      <c r="H171"/>
      <c r="I171"/>
      <c r="J171"/>
      <c r="L171"/>
      <c r="M171"/>
      <c r="N171"/>
      <c r="O171"/>
    </row>
    <row r="172" spans="2:15" ht="13.8" x14ac:dyDescent="0.25">
      <c r="B172"/>
      <c r="C172"/>
      <c r="L172"/>
      <c r="M172"/>
      <c r="N172"/>
      <c r="O172"/>
    </row>
    <row r="173" spans="2:15" ht="13.8" x14ac:dyDescent="0.25">
      <c r="B173"/>
      <c r="C173"/>
      <c r="L173"/>
      <c r="M173"/>
      <c r="N173"/>
      <c r="O173"/>
    </row>
    <row r="174" spans="2:15" ht="13.8" x14ac:dyDescent="0.25">
      <c r="B174"/>
      <c r="C174"/>
      <c r="L174"/>
      <c r="M174"/>
      <c r="N174"/>
      <c r="O174"/>
    </row>
    <row r="175" spans="2:15" ht="13.8" x14ac:dyDescent="0.25">
      <c r="B175"/>
      <c r="C175"/>
      <c r="L175"/>
      <c r="M175"/>
      <c r="N175"/>
      <c r="O175"/>
    </row>
    <row r="176" spans="2:15" ht="13.8" x14ac:dyDescent="0.25">
      <c r="B176"/>
      <c r="C176"/>
      <c r="L176"/>
      <c r="M176"/>
      <c r="N176"/>
      <c r="O176"/>
    </row>
    <row r="177" spans="2:15" ht="13.8" x14ac:dyDescent="0.25">
      <c r="B177"/>
      <c r="C177"/>
      <c r="L177"/>
      <c r="M177"/>
      <c r="N177"/>
      <c r="O177"/>
    </row>
    <row r="178" spans="2:15" ht="13.8" x14ac:dyDescent="0.25">
      <c r="B178"/>
      <c r="C178"/>
      <c r="L178"/>
      <c r="M178"/>
      <c r="N178"/>
      <c r="O178"/>
    </row>
    <row r="179" spans="2:15" ht="13.8" x14ac:dyDescent="0.25">
      <c r="B179"/>
      <c r="C179"/>
      <c r="L179"/>
      <c r="M179"/>
      <c r="N179"/>
      <c r="O179"/>
    </row>
    <row r="180" spans="2:15" ht="13.8" x14ac:dyDescent="0.25">
      <c r="B180"/>
      <c r="C180"/>
      <c r="L180"/>
      <c r="M180"/>
      <c r="N180"/>
      <c r="O180"/>
    </row>
    <row r="181" spans="2:15" ht="13.8" x14ac:dyDescent="0.25">
      <c r="B181"/>
      <c r="C181"/>
      <c r="L181"/>
      <c r="M181"/>
      <c r="N181"/>
      <c r="O181"/>
    </row>
    <row r="182" spans="2:15" ht="13.8" x14ac:dyDescent="0.25">
      <c r="B182"/>
      <c r="C182"/>
      <c r="L182"/>
      <c r="M182"/>
      <c r="N182"/>
      <c r="O182"/>
    </row>
    <row r="183" spans="2:15" ht="13.8" x14ac:dyDescent="0.25">
      <c r="B183"/>
      <c r="C183"/>
      <c r="L183"/>
      <c r="M183"/>
      <c r="N183"/>
      <c r="O183"/>
    </row>
    <row r="184" spans="2:15" ht="13.8" x14ac:dyDescent="0.25">
      <c r="B184"/>
      <c r="C184"/>
      <c r="L184"/>
      <c r="M184"/>
      <c r="N184"/>
      <c r="O184"/>
    </row>
    <row r="185" spans="2:15" ht="13.8" x14ac:dyDescent="0.25">
      <c r="B185"/>
      <c r="C185"/>
      <c r="L185"/>
      <c r="M185"/>
      <c r="N185"/>
      <c r="O185"/>
    </row>
    <row r="186" spans="2:15" ht="13.8" x14ac:dyDescent="0.25">
      <c r="B186"/>
      <c r="C186"/>
      <c r="L186"/>
      <c r="M186"/>
      <c r="N186"/>
      <c r="O186"/>
    </row>
    <row r="187" spans="2:15" ht="13.8" x14ac:dyDescent="0.25">
      <c r="B187"/>
      <c r="C187"/>
      <c r="L187"/>
      <c r="M187"/>
      <c r="N187"/>
      <c r="O187"/>
    </row>
    <row r="188" spans="2:15" ht="13.8" x14ac:dyDescent="0.25">
      <c r="B188"/>
      <c r="C188"/>
      <c r="L188"/>
      <c r="M188"/>
      <c r="N188"/>
      <c r="O188"/>
    </row>
    <row r="189" spans="2:15" ht="13.8" x14ac:dyDescent="0.25">
      <c r="B189"/>
      <c r="C189"/>
      <c r="L189"/>
      <c r="M189"/>
      <c r="N189"/>
      <c r="O189"/>
    </row>
    <row r="190" spans="2:15" ht="13.8" x14ac:dyDescent="0.25">
      <c r="B190"/>
      <c r="C190"/>
      <c r="L190"/>
      <c r="M190"/>
      <c r="N190"/>
      <c r="O190"/>
    </row>
    <row r="191" spans="2:15" ht="13.8" x14ac:dyDescent="0.25">
      <c r="B191"/>
      <c r="C191"/>
      <c r="L191"/>
      <c r="M191"/>
      <c r="N191"/>
      <c r="O191"/>
    </row>
    <row r="192" spans="2:15" ht="13.8" x14ac:dyDescent="0.25">
      <c r="B192"/>
      <c r="C192"/>
      <c r="L192"/>
      <c r="M192"/>
      <c r="N192"/>
      <c r="O192"/>
    </row>
    <row r="193" spans="2:15" ht="13.8" x14ac:dyDescent="0.25">
      <c r="B193"/>
      <c r="C193"/>
      <c r="L193"/>
      <c r="M193"/>
      <c r="N193"/>
      <c r="O193"/>
    </row>
    <row r="194" spans="2:15" ht="13.8" x14ac:dyDescent="0.25">
      <c r="B194"/>
      <c r="C194"/>
      <c r="L194"/>
      <c r="M194"/>
      <c r="N194"/>
      <c r="O194"/>
    </row>
    <row r="195" spans="2:15" ht="13.8" x14ac:dyDescent="0.25">
      <c r="B195"/>
      <c r="C195"/>
      <c r="L195"/>
      <c r="M195"/>
      <c r="N195"/>
      <c r="O195"/>
    </row>
    <row r="196" spans="2:15" ht="13.8" x14ac:dyDescent="0.25">
      <c r="B196"/>
      <c r="C196"/>
      <c r="L196"/>
      <c r="M196"/>
      <c r="N196"/>
      <c r="O196"/>
    </row>
    <row r="197" spans="2:15" ht="13.8" x14ac:dyDescent="0.25">
      <c r="B197"/>
      <c r="C197"/>
      <c r="L197"/>
      <c r="M197"/>
      <c r="N197"/>
      <c r="O197"/>
    </row>
    <row r="198" spans="2:15" ht="13.8" x14ac:dyDescent="0.25">
      <c r="B198"/>
      <c r="C198"/>
      <c r="L198"/>
      <c r="M198"/>
      <c r="N198"/>
      <c r="O198"/>
    </row>
    <row r="199" spans="2:15" ht="13.8" x14ac:dyDescent="0.25">
      <c r="B199"/>
      <c r="C199"/>
      <c r="L199"/>
      <c r="M199"/>
      <c r="N199"/>
      <c r="O199"/>
    </row>
    <row r="200" spans="2:15" ht="13.8" x14ac:dyDescent="0.25">
      <c r="B200"/>
      <c r="C200"/>
      <c r="L200"/>
      <c r="M200"/>
      <c r="N200"/>
      <c r="O200"/>
    </row>
    <row r="201" spans="2:15" ht="13.8" x14ac:dyDescent="0.25">
      <c r="B201"/>
      <c r="C201"/>
      <c r="L201"/>
      <c r="M201"/>
      <c r="N201"/>
      <c r="O201"/>
    </row>
    <row r="202" spans="2:15" ht="13.8" x14ac:dyDescent="0.25">
      <c r="B202"/>
      <c r="C202"/>
      <c r="L202"/>
      <c r="M202"/>
      <c r="N202"/>
      <c r="O202"/>
    </row>
    <row r="203" spans="2:15" ht="13.8" x14ac:dyDescent="0.25">
      <c r="B203"/>
      <c r="C203"/>
      <c r="L203"/>
      <c r="M203"/>
      <c r="N203"/>
      <c r="O203"/>
    </row>
    <row r="204" spans="2:15" ht="13.8" x14ac:dyDescent="0.25">
      <c r="B204"/>
      <c r="C204"/>
      <c r="L204"/>
      <c r="M204"/>
      <c r="N204"/>
      <c r="O204"/>
    </row>
    <row r="205" spans="2:15" ht="13.8" x14ac:dyDescent="0.25">
      <c r="B205"/>
      <c r="C205"/>
      <c r="L205"/>
      <c r="M205"/>
      <c r="N205"/>
      <c r="O205"/>
    </row>
    <row r="206" spans="2:15" ht="13.8" x14ac:dyDescent="0.25">
      <c r="B206"/>
      <c r="C206"/>
      <c r="L206"/>
      <c r="M206"/>
      <c r="N206"/>
      <c r="O206"/>
    </row>
    <row r="207" spans="2:15" ht="13.8" x14ac:dyDescent="0.25">
      <c r="B207"/>
      <c r="C207"/>
      <c r="L207"/>
      <c r="M207"/>
      <c r="N207"/>
      <c r="O207"/>
    </row>
    <row r="208" spans="2:15" ht="13.8" x14ac:dyDescent="0.25">
      <c r="B208"/>
      <c r="C208"/>
      <c r="L208"/>
      <c r="M208"/>
      <c r="N208"/>
      <c r="O208"/>
    </row>
    <row r="209" spans="2:15" ht="13.8" x14ac:dyDescent="0.25">
      <c r="B209"/>
      <c r="C209"/>
      <c r="L209"/>
      <c r="M209"/>
      <c r="N209"/>
      <c r="O209"/>
    </row>
    <row r="210" spans="2:15" ht="13.8" x14ac:dyDescent="0.25">
      <c r="B210"/>
      <c r="C210"/>
      <c r="L210"/>
      <c r="M210"/>
      <c r="N210"/>
      <c r="O210"/>
    </row>
    <row r="211" spans="2:15" ht="13.8" x14ac:dyDescent="0.25">
      <c r="B211"/>
      <c r="C211"/>
      <c r="L211"/>
      <c r="M211"/>
      <c r="N211"/>
      <c r="O211"/>
    </row>
    <row r="212" spans="2:15" ht="13.8" x14ac:dyDescent="0.25">
      <c r="B212"/>
      <c r="C212"/>
      <c r="L212"/>
      <c r="M212"/>
      <c r="N212"/>
      <c r="O212"/>
    </row>
    <row r="213" spans="2:15" ht="13.8" x14ac:dyDescent="0.25">
      <c r="B213"/>
      <c r="C213"/>
      <c r="L213"/>
      <c r="M213"/>
      <c r="N213"/>
      <c r="O213"/>
    </row>
    <row r="214" spans="2:15" ht="13.8" x14ac:dyDescent="0.25">
      <c r="B214"/>
      <c r="C214"/>
      <c r="L214"/>
      <c r="M214"/>
      <c r="N214"/>
      <c r="O214"/>
    </row>
    <row r="215" spans="2:15" ht="13.8" x14ac:dyDescent="0.25">
      <c r="B215"/>
      <c r="C215"/>
      <c r="L215"/>
      <c r="M215"/>
      <c r="N215"/>
      <c r="O215"/>
    </row>
    <row r="216" spans="2:15" ht="13.8" x14ac:dyDescent="0.25">
      <c r="B216"/>
      <c r="C216"/>
      <c r="L216"/>
      <c r="M216"/>
      <c r="N216"/>
      <c r="O216"/>
    </row>
    <row r="217" spans="2:15" ht="13.8" x14ac:dyDescent="0.25">
      <c r="B217"/>
      <c r="C217"/>
      <c r="L217"/>
      <c r="M217"/>
      <c r="N217"/>
      <c r="O217"/>
    </row>
    <row r="218" spans="2:15" ht="13.8" x14ac:dyDescent="0.25">
      <c r="B218"/>
      <c r="C218"/>
      <c r="L218"/>
      <c r="M218"/>
      <c r="N218"/>
      <c r="O218"/>
    </row>
    <row r="219" spans="2:15" ht="13.8" x14ac:dyDescent="0.25">
      <c r="B219"/>
      <c r="C219"/>
      <c r="L219"/>
      <c r="M219"/>
      <c r="N219"/>
      <c r="O219"/>
    </row>
    <row r="220" spans="2:15" ht="13.8" x14ac:dyDescent="0.25">
      <c r="B220"/>
      <c r="C220"/>
      <c r="L220"/>
      <c r="M220"/>
      <c r="N220"/>
      <c r="O220"/>
    </row>
    <row r="221" spans="2:15" ht="13.8" x14ac:dyDescent="0.25">
      <c r="B221"/>
      <c r="C221"/>
      <c r="L221"/>
      <c r="M221"/>
      <c r="N221"/>
      <c r="O221"/>
    </row>
    <row r="222" spans="2:15" ht="13.8" x14ac:dyDescent="0.25">
      <c r="B222"/>
      <c r="C222"/>
      <c r="L222"/>
      <c r="M222"/>
      <c r="N222"/>
      <c r="O222"/>
    </row>
    <row r="223" spans="2:15" ht="13.8" x14ac:dyDescent="0.25">
      <c r="B223"/>
      <c r="C223"/>
      <c r="L223"/>
      <c r="M223"/>
      <c r="N223"/>
      <c r="O223"/>
    </row>
    <row r="224" spans="2:15" ht="13.8" x14ac:dyDescent="0.25">
      <c r="B224"/>
      <c r="C224"/>
      <c r="L224"/>
      <c r="M224"/>
      <c r="N224"/>
      <c r="O224"/>
    </row>
    <row r="225" spans="2:15" ht="13.8" x14ac:dyDescent="0.25">
      <c r="B225"/>
      <c r="C225"/>
      <c r="L225"/>
      <c r="M225"/>
      <c r="N225"/>
      <c r="O225"/>
    </row>
    <row r="226" spans="2:15" ht="13.8" x14ac:dyDescent="0.25">
      <c r="B226"/>
      <c r="C226"/>
      <c r="L226"/>
      <c r="M226"/>
      <c r="N226"/>
      <c r="O226"/>
    </row>
    <row r="227" spans="2:15" ht="13.8" x14ac:dyDescent="0.25">
      <c r="B227"/>
      <c r="C227"/>
      <c r="L227"/>
      <c r="M227"/>
      <c r="N227"/>
      <c r="O227"/>
    </row>
    <row r="228" spans="2:15" ht="13.8" x14ac:dyDescent="0.25">
      <c r="B228"/>
      <c r="C228"/>
      <c r="L228"/>
      <c r="M228"/>
      <c r="N228"/>
      <c r="O228"/>
    </row>
    <row r="229" spans="2:15" ht="13.8" x14ac:dyDescent="0.25">
      <c r="B229"/>
      <c r="C229"/>
      <c r="L229"/>
      <c r="M229"/>
      <c r="N229"/>
      <c r="O229"/>
    </row>
    <row r="230" spans="2:15" ht="13.8" x14ac:dyDescent="0.25">
      <c r="B230"/>
      <c r="C230"/>
      <c r="L230"/>
      <c r="M230"/>
      <c r="N230"/>
      <c r="O230"/>
    </row>
    <row r="231" spans="2:15" ht="13.8" x14ac:dyDescent="0.25">
      <c r="B231"/>
      <c r="C231"/>
      <c r="L231"/>
      <c r="M231"/>
      <c r="N231"/>
      <c r="O231"/>
    </row>
    <row r="232" spans="2:15" ht="13.8" x14ac:dyDescent="0.25">
      <c r="B232"/>
      <c r="C232"/>
      <c r="L232"/>
      <c r="M232"/>
      <c r="N232"/>
      <c r="O232"/>
    </row>
    <row r="233" spans="2:15" ht="13.8" x14ac:dyDescent="0.25">
      <c r="B233"/>
      <c r="C233"/>
      <c r="L233"/>
      <c r="M233"/>
      <c r="N233"/>
      <c r="O233"/>
    </row>
    <row r="234" spans="2:15" ht="13.8" x14ac:dyDescent="0.25">
      <c r="B234"/>
      <c r="C234"/>
      <c r="L234"/>
      <c r="M234"/>
      <c r="N234"/>
      <c r="O234"/>
    </row>
    <row r="235" spans="2:15" ht="13.8" x14ac:dyDescent="0.25">
      <c r="B235"/>
      <c r="C235"/>
      <c r="L235"/>
      <c r="M235"/>
      <c r="N235"/>
      <c r="O235"/>
    </row>
    <row r="236" spans="2:15" ht="13.8" x14ac:dyDescent="0.25">
      <c r="B236"/>
      <c r="C236"/>
      <c r="L236"/>
      <c r="M236"/>
      <c r="N236"/>
      <c r="O236"/>
    </row>
    <row r="237" spans="2:15" ht="13.8" x14ac:dyDescent="0.25">
      <c r="B237"/>
      <c r="C237"/>
      <c r="L237"/>
      <c r="M237"/>
      <c r="N237"/>
      <c r="O237"/>
    </row>
    <row r="238" spans="2:15" ht="13.8" x14ac:dyDescent="0.25">
      <c r="B238"/>
      <c r="C238"/>
      <c r="L238"/>
      <c r="M238"/>
      <c r="N238"/>
      <c r="O238"/>
    </row>
    <row r="239" spans="2:15" ht="13.8" x14ac:dyDescent="0.25">
      <c r="B239"/>
      <c r="C239"/>
      <c r="L239"/>
      <c r="M239"/>
      <c r="N239"/>
      <c r="O239"/>
    </row>
    <row r="240" spans="2:15" ht="13.8" x14ac:dyDescent="0.25">
      <c r="B240"/>
      <c r="C240"/>
      <c r="L240"/>
      <c r="M240"/>
      <c r="N240"/>
      <c r="O240"/>
    </row>
    <row r="241" spans="2:15" ht="13.8" x14ac:dyDescent="0.25">
      <c r="B241"/>
      <c r="C241"/>
      <c r="L241"/>
      <c r="M241"/>
      <c r="N241"/>
      <c r="O241"/>
    </row>
    <row r="242" spans="2:15" ht="13.8" x14ac:dyDescent="0.25">
      <c r="B242"/>
      <c r="C242"/>
      <c r="L242"/>
      <c r="M242"/>
      <c r="N242"/>
      <c r="O242"/>
    </row>
    <row r="243" spans="2:15" ht="13.8" x14ac:dyDescent="0.25">
      <c r="B243"/>
      <c r="C243"/>
      <c r="L243"/>
      <c r="M243"/>
      <c r="N243"/>
      <c r="O243"/>
    </row>
    <row r="244" spans="2:15" ht="13.8" x14ac:dyDescent="0.25">
      <c r="B244"/>
      <c r="C244"/>
      <c r="L244"/>
      <c r="M244"/>
      <c r="N244"/>
      <c r="O244"/>
    </row>
    <row r="245" spans="2:15" ht="13.8" x14ac:dyDescent="0.25">
      <c r="B245"/>
      <c r="C245"/>
      <c r="L245"/>
      <c r="M245"/>
      <c r="N245"/>
      <c r="O245"/>
    </row>
    <row r="246" spans="2:15" ht="13.8" x14ac:dyDescent="0.25">
      <c r="B246"/>
      <c r="C246"/>
      <c r="L246"/>
      <c r="M246"/>
      <c r="N246"/>
      <c r="O246"/>
    </row>
    <row r="247" spans="2:15" ht="13.8" x14ac:dyDescent="0.25">
      <c r="B247"/>
      <c r="C247"/>
      <c r="L247"/>
      <c r="M247"/>
      <c r="N247"/>
      <c r="O247"/>
    </row>
    <row r="248" spans="2:15" ht="13.8" x14ac:dyDescent="0.25">
      <c r="B248"/>
      <c r="C248"/>
      <c r="L248"/>
      <c r="M248"/>
      <c r="N248"/>
      <c r="O248"/>
    </row>
    <row r="249" spans="2:15" ht="13.8" x14ac:dyDescent="0.25">
      <c r="B249"/>
      <c r="C249"/>
      <c r="L249"/>
      <c r="M249"/>
      <c r="N249"/>
      <c r="O249"/>
    </row>
    <row r="250" spans="2:15" ht="13.8" x14ac:dyDescent="0.25">
      <c r="B250"/>
      <c r="C250"/>
      <c r="L250"/>
      <c r="M250"/>
      <c r="N250"/>
      <c r="O250"/>
    </row>
    <row r="251" spans="2:15" ht="13.8" x14ac:dyDescent="0.25">
      <c r="B251"/>
      <c r="C251"/>
      <c r="L251"/>
      <c r="M251"/>
      <c r="N251"/>
      <c r="O251"/>
    </row>
    <row r="252" spans="2:15" ht="13.8" x14ac:dyDescent="0.25">
      <c r="B252"/>
      <c r="C252"/>
      <c r="L252"/>
      <c r="M252"/>
      <c r="N252"/>
      <c r="O252"/>
    </row>
    <row r="253" spans="2:15" ht="13.8" x14ac:dyDescent="0.25">
      <c r="B253"/>
      <c r="C253"/>
      <c r="L253"/>
      <c r="M253"/>
      <c r="N253"/>
      <c r="O253"/>
    </row>
    <row r="254" spans="2:15" ht="13.8" x14ac:dyDescent="0.25">
      <c r="B254"/>
      <c r="C254"/>
      <c r="L254"/>
      <c r="M254"/>
      <c r="N254"/>
      <c r="O254"/>
    </row>
    <row r="255" spans="2:15" ht="13.8" x14ac:dyDescent="0.25">
      <c r="B255"/>
      <c r="C255"/>
    </row>
    <row r="256" spans="2:15" ht="13.8" x14ac:dyDescent="0.25">
      <c r="B256"/>
      <c r="C256"/>
    </row>
    <row r="257" spans="2:3" ht="13.8" x14ac:dyDescent="0.25">
      <c r="B257"/>
      <c r="C257"/>
    </row>
    <row r="258" spans="2:3" ht="13.8" x14ac:dyDescent="0.25">
      <c r="B258"/>
      <c r="C258"/>
    </row>
    <row r="259" spans="2:3" ht="13.8" x14ac:dyDescent="0.25">
      <c r="B259"/>
      <c r="C259"/>
    </row>
    <row r="260" spans="2:3" ht="13.8" x14ac:dyDescent="0.25">
      <c r="B260"/>
      <c r="C260"/>
    </row>
    <row r="261" spans="2:3" ht="13.8" x14ac:dyDescent="0.25">
      <c r="B261"/>
      <c r="C261"/>
    </row>
    <row r="262" spans="2:3" ht="13.8" x14ac:dyDescent="0.25">
      <c r="B262"/>
      <c r="C262"/>
    </row>
    <row r="263" spans="2:3" ht="13.8" x14ac:dyDescent="0.25">
      <c r="B263"/>
      <c r="C263"/>
    </row>
    <row r="264" spans="2:3" ht="13.8" x14ac:dyDescent="0.25">
      <c r="B264"/>
      <c r="C264"/>
    </row>
    <row r="265" spans="2:3" ht="13.8" x14ac:dyDescent="0.25">
      <c r="B265"/>
      <c r="C265"/>
    </row>
    <row r="266" spans="2:3" ht="13.8" x14ac:dyDescent="0.25">
      <c r="B266"/>
      <c r="C266"/>
    </row>
    <row r="267" spans="2:3" ht="13.8" x14ac:dyDescent="0.25">
      <c r="B267"/>
      <c r="C267"/>
    </row>
    <row r="268" spans="2:3" ht="13.8" x14ac:dyDescent="0.25">
      <c r="B268"/>
      <c r="C268"/>
    </row>
    <row r="269" spans="2:3" ht="13.8" x14ac:dyDescent="0.25">
      <c r="B269"/>
      <c r="C269"/>
    </row>
    <row r="270" spans="2:3" ht="13.8" x14ac:dyDescent="0.25">
      <c r="B270"/>
      <c r="C270"/>
    </row>
    <row r="271" spans="2:3" ht="13.8" x14ac:dyDescent="0.25">
      <c r="B271"/>
      <c r="C271"/>
    </row>
    <row r="272" spans="2:3" ht="13.8" x14ac:dyDescent="0.25">
      <c r="B272"/>
      <c r="C272"/>
    </row>
    <row r="273" spans="2:3" ht="13.8" x14ac:dyDescent="0.25">
      <c r="B273"/>
      <c r="C273"/>
    </row>
    <row r="274" spans="2:3" ht="13.8" x14ac:dyDescent="0.25">
      <c r="B274"/>
      <c r="C274"/>
    </row>
    <row r="275" spans="2:3" ht="13.8" x14ac:dyDescent="0.25">
      <c r="B275"/>
      <c r="C275"/>
    </row>
    <row r="276" spans="2:3" ht="13.8" x14ac:dyDescent="0.25">
      <c r="B276"/>
      <c r="C276"/>
    </row>
    <row r="277" spans="2:3" ht="13.8" x14ac:dyDescent="0.25">
      <c r="B277"/>
      <c r="C277"/>
    </row>
    <row r="278" spans="2:3" ht="13.8" x14ac:dyDescent="0.25">
      <c r="B278"/>
      <c r="C278"/>
    </row>
    <row r="279" spans="2:3" ht="13.8" x14ac:dyDescent="0.25">
      <c r="B279"/>
      <c r="C279"/>
    </row>
    <row r="280" spans="2:3" ht="13.8" x14ac:dyDescent="0.25">
      <c r="B280"/>
      <c r="C280"/>
    </row>
    <row r="281" spans="2:3" ht="13.8" x14ac:dyDescent="0.25">
      <c r="B281"/>
      <c r="C281"/>
    </row>
    <row r="282" spans="2:3" ht="13.8" x14ac:dyDescent="0.25">
      <c r="B282"/>
      <c r="C282"/>
    </row>
    <row r="283" spans="2:3" ht="13.8" x14ac:dyDescent="0.25">
      <c r="B283"/>
      <c r="C283"/>
    </row>
    <row r="284" spans="2:3" ht="13.8" x14ac:dyDescent="0.25">
      <c r="B284"/>
      <c r="C284"/>
    </row>
    <row r="285" spans="2:3" ht="13.8" x14ac:dyDescent="0.25">
      <c r="B285"/>
      <c r="C285"/>
    </row>
    <row r="286" spans="2:3" ht="13.8" x14ac:dyDescent="0.25">
      <c r="B286"/>
      <c r="C286"/>
    </row>
    <row r="287" spans="2:3" ht="13.8" x14ac:dyDescent="0.25">
      <c r="B287"/>
      <c r="C287"/>
    </row>
    <row r="288" spans="2:3" ht="13.8" x14ac:dyDescent="0.25">
      <c r="B288"/>
      <c r="C288"/>
    </row>
    <row r="289" spans="2:3" ht="13.8" x14ac:dyDescent="0.25">
      <c r="B289"/>
      <c r="C289"/>
    </row>
    <row r="290" spans="2:3" ht="13.8" x14ac:dyDescent="0.25">
      <c r="B290"/>
      <c r="C290"/>
    </row>
    <row r="291" spans="2:3" ht="13.8" x14ac:dyDescent="0.25">
      <c r="B291"/>
      <c r="C291"/>
    </row>
    <row r="292" spans="2:3" ht="13.8" x14ac:dyDescent="0.25">
      <c r="B292"/>
      <c r="C292"/>
    </row>
    <row r="293" spans="2:3" ht="13.8" x14ac:dyDescent="0.25">
      <c r="B293"/>
      <c r="C293"/>
    </row>
    <row r="294" spans="2:3" ht="13.8" x14ac:dyDescent="0.25">
      <c r="B294"/>
      <c r="C294"/>
    </row>
    <row r="295" spans="2:3" ht="13.8" x14ac:dyDescent="0.25">
      <c r="B295"/>
      <c r="C295"/>
    </row>
    <row r="296" spans="2:3" ht="13.8" x14ac:dyDescent="0.25">
      <c r="B296"/>
      <c r="C296"/>
    </row>
    <row r="297" spans="2:3" ht="13.8" x14ac:dyDescent="0.25">
      <c r="B297"/>
      <c r="C297"/>
    </row>
    <row r="298" spans="2:3" ht="13.8" x14ac:dyDescent="0.25">
      <c r="B298"/>
      <c r="C298"/>
    </row>
    <row r="299" spans="2:3" ht="13.8" x14ac:dyDescent="0.25">
      <c r="B299"/>
      <c r="C299"/>
    </row>
    <row r="300" spans="2:3" ht="13.8" x14ac:dyDescent="0.25">
      <c r="B300"/>
      <c r="C300"/>
    </row>
    <row r="301" spans="2:3" ht="13.8" x14ac:dyDescent="0.25">
      <c r="B301"/>
      <c r="C301"/>
    </row>
    <row r="302" spans="2:3" ht="13.8" x14ac:dyDescent="0.25">
      <c r="B302"/>
      <c r="C302"/>
    </row>
    <row r="303" spans="2:3" ht="13.8" x14ac:dyDescent="0.25">
      <c r="B303"/>
      <c r="C303"/>
    </row>
    <row r="304" spans="2:3" ht="13.8" x14ac:dyDescent="0.25">
      <c r="B304"/>
      <c r="C304"/>
    </row>
    <row r="305" spans="2:3" ht="13.8" x14ac:dyDescent="0.25">
      <c r="B305"/>
      <c r="C305"/>
    </row>
    <row r="306" spans="2:3" ht="13.8" x14ac:dyDescent="0.25">
      <c r="B306"/>
      <c r="C306"/>
    </row>
    <row r="307" spans="2:3" ht="13.8" x14ac:dyDescent="0.25">
      <c r="B307"/>
      <c r="C307"/>
    </row>
    <row r="308" spans="2:3" ht="13.8" x14ac:dyDescent="0.25">
      <c r="B308"/>
      <c r="C308"/>
    </row>
    <row r="309" spans="2:3" ht="13.8" x14ac:dyDescent="0.25">
      <c r="B309"/>
      <c r="C309"/>
    </row>
    <row r="310" spans="2:3" ht="13.8" x14ac:dyDescent="0.25">
      <c r="B310"/>
      <c r="C310"/>
    </row>
    <row r="311" spans="2:3" ht="13.8" x14ac:dyDescent="0.25">
      <c r="B311"/>
      <c r="C311"/>
    </row>
    <row r="312" spans="2:3" ht="13.8" x14ac:dyDescent="0.25">
      <c r="B312"/>
      <c r="C312"/>
    </row>
    <row r="313" spans="2:3" ht="13.8" x14ac:dyDescent="0.25">
      <c r="B313"/>
      <c r="C313"/>
    </row>
    <row r="314" spans="2:3" ht="13.8" x14ac:dyDescent="0.25">
      <c r="B314"/>
      <c r="C314"/>
    </row>
    <row r="315" spans="2:3" ht="13.8" x14ac:dyDescent="0.25">
      <c r="B315"/>
      <c r="C315"/>
    </row>
    <row r="316" spans="2:3" ht="13.8" x14ac:dyDescent="0.25">
      <c r="B316"/>
      <c r="C316"/>
    </row>
    <row r="317" spans="2:3" ht="13.8" x14ac:dyDescent="0.25">
      <c r="B317"/>
      <c r="C317"/>
    </row>
    <row r="318" spans="2:3" ht="13.8" x14ac:dyDescent="0.25">
      <c r="B318"/>
      <c r="C318"/>
    </row>
    <row r="319" spans="2:3" ht="13.8" x14ac:dyDescent="0.25">
      <c r="B319"/>
      <c r="C319"/>
    </row>
    <row r="320" spans="2:3" ht="13.8" x14ac:dyDescent="0.25">
      <c r="B320"/>
      <c r="C320"/>
    </row>
    <row r="321" spans="2:3" ht="13.8" x14ac:dyDescent="0.25">
      <c r="B321"/>
      <c r="C321"/>
    </row>
    <row r="322" spans="2:3" ht="13.8" x14ac:dyDescent="0.25">
      <c r="B322"/>
      <c r="C322"/>
    </row>
    <row r="323" spans="2:3" ht="13.8" x14ac:dyDescent="0.25">
      <c r="B323"/>
      <c r="C323"/>
    </row>
    <row r="324" spans="2:3" ht="13.8" x14ac:dyDescent="0.25">
      <c r="B324"/>
      <c r="C324"/>
    </row>
    <row r="325" spans="2:3" ht="13.8" x14ac:dyDescent="0.25">
      <c r="B325"/>
      <c r="C325"/>
    </row>
    <row r="326" spans="2:3" ht="13.8" x14ac:dyDescent="0.25">
      <c r="B326"/>
      <c r="C326"/>
    </row>
    <row r="327" spans="2:3" ht="13.8" x14ac:dyDescent="0.25">
      <c r="B327"/>
      <c r="C327"/>
    </row>
    <row r="328" spans="2:3" ht="13.8" x14ac:dyDescent="0.25">
      <c r="B328"/>
      <c r="C328"/>
    </row>
    <row r="329" spans="2:3" ht="13.8" x14ac:dyDescent="0.25">
      <c r="B329"/>
      <c r="C329"/>
    </row>
    <row r="330" spans="2:3" ht="13.8" x14ac:dyDescent="0.25">
      <c r="B330"/>
      <c r="C330"/>
    </row>
    <row r="331" spans="2:3" ht="13.8" x14ac:dyDescent="0.25">
      <c r="B331"/>
      <c r="C331"/>
    </row>
    <row r="332" spans="2:3" ht="13.8" x14ac:dyDescent="0.25">
      <c r="B332"/>
      <c r="C332"/>
    </row>
    <row r="333" spans="2:3" ht="13.8" x14ac:dyDescent="0.25">
      <c r="B333"/>
      <c r="C333"/>
    </row>
    <row r="334" spans="2:3" ht="13.8" x14ac:dyDescent="0.25">
      <c r="B334"/>
      <c r="C334"/>
    </row>
    <row r="335" spans="2:3" ht="13.8" x14ac:dyDescent="0.25">
      <c r="B335"/>
      <c r="C335"/>
    </row>
    <row r="336" spans="2:3" ht="13.8" x14ac:dyDescent="0.25">
      <c r="B336"/>
      <c r="C336"/>
    </row>
    <row r="337" spans="2:3" ht="13.8" x14ac:dyDescent="0.25">
      <c r="B337"/>
      <c r="C337"/>
    </row>
    <row r="338" spans="2:3" ht="13.8" x14ac:dyDescent="0.25">
      <c r="B338"/>
      <c r="C338"/>
    </row>
    <row r="339" spans="2:3" ht="13.8" x14ac:dyDescent="0.25">
      <c r="B339"/>
      <c r="C339"/>
    </row>
    <row r="340" spans="2:3" ht="13.8" x14ac:dyDescent="0.25">
      <c r="B340"/>
      <c r="C340"/>
    </row>
    <row r="341" spans="2:3" ht="13.8" x14ac:dyDescent="0.25">
      <c r="B341"/>
      <c r="C341"/>
    </row>
    <row r="342" spans="2:3" ht="13.8" x14ac:dyDescent="0.25">
      <c r="B342"/>
      <c r="C342"/>
    </row>
    <row r="343" spans="2:3" ht="13.8" x14ac:dyDescent="0.25">
      <c r="B343"/>
      <c r="C343"/>
    </row>
    <row r="344" spans="2:3" ht="13.8" x14ac:dyDescent="0.25">
      <c r="B344"/>
      <c r="C344"/>
    </row>
    <row r="345" spans="2:3" ht="13.8" x14ac:dyDescent="0.25">
      <c r="B345"/>
      <c r="C345"/>
    </row>
    <row r="346" spans="2:3" ht="13.8" x14ac:dyDescent="0.25">
      <c r="B346"/>
      <c r="C346"/>
    </row>
    <row r="347" spans="2:3" ht="13.8" x14ac:dyDescent="0.25">
      <c r="B347"/>
      <c r="C347"/>
    </row>
    <row r="348" spans="2:3" ht="13.8" x14ac:dyDescent="0.25">
      <c r="B348"/>
      <c r="C348"/>
    </row>
    <row r="349" spans="2:3" ht="13.8" x14ac:dyDescent="0.25">
      <c r="B349"/>
      <c r="C349"/>
    </row>
    <row r="350" spans="2:3" ht="13.8" x14ac:dyDescent="0.25">
      <c r="B350"/>
      <c r="C350"/>
    </row>
    <row r="351" spans="2:3" ht="13.8" x14ac:dyDescent="0.25">
      <c r="B351"/>
      <c r="C351"/>
    </row>
    <row r="352" spans="2:3" ht="13.8" x14ac:dyDescent="0.25">
      <c r="B352"/>
      <c r="C352"/>
    </row>
    <row r="353" spans="2:3" ht="13.8" x14ac:dyDescent="0.25">
      <c r="B353"/>
      <c r="C353"/>
    </row>
    <row r="354" spans="2:3" ht="13.8" x14ac:dyDescent="0.25">
      <c r="B354"/>
      <c r="C354"/>
    </row>
    <row r="355" spans="2:3" ht="13.8" x14ac:dyDescent="0.25">
      <c r="B355"/>
      <c r="C355"/>
    </row>
    <row r="356" spans="2:3" ht="13.8" x14ac:dyDescent="0.25">
      <c r="B356"/>
      <c r="C356"/>
    </row>
    <row r="357" spans="2:3" ht="13.8" x14ac:dyDescent="0.25">
      <c r="B357"/>
      <c r="C357"/>
    </row>
    <row r="358" spans="2:3" ht="13.8" x14ac:dyDescent="0.25">
      <c r="B358"/>
      <c r="C358"/>
    </row>
    <row r="359" spans="2:3" ht="13.8" x14ac:dyDescent="0.25">
      <c r="B359"/>
      <c r="C359"/>
    </row>
    <row r="360" spans="2:3" ht="13.8" x14ac:dyDescent="0.25">
      <c r="B360"/>
      <c r="C360"/>
    </row>
    <row r="361" spans="2:3" ht="13.8" x14ac:dyDescent="0.25">
      <c r="B361"/>
      <c r="C361"/>
    </row>
    <row r="362" spans="2:3" ht="13.8" x14ac:dyDescent="0.25">
      <c r="B362"/>
      <c r="C362"/>
    </row>
    <row r="363" spans="2:3" ht="13.8" x14ac:dyDescent="0.25">
      <c r="B363"/>
      <c r="C363"/>
    </row>
    <row r="364" spans="2:3" ht="13.8" x14ac:dyDescent="0.25">
      <c r="B364"/>
      <c r="C364"/>
    </row>
    <row r="365" spans="2:3" ht="13.8" x14ac:dyDescent="0.25">
      <c r="B365"/>
      <c r="C365"/>
    </row>
    <row r="366" spans="2:3" ht="13.8" x14ac:dyDescent="0.25">
      <c r="B366"/>
      <c r="C366"/>
    </row>
    <row r="367" spans="2:3" ht="13.8" x14ac:dyDescent="0.25">
      <c r="B367"/>
      <c r="C367"/>
    </row>
    <row r="368" spans="2:3" ht="13.8" x14ac:dyDescent="0.25">
      <c r="B368"/>
      <c r="C368"/>
    </row>
    <row r="369" spans="2:3" ht="13.8" x14ac:dyDescent="0.25">
      <c r="B369"/>
      <c r="C369"/>
    </row>
    <row r="370" spans="2:3" ht="13.8" x14ac:dyDescent="0.25">
      <c r="B370"/>
      <c r="C370"/>
    </row>
    <row r="371" spans="2:3" ht="13.8" x14ac:dyDescent="0.25">
      <c r="B371"/>
      <c r="C371"/>
    </row>
    <row r="372" spans="2:3" ht="13.8" x14ac:dyDescent="0.25">
      <c r="B372"/>
      <c r="C372"/>
    </row>
    <row r="373" spans="2:3" ht="13.2" x14ac:dyDescent="0.25"/>
    <row r="374" spans="2:3" ht="13.2" x14ac:dyDescent="0.25"/>
    <row r="375" spans="2:3" ht="13.2" x14ac:dyDescent="0.25"/>
    <row r="376" spans="2:3" ht="13.2" x14ac:dyDescent="0.25"/>
    <row r="377" spans="2:3" ht="13.2" x14ac:dyDescent="0.25"/>
    <row r="378" spans="2:3" ht="13.2" x14ac:dyDescent="0.25"/>
    <row r="379" spans="2:3" ht="13.2" x14ac:dyDescent="0.25"/>
    <row r="380" spans="2:3" ht="13.2" x14ac:dyDescent="0.25"/>
    <row r="381" spans="2:3" ht="13.2" x14ac:dyDescent="0.25"/>
    <row r="382" spans="2:3" ht="13.2" x14ac:dyDescent="0.25"/>
    <row r="383" spans="2:3" ht="13.2" x14ac:dyDescent="0.25"/>
    <row r="384" spans="2:3" ht="13.2" x14ac:dyDescent="0.25"/>
    <row r="385" ht="13.2" x14ac:dyDescent="0.25"/>
    <row r="386" ht="13.2" x14ac:dyDescent="0.25"/>
    <row r="387" ht="13.2" x14ac:dyDescent="0.25"/>
    <row r="388" ht="13.2" x14ac:dyDescent="0.25"/>
    <row r="389" ht="13.2" x14ac:dyDescent="0.25"/>
    <row r="390" ht="13.2" x14ac:dyDescent="0.25"/>
    <row r="391" ht="13.2" x14ac:dyDescent="0.25"/>
    <row r="392" ht="13.2" x14ac:dyDescent="0.25"/>
    <row r="393" ht="13.2" x14ac:dyDescent="0.25"/>
    <row r="394" ht="13.2" x14ac:dyDescent="0.25"/>
    <row r="395" ht="13.2" x14ac:dyDescent="0.25"/>
    <row r="396" ht="13.2" x14ac:dyDescent="0.25"/>
    <row r="397" ht="13.2" x14ac:dyDescent="0.25"/>
    <row r="398" ht="13.2" x14ac:dyDescent="0.25"/>
    <row r="399" ht="13.2" x14ac:dyDescent="0.25"/>
    <row r="400" ht="13.2" x14ac:dyDescent="0.25"/>
    <row r="401" ht="13.2" x14ac:dyDescent="0.25"/>
    <row r="402" ht="13.2" x14ac:dyDescent="0.25"/>
    <row r="403" ht="13.2" x14ac:dyDescent="0.25"/>
    <row r="404" ht="13.2" x14ac:dyDescent="0.25"/>
    <row r="405" ht="13.2" x14ac:dyDescent="0.25"/>
    <row r="406" ht="13.2" x14ac:dyDescent="0.25"/>
    <row r="407" ht="13.2" x14ac:dyDescent="0.25"/>
    <row r="408" ht="13.2" x14ac:dyDescent="0.25"/>
    <row r="409" ht="13.2" x14ac:dyDescent="0.25"/>
    <row r="410" ht="13.2" x14ac:dyDescent="0.25"/>
    <row r="411" ht="13.2" x14ac:dyDescent="0.25"/>
    <row r="412" ht="13.2" x14ac:dyDescent="0.25"/>
    <row r="413" ht="13.2" x14ac:dyDescent="0.25"/>
    <row r="414" ht="13.2" x14ac:dyDescent="0.25"/>
    <row r="415" ht="13.2" x14ac:dyDescent="0.25"/>
    <row r="416" ht="13.2" x14ac:dyDescent="0.25"/>
    <row r="417" ht="13.2" x14ac:dyDescent="0.25"/>
    <row r="418" ht="13.2" x14ac:dyDescent="0.25"/>
    <row r="419" ht="13.2" x14ac:dyDescent="0.25"/>
    <row r="420" ht="13.2" x14ac:dyDescent="0.25"/>
    <row r="421" ht="13.2" x14ac:dyDescent="0.25"/>
    <row r="422" ht="13.2" x14ac:dyDescent="0.25"/>
    <row r="423" ht="13.2" x14ac:dyDescent="0.25"/>
    <row r="424" ht="13.2" x14ac:dyDescent="0.25"/>
    <row r="425" ht="13.2" x14ac:dyDescent="0.25"/>
    <row r="426" ht="13.2" x14ac:dyDescent="0.25"/>
    <row r="427" ht="13.2" x14ac:dyDescent="0.25"/>
    <row r="428" ht="13.2" x14ac:dyDescent="0.25"/>
    <row r="429" ht="13.2" x14ac:dyDescent="0.25"/>
    <row r="430" ht="13.2" x14ac:dyDescent="0.25"/>
    <row r="431" ht="13.2" x14ac:dyDescent="0.25"/>
    <row r="432" ht="13.2" x14ac:dyDescent="0.25"/>
    <row r="433" ht="13.2" x14ac:dyDescent="0.25"/>
    <row r="434" ht="13.2" x14ac:dyDescent="0.25"/>
    <row r="435" ht="13.2" x14ac:dyDescent="0.25"/>
    <row r="436" ht="13.2" x14ac:dyDescent="0.25"/>
    <row r="437" ht="13.2" x14ac:dyDescent="0.25"/>
    <row r="438" ht="13.2" x14ac:dyDescent="0.25"/>
    <row r="439" ht="13.2" x14ac:dyDescent="0.25"/>
    <row r="440" ht="13.2" x14ac:dyDescent="0.25"/>
    <row r="441" ht="13.2" x14ac:dyDescent="0.25"/>
    <row r="442" ht="13.2" x14ac:dyDescent="0.25"/>
    <row r="443" ht="13.2" x14ac:dyDescent="0.25"/>
    <row r="444" ht="13.2" x14ac:dyDescent="0.25"/>
    <row r="445" ht="13.2" x14ac:dyDescent="0.25"/>
    <row r="446" ht="13.2" x14ac:dyDescent="0.25"/>
    <row r="447" ht="13.2" x14ac:dyDescent="0.25"/>
    <row r="448" ht="13.2" x14ac:dyDescent="0.25"/>
    <row r="449" ht="13.2" x14ac:dyDescent="0.25"/>
    <row r="450" ht="13.2" x14ac:dyDescent="0.25"/>
    <row r="451" ht="13.2" x14ac:dyDescent="0.25"/>
    <row r="452" ht="13.2" x14ac:dyDescent="0.25"/>
    <row r="453" ht="13.2" x14ac:dyDescent="0.25"/>
    <row r="454" ht="13.2" x14ac:dyDescent="0.25"/>
    <row r="455" ht="13.2" x14ac:dyDescent="0.25"/>
    <row r="456" ht="13.2" x14ac:dyDescent="0.25"/>
    <row r="457" ht="13.2" x14ac:dyDescent="0.25"/>
    <row r="458" ht="13.2" x14ac:dyDescent="0.25"/>
    <row r="459" ht="13.2" x14ac:dyDescent="0.25"/>
    <row r="460" ht="13.2" x14ac:dyDescent="0.25"/>
    <row r="461" ht="13.2" x14ac:dyDescent="0.25"/>
    <row r="462" ht="13.2" x14ac:dyDescent="0.25"/>
    <row r="463" ht="13.2" x14ac:dyDescent="0.25"/>
    <row r="464" ht="13.2" x14ac:dyDescent="0.25"/>
    <row r="465" ht="13.2" x14ac:dyDescent="0.25"/>
    <row r="466" ht="13.2" x14ac:dyDescent="0.25"/>
    <row r="467" ht="13.2" x14ac:dyDescent="0.25"/>
    <row r="468" ht="13.2" x14ac:dyDescent="0.25"/>
    <row r="469" ht="13.2" x14ac:dyDescent="0.25"/>
    <row r="470" ht="13.2" x14ac:dyDescent="0.25"/>
    <row r="471" ht="13.2" x14ac:dyDescent="0.25"/>
    <row r="472" ht="13.2" x14ac:dyDescent="0.25"/>
    <row r="473" ht="13.2" x14ac:dyDescent="0.25"/>
    <row r="474" ht="13.2" x14ac:dyDescent="0.25"/>
    <row r="475" ht="13.2" x14ac:dyDescent="0.25"/>
    <row r="476" ht="13.2" x14ac:dyDescent="0.25"/>
    <row r="477" ht="13.2" x14ac:dyDescent="0.25"/>
    <row r="478" ht="13.2" x14ac:dyDescent="0.25"/>
    <row r="479" ht="13.2" x14ac:dyDescent="0.25"/>
    <row r="480" ht="13.2" x14ac:dyDescent="0.25"/>
    <row r="481" ht="13.2" x14ac:dyDescent="0.25"/>
    <row r="482" ht="13.2" x14ac:dyDescent="0.25"/>
    <row r="483" ht="13.2" x14ac:dyDescent="0.25"/>
    <row r="484" ht="13.2" x14ac:dyDescent="0.25"/>
    <row r="485" ht="13.2" x14ac:dyDescent="0.25"/>
    <row r="486" ht="13.2" x14ac:dyDescent="0.25"/>
    <row r="487" ht="13.2" x14ac:dyDescent="0.25"/>
    <row r="488" ht="13.2" x14ac:dyDescent="0.25"/>
    <row r="489" ht="13.2" x14ac:dyDescent="0.25"/>
    <row r="490" ht="13.2" x14ac:dyDescent="0.25"/>
    <row r="491" ht="13.2" x14ac:dyDescent="0.25"/>
    <row r="492" ht="13.2" x14ac:dyDescent="0.25"/>
    <row r="493" ht="13.2" x14ac:dyDescent="0.25"/>
    <row r="494" ht="13.2" x14ac:dyDescent="0.25"/>
    <row r="495" ht="13.2" x14ac:dyDescent="0.25"/>
    <row r="496" ht="13.2" x14ac:dyDescent="0.25"/>
    <row r="497" ht="13.2" x14ac:dyDescent="0.25"/>
    <row r="498" ht="13.2" x14ac:dyDescent="0.25"/>
    <row r="499" ht="13.2" x14ac:dyDescent="0.25"/>
    <row r="500" ht="13.2" x14ac:dyDescent="0.25"/>
    <row r="501" ht="13.2" x14ac:dyDescent="0.25"/>
    <row r="502" ht="13.2" x14ac:dyDescent="0.25"/>
    <row r="503" ht="13.2" x14ac:dyDescent="0.25"/>
    <row r="504" ht="13.2" x14ac:dyDescent="0.25"/>
    <row r="505" ht="13.2" x14ac:dyDescent="0.25"/>
    <row r="506" ht="13.2" x14ac:dyDescent="0.25"/>
    <row r="507" ht="13.2" x14ac:dyDescent="0.25"/>
    <row r="508" ht="13.2" x14ac:dyDescent="0.25"/>
    <row r="509" ht="13.2" x14ac:dyDescent="0.25"/>
    <row r="510" ht="13.2" x14ac:dyDescent="0.25"/>
    <row r="511" ht="13.2" x14ac:dyDescent="0.25"/>
    <row r="512" ht="13.2" x14ac:dyDescent="0.25"/>
    <row r="513" ht="13.2" x14ac:dyDescent="0.25"/>
    <row r="514" ht="13.2" x14ac:dyDescent="0.25"/>
    <row r="515" ht="13.2" x14ac:dyDescent="0.25"/>
    <row r="516" ht="13.2" x14ac:dyDescent="0.25"/>
    <row r="517" ht="13.2" x14ac:dyDescent="0.25"/>
    <row r="518" ht="13.2" x14ac:dyDescent="0.25"/>
    <row r="519" ht="13.2" x14ac:dyDescent="0.25"/>
    <row r="520" ht="13.2" x14ac:dyDescent="0.25"/>
    <row r="521" ht="13.2" x14ac:dyDescent="0.25"/>
    <row r="522" ht="13.2" x14ac:dyDescent="0.25"/>
    <row r="523" ht="13.2" x14ac:dyDescent="0.25"/>
    <row r="524" ht="13.2" x14ac:dyDescent="0.25"/>
    <row r="525" ht="13.2" x14ac:dyDescent="0.25"/>
    <row r="526" ht="13.2" x14ac:dyDescent="0.25"/>
    <row r="527" ht="13.2" x14ac:dyDescent="0.25"/>
    <row r="528" ht="13.2" x14ac:dyDescent="0.25"/>
    <row r="529" ht="13.2" x14ac:dyDescent="0.25"/>
    <row r="530" ht="13.2" x14ac:dyDescent="0.25"/>
    <row r="531" ht="13.2" x14ac:dyDescent="0.25"/>
    <row r="532" ht="13.2" x14ac:dyDescent="0.25"/>
    <row r="533" ht="13.2" x14ac:dyDescent="0.25"/>
    <row r="534" ht="13.2" x14ac:dyDescent="0.25"/>
    <row r="535" ht="13.2" x14ac:dyDescent="0.25"/>
    <row r="536" ht="13.2" x14ac:dyDescent="0.25"/>
    <row r="537" ht="13.2" x14ac:dyDescent="0.25"/>
    <row r="538" ht="13.2" x14ac:dyDescent="0.25"/>
    <row r="539" ht="13.2" x14ac:dyDescent="0.25"/>
    <row r="540" ht="13.2" x14ac:dyDescent="0.25"/>
    <row r="541" ht="13.2" x14ac:dyDescent="0.25"/>
    <row r="542" ht="13.2" x14ac:dyDescent="0.25"/>
    <row r="543" ht="13.2" x14ac:dyDescent="0.25"/>
    <row r="544" ht="13.2" x14ac:dyDescent="0.25"/>
    <row r="545" ht="13.2" x14ac:dyDescent="0.25"/>
    <row r="546" ht="13.2" x14ac:dyDescent="0.25"/>
    <row r="547" ht="13.2" x14ac:dyDescent="0.25"/>
    <row r="548" ht="13.2" x14ac:dyDescent="0.25"/>
    <row r="549" ht="13.2" x14ac:dyDescent="0.25"/>
    <row r="550" ht="13.2" x14ac:dyDescent="0.25"/>
    <row r="551" ht="13.2" x14ac:dyDescent="0.25"/>
    <row r="552" ht="13.2" x14ac:dyDescent="0.25"/>
    <row r="553" ht="13.2" x14ac:dyDescent="0.25"/>
    <row r="554" ht="13.2" x14ac:dyDescent="0.25"/>
    <row r="555" ht="13.2" x14ac:dyDescent="0.25"/>
    <row r="556" ht="13.2" x14ac:dyDescent="0.25"/>
    <row r="557" ht="13.2" x14ac:dyDescent="0.25"/>
    <row r="558" ht="13.2" x14ac:dyDescent="0.25"/>
    <row r="559" ht="13.2" x14ac:dyDescent="0.25"/>
    <row r="560" ht="13.2" x14ac:dyDescent="0.25"/>
    <row r="561" ht="13.2" x14ac:dyDescent="0.25"/>
    <row r="562" ht="13.2" x14ac:dyDescent="0.25"/>
    <row r="563" ht="13.2" x14ac:dyDescent="0.25"/>
    <row r="564" ht="13.2" x14ac:dyDescent="0.25"/>
    <row r="565" ht="13.2" x14ac:dyDescent="0.25"/>
    <row r="566" ht="13.2" x14ac:dyDescent="0.25"/>
    <row r="567" ht="13.2" x14ac:dyDescent="0.25"/>
    <row r="568" ht="13.2" x14ac:dyDescent="0.25"/>
    <row r="569" ht="13.2" x14ac:dyDescent="0.25"/>
    <row r="570" ht="13.2" x14ac:dyDescent="0.25"/>
    <row r="571" ht="13.2" x14ac:dyDescent="0.25"/>
    <row r="572" ht="13.2" x14ac:dyDescent="0.25"/>
    <row r="573" ht="13.2" x14ac:dyDescent="0.25"/>
    <row r="574" ht="13.2" x14ac:dyDescent="0.25"/>
    <row r="575" ht="13.2" x14ac:dyDescent="0.25"/>
    <row r="576" ht="13.2" x14ac:dyDescent="0.25"/>
    <row r="577" ht="13.2" x14ac:dyDescent="0.25"/>
    <row r="578" ht="13.2" x14ac:dyDescent="0.25"/>
    <row r="579" ht="13.2" x14ac:dyDescent="0.25"/>
    <row r="580" ht="13.2" x14ac:dyDescent="0.25"/>
    <row r="581" ht="13.2" x14ac:dyDescent="0.25"/>
    <row r="582" ht="13.2" x14ac:dyDescent="0.25"/>
    <row r="583" ht="13.2" x14ac:dyDescent="0.25"/>
    <row r="584" ht="13.2" x14ac:dyDescent="0.25"/>
    <row r="585" ht="13.2" x14ac:dyDescent="0.25"/>
    <row r="586" ht="13.2" x14ac:dyDescent="0.25"/>
    <row r="587" ht="13.2" x14ac:dyDescent="0.25"/>
    <row r="588" ht="13.2" x14ac:dyDescent="0.25"/>
    <row r="589" ht="13.2" x14ac:dyDescent="0.25"/>
    <row r="590" ht="13.2" x14ac:dyDescent="0.25"/>
    <row r="591" ht="13.2" x14ac:dyDescent="0.25"/>
    <row r="592" ht="13.2" x14ac:dyDescent="0.25"/>
    <row r="593" ht="13.2" x14ac:dyDescent="0.25"/>
    <row r="594" ht="13.2" x14ac:dyDescent="0.25"/>
    <row r="595" ht="13.2" x14ac:dyDescent="0.25"/>
    <row r="596" ht="13.2" x14ac:dyDescent="0.25"/>
    <row r="597" ht="13.2" x14ac:dyDescent="0.25"/>
    <row r="598" ht="13.2" x14ac:dyDescent="0.25"/>
    <row r="599" ht="13.2" x14ac:dyDescent="0.25"/>
    <row r="600" ht="13.2" x14ac:dyDescent="0.25"/>
    <row r="601" ht="13.2" x14ac:dyDescent="0.25"/>
    <row r="602" ht="13.2" x14ac:dyDescent="0.25"/>
    <row r="603" ht="13.2" x14ac:dyDescent="0.25"/>
    <row r="604" ht="13.2" x14ac:dyDescent="0.25"/>
    <row r="605" ht="13.2" x14ac:dyDescent="0.25"/>
    <row r="606" ht="13.2" x14ac:dyDescent="0.25"/>
    <row r="607" ht="13.2" x14ac:dyDescent="0.25"/>
    <row r="608" ht="13.2" x14ac:dyDescent="0.25"/>
    <row r="609" ht="13.2" x14ac:dyDescent="0.25"/>
    <row r="610" ht="13.2" x14ac:dyDescent="0.25"/>
    <row r="611" ht="13.2" x14ac:dyDescent="0.25"/>
    <row r="612" ht="13.2" x14ac:dyDescent="0.25"/>
    <row r="613" ht="13.2" x14ac:dyDescent="0.25"/>
    <row r="614" ht="13.2" x14ac:dyDescent="0.25"/>
    <row r="615" ht="13.2" x14ac:dyDescent="0.25"/>
    <row r="616" ht="13.2" x14ac:dyDescent="0.25"/>
    <row r="617" ht="13.2" x14ac:dyDescent="0.25"/>
    <row r="618" ht="13.2" x14ac:dyDescent="0.25"/>
    <row r="619" ht="13.2" x14ac:dyDescent="0.25"/>
    <row r="620" ht="13.2" x14ac:dyDescent="0.25"/>
    <row r="621" ht="13.2" x14ac:dyDescent="0.25"/>
    <row r="622" ht="13.2" x14ac:dyDescent="0.25"/>
    <row r="623" ht="13.2" x14ac:dyDescent="0.25"/>
    <row r="624" ht="13.2" x14ac:dyDescent="0.25"/>
    <row r="625" ht="13.2" x14ac:dyDescent="0.25"/>
    <row r="626" ht="13.2" x14ac:dyDescent="0.25"/>
    <row r="627" ht="13.2" x14ac:dyDescent="0.25"/>
    <row r="628" ht="13.2" x14ac:dyDescent="0.25"/>
    <row r="629" ht="13.2" x14ac:dyDescent="0.25"/>
    <row r="630" ht="13.2" x14ac:dyDescent="0.25"/>
    <row r="631" ht="13.2" x14ac:dyDescent="0.25"/>
    <row r="632" ht="13.2" x14ac:dyDescent="0.25"/>
    <row r="633" ht="13.2" x14ac:dyDescent="0.25"/>
    <row r="634" ht="13.2" x14ac:dyDescent="0.25"/>
    <row r="635" ht="13.2" x14ac:dyDescent="0.25"/>
    <row r="636" ht="13.2" x14ac:dyDescent="0.25"/>
    <row r="637" ht="13.2" x14ac:dyDescent="0.25"/>
    <row r="638" ht="13.2" x14ac:dyDescent="0.25"/>
    <row r="639" ht="13.2" x14ac:dyDescent="0.25"/>
    <row r="640" ht="13.2" x14ac:dyDescent="0.25"/>
    <row r="641" ht="13.2" x14ac:dyDescent="0.25"/>
    <row r="642" ht="13.2" x14ac:dyDescent="0.25"/>
    <row r="643" ht="13.2" x14ac:dyDescent="0.25"/>
    <row r="644" ht="13.2" x14ac:dyDescent="0.25"/>
    <row r="645" ht="13.2" x14ac:dyDescent="0.25"/>
    <row r="646" ht="13.2" x14ac:dyDescent="0.25"/>
    <row r="647" ht="13.2" x14ac:dyDescent="0.25"/>
    <row r="648" ht="13.2" x14ac:dyDescent="0.25"/>
    <row r="649" ht="13.2" x14ac:dyDescent="0.25"/>
    <row r="650" ht="13.2" x14ac:dyDescent="0.25"/>
    <row r="651" ht="13.2" x14ac:dyDescent="0.25"/>
    <row r="652" ht="13.2" x14ac:dyDescent="0.25"/>
    <row r="653" ht="13.2" x14ac:dyDescent="0.25"/>
    <row r="654" ht="13.2" x14ac:dyDescent="0.25"/>
    <row r="655" ht="13.2" x14ac:dyDescent="0.25"/>
    <row r="656" ht="13.2" x14ac:dyDescent="0.25"/>
    <row r="657" ht="13.2" x14ac:dyDescent="0.25"/>
    <row r="658" ht="13.2" x14ac:dyDescent="0.25"/>
    <row r="659" ht="13.2" x14ac:dyDescent="0.25"/>
    <row r="660" ht="13.2" x14ac:dyDescent="0.25"/>
    <row r="661" ht="13.2" x14ac:dyDescent="0.25"/>
    <row r="662" ht="13.2" x14ac:dyDescent="0.25"/>
    <row r="663" ht="13.2" x14ac:dyDescent="0.25"/>
    <row r="664" ht="13.2" x14ac:dyDescent="0.25"/>
    <row r="665" ht="13.2" x14ac:dyDescent="0.25"/>
    <row r="666" ht="13.2" x14ac:dyDescent="0.25"/>
    <row r="667" ht="13.2" x14ac:dyDescent="0.25"/>
    <row r="668" ht="13.2" x14ac:dyDescent="0.25"/>
    <row r="669" ht="13.2" x14ac:dyDescent="0.25"/>
    <row r="670" ht="13.2" x14ac:dyDescent="0.25"/>
    <row r="671" ht="13.2" x14ac:dyDescent="0.25"/>
    <row r="672" ht="13.2" x14ac:dyDescent="0.25"/>
    <row r="673" ht="13.2" x14ac:dyDescent="0.25"/>
    <row r="674" ht="13.2" x14ac:dyDescent="0.25"/>
    <row r="675" ht="13.2" x14ac:dyDescent="0.25"/>
    <row r="676" ht="13.2" x14ac:dyDescent="0.25"/>
    <row r="677" ht="13.2" x14ac:dyDescent="0.25"/>
    <row r="678" ht="13.2" x14ac:dyDescent="0.25"/>
    <row r="679" ht="13.2" x14ac:dyDescent="0.25"/>
    <row r="680" ht="13.2" x14ac:dyDescent="0.25"/>
    <row r="681" ht="13.2" x14ac:dyDescent="0.25"/>
    <row r="682" ht="13.2" x14ac:dyDescent="0.25"/>
    <row r="683" ht="13.2" x14ac:dyDescent="0.25"/>
    <row r="684" ht="13.2" x14ac:dyDescent="0.25"/>
    <row r="685" ht="13.2" x14ac:dyDescent="0.25"/>
    <row r="686" ht="13.2" x14ac:dyDescent="0.25"/>
    <row r="687" ht="13.2" x14ac:dyDescent="0.25"/>
    <row r="688" ht="13.2" x14ac:dyDescent="0.25"/>
    <row r="689" ht="13.2" x14ac:dyDescent="0.25"/>
    <row r="690" ht="13.2" x14ac:dyDescent="0.25"/>
    <row r="691" ht="13.2" x14ac:dyDescent="0.25"/>
    <row r="692" ht="13.2" x14ac:dyDescent="0.25"/>
    <row r="693" ht="13.2" x14ac:dyDescent="0.25"/>
    <row r="694" ht="13.2" x14ac:dyDescent="0.25"/>
    <row r="695" ht="13.2" x14ac:dyDescent="0.25"/>
    <row r="696" ht="13.2" x14ac:dyDescent="0.25"/>
    <row r="697" ht="13.2" x14ac:dyDescent="0.25"/>
    <row r="698" ht="13.2" x14ac:dyDescent="0.25"/>
    <row r="699" ht="13.2" x14ac:dyDescent="0.25"/>
    <row r="700" ht="13.2" x14ac:dyDescent="0.25"/>
    <row r="701" ht="13.2" x14ac:dyDescent="0.25"/>
    <row r="702" ht="13.2" x14ac:dyDescent="0.25"/>
    <row r="703" ht="13.2" x14ac:dyDescent="0.25"/>
    <row r="704" ht="13.2" x14ac:dyDescent="0.25"/>
    <row r="705" ht="13.2" x14ac:dyDescent="0.25"/>
    <row r="706" ht="13.2" x14ac:dyDescent="0.25"/>
    <row r="707" ht="13.2" x14ac:dyDescent="0.25"/>
    <row r="708" ht="13.2" x14ac:dyDescent="0.25"/>
    <row r="709" ht="13.2" x14ac:dyDescent="0.25"/>
    <row r="710" ht="13.2" x14ac:dyDescent="0.25"/>
    <row r="711" ht="13.2" x14ac:dyDescent="0.25"/>
    <row r="712" ht="13.2" x14ac:dyDescent="0.25"/>
    <row r="713" ht="13.2" x14ac:dyDescent="0.25"/>
    <row r="714" ht="13.2" x14ac:dyDescent="0.25"/>
    <row r="715" ht="13.2" x14ac:dyDescent="0.25"/>
    <row r="716" ht="13.2" x14ac:dyDescent="0.25"/>
    <row r="717" ht="13.2" x14ac:dyDescent="0.25"/>
    <row r="718" ht="13.2" x14ac:dyDescent="0.25"/>
    <row r="719" ht="13.2" x14ac:dyDescent="0.25"/>
    <row r="720" ht="13.2" x14ac:dyDescent="0.25"/>
    <row r="721" ht="13.2" x14ac:dyDescent="0.25"/>
    <row r="722" ht="13.2" x14ac:dyDescent="0.25"/>
    <row r="723" ht="13.2" x14ac:dyDescent="0.25"/>
    <row r="724" ht="13.2" x14ac:dyDescent="0.25"/>
    <row r="725" ht="13.2" x14ac:dyDescent="0.25"/>
    <row r="726" ht="13.2" x14ac:dyDescent="0.25"/>
    <row r="727" ht="13.2" x14ac:dyDescent="0.25"/>
    <row r="728" ht="13.2" x14ac:dyDescent="0.25"/>
    <row r="729" ht="13.2" x14ac:dyDescent="0.25"/>
    <row r="730" ht="13.2" x14ac:dyDescent="0.25"/>
    <row r="731" ht="13.2" x14ac:dyDescent="0.25"/>
    <row r="732" ht="13.2" x14ac:dyDescent="0.25"/>
    <row r="733" ht="13.2" x14ac:dyDescent="0.25"/>
    <row r="734" ht="13.2" x14ac:dyDescent="0.25"/>
    <row r="735" ht="13.2" x14ac:dyDescent="0.25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 x14ac:dyDescent="0.25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 x14ac:dyDescent="0.25">
      <c r="B2" s="1386" t="s">
        <v>72</v>
      </c>
      <c r="C2" s="1387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 x14ac:dyDescent="0.25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 x14ac:dyDescent="0.25">
      <c r="B4" s="1386" t="s">
        <v>266</v>
      </c>
      <c r="C4" s="1387" t="s">
        <v>1232</v>
      </c>
      <c r="D4" s="1387" t="s">
        <v>839</v>
      </c>
      <c r="E4"/>
      <c r="G4" s="1372"/>
      <c r="H4" s="1372" t="s">
        <v>499</v>
      </c>
      <c r="I4" s="1372"/>
      <c r="J4" s="1372"/>
      <c r="K4"/>
      <c r="L4" s="1372" t="s">
        <v>266</v>
      </c>
      <c r="M4" s="1372" t="s">
        <v>3975</v>
      </c>
      <c r="N4" s="1372" t="s">
        <v>839</v>
      </c>
      <c r="O4"/>
    </row>
    <row r="5" spans="2:128" ht="13.8" x14ac:dyDescent="0.25">
      <c r="B5" s="1388" t="s">
        <v>1199</v>
      </c>
      <c r="C5" s="1389">
        <v>0.83333333333333337</v>
      </c>
      <c r="D5" s="1375">
        <v>-0.16503172726249163</v>
      </c>
      <c r="E5"/>
      <c r="G5" s="1372"/>
      <c r="H5" s="1372" t="s">
        <v>626</v>
      </c>
      <c r="I5" s="1372"/>
      <c r="J5" s="1372"/>
      <c r="K5"/>
      <c r="L5" s="1391">
        <v>9.8000000000000007</v>
      </c>
      <c r="M5" s="1374">
        <v>1</v>
      </c>
      <c r="N5" s="1374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 x14ac:dyDescent="0.25">
      <c r="B6" s="1388" t="s">
        <v>1211</v>
      </c>
      <c r="C6" s="1389">
        <v>0.83333333333333337</v>
      </c>
      <c r="D6" s="1375">
        <v>0.17565935333952246</v>
      </c>
      <c r="E6"/>
      <c r="G6" s="1372" t="s">
        <v>266</v>
      </c>
      <c r="H6" s="1372" t="s">
        <v>1233</v>
      </c>
      <c r="I6" s="1372" t="s">
        <v>1232</v>
      </c>
      <c r="J6" s="1372" t="s">
        <v>839</v>
      </c>
      <c r="K6"/>
      <c r="L6" s="1391">
        <v>11</v>
      </c>
      <c r="M6" s="1374">
        <v>2</v>
      </c>
      <c r="N6" s="1374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 x14ac:dyDescent="0.25">
      <c r="B7" s="1388" t="s">
        <v>1212</v>
      </c>
      <c r="C7" s="1389">
        <v>1</v>
      </c>
      <c r="D7" s="1375">
        <v>4.3413892445582587E-2</v>
      </c>
      <c r="E7"/>
      <c r="G7" s="1390" t="s">
        <v>4110</v>
      </c>
      <c r="H7" s="1374">
        <v>17</v>
      </c>
      <c r="I7" s="1392">
        <v>1</v>
      </c>
      <c r="J7" s="1374">
        <v>5.9701492537313432E-2</v>
      </c>
      <c r="K7"/>
      <c r="L7" s="1391">
        <v>12.5</v>
      </c>
      <c r="M7" s="1374">
        <v>1</v>
      </c>
      <c r="N7" s="1374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 x14ac:dyDescent="0.25">
      <c r="B8" s="1388" t="s">
        <v>1210</v>
      </c>
      <c r="C8" s="1389">
        <v>0.8</v>
      </c>
      <c r="D8" s="1375">
        <v>0.1299090077896633</v>
      </c>
      <c r="E8"/>
      <c r="G8" s="1390" t="s">
        <v>4111</v>
      </c>
      <c r="H8" s="1374">
        <v>21</v>
      </c>
      <c r="I8" s="1392">
        <v>0.5</v>
      </c>
      <c r="J8" s="1374">
        <v>-0.4312185606521009</v>
      </c>
      <c r="K8"/>
      <c r="L8" s="1391">
        <v>13.5</v>
      </c>
      <c r="M8" s="1374">
        <v>3</v>
      </c>
      <c r="N8" s="1374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 x14ac:dyDescent="0.25">
      <c r="B9" s="1388" t="s">
        <v>1209</v>
      </c>
      <c r="C9" s="1389">
        <v>1</v>
      </c>
      <c r="D9" s="1375">
        <v>0.17917192370800383</v>
      </c>
      <c r="E9"/>
      <c r="G9" s="1390" t="s">
        <v>4112</v>
      </c>
      <c r="H9" s="1374">
        <v>15</v>
      </c>
      <c r="I9" s="1392">
        <v>1</v>
      </c>
      <c r="J9" s="1374">
        <v>6.8214285714285713E-2</v>
      </c>
      <c r="K9"/>
      <c r="L9" s="1391">
        <v>14</v>
      </c>
      <c r="M9" s="1374">
        <v>3</v>
      </c>
      <c r="N9" s="1374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 x14ac:dyDescent="0.25">
      <c r="B10" s="1388" t="s">
        <v>1219</v>
      </c>
      <c r="C10" s="1389">
        <v>0.5</v>
      </c>
      <c r="D10" s="1375">
        <v>-4.3495555649665681E-2</v>
      </c>
      <c r="E10"/>
      <c r="G10" s="1390" t="s">
        <v>4113</v>
      </c>
      <c r="H10" s="1374">
        <v>21</v>
      </c>
      <c r="I10" s="1392">
        <v>1</v>
      </c>
      <c r="J10" s="1374">
        <v>4.7750000000000001E-2</v>
      </c>
      <c r="K10"/>
      <c r="L10" s="1391">
        <v>14.5</v>
      </c>
      <c r="M10" s="1374">
        <v>1</v>
      </c>
      <c r="N10" s="1374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 x14ac:dyDescent="0.25">
      <c r="B11" s="1388" t="s">
        <v>1218</v>
      </c>
      <c r="C11" s="1389">
        <v>1</v>
      </c>
      <c r="D11" s="1375">
        <v>3.6742363665440585E-2</v>
      </c>
      <c r="E11"/>
      <c r="G11" s="1390" t="s">
        <v>1247</v>
      </c>
      <c r="H11" s="1374">
        <v>21</v>
      </c>
      <c r="I11" s="1392">
        <v>1</v>
      </c>
      <c r="J11" s="1374">
        <v>4.7750000000000001E-2</v>
      </c>
      <c r="K11"/>
      <c r="L11" s="1391">
        <v>15</v>
      </c>
      <c r="M11" s="1374">
        <v>2</v>
      </c>
      <c r="N11" s="1374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 x14ac:dyDescent="0.25">
      <c r="B12" s="1388" t="s">
        <v>1201</v>
      </c>
      <c r="C12" s="1389">
        <v>0.75</v>
      </c>
      <c r="D12" s="1375">
        <v>-0.23308441012304315</v>
      </c>
      <c r="E12"/>
      <c r="G12" s="1390" t="s">
        <v>4114</v>
      </c>
      <c r="H12" s="1374">
        <v>20.5</v>
      </c>
      <c r="I12" s="1392">
        <v>1</v>
      </c>
      <c r="J12" s="1374">
        <v>9.7988376226910895E-2</v>
      </c>
      <c r="K12"/>
      <c r="L12" s="1391">
        <v>15.5</v>
      </c>
      <c r="M12" s="1374">
        <v>3</v>
      </c>
      <c r="N12" s="1374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 x14ac:dyDescent="0.25">
      <c r="B13" s="1388" t="s">
        <v>1214</v>
      </c>
      <c r="C13" s="1389">
        <v>1</v>
      </c>
      <c r="D13" s="1375">
        <v>0.11792173913043479</v>
      </c>
      <c r="E13"/>
      <c r="G13" s="1390" t="s">
        <v>4115</v>
      </c>
      <c r="H13" s="1374">
        <v>25</v>
      </c>
      <c r="I13" s="1392">
        <v>1</v>
      </c>
      <c r="J13" s="1374">
        <v>3.9799999999999995E-2</v>
      </c>
      <c r="K13"/>
      <c r="L13" s="1391">
        <v>16</v>
      </c>
      <c r="M13" s="1374">
        <v>2</v>
      </c>
      <c r="N13" s="1374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 x14ac:dyDescent="0.25">
      <c r="B14" s="1388" t="s">
        <v>1207</v>
      </c>
      <c r="C14" s="1389">
        <v>1</v>
      </c>
      <c r="D14" s="1375">
        <v>0.41019433426617496</v>
      </c>
      <c r="E14"/>
      <c r="G14" s="1390" t="s">
        <v>4116</v>
      </c>
      <c r="H14" s="1374">
        <v>24</v>
      </c>
      <c r="I14" s="1392">
        <v>1</v>
      </c>
      <c r="J14" s="1374">
        <v>4.1521739130434776E-2</v>
      </c>
      <c r="K14"/>
      <c r="L14" s="1391">
        <v>16.34048426150121</v>
      </c>
      <c r="M14" s="1374">
        <v>1</v>
      </c>
      <c r="N14" s="1374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 x14ac:dyDescent="0.25">
      <c r="B15" s="1388" t="s">
        <v>1204</v>
      </c>
      <c r="C15" s="1389">
        <v>1</v>
      </c>
      <c r="D15" s="1375">
        <v>0.10644694094218135</v>
      </c>
      <c r="E15"/>
      <c r="G15" s="1390" t="s">
        <v>1221</v>
      </c>
      <c r="H15" s="1374">
        <v>15.5</v>
      </c>
      <c r="I15" s="1392">
        <v>1</v>
      </c>
      <c r="J15" s="1374">
        <v>6.5845267621409714E-2</v>
      </c>
      <c r="K15"/>
      <c r="L15" s="1391">
        <v>16.5</v>
      </c>
      <c r="M15" s="1374">
        <v>3</v>
      </c>
      <c r="N15" s="1374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 x14ac:dyDescent="0.25">
      <c r="B16" s="1388" t="s">
        <v>1197</v>
      </c>
      <c r="C16" s="1389">
        <v>0.66666666666666663</v>
      </c>
      <c r="D16" s="1375">
        <v>-0.89945680977695719</v>
      </c>
      <c r="E16"/>
      <c r="G16" s="1390" t="s">
        <v>4420</v>
      </c>
      <c r="H16" s="1374">
        <v>30</v>
      </c>
      <c r="I16" s="1392">
        <v>1</v>
      </c>
      <c r="J16" s="1374">
        <v>3.2938178167355288E-2</v>
      </c>
      <c r="K16"/>
      <c r="L16" s="1391">
        <v>17</v>
      </c>
      <c r="M16" s="1374">
        <v>5</v>
      </c>
      <c r="N16" s="1374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 x14ac:dyDescent="0.25">
      <c r="B17" s="1388" t="s">
        <v>1200</v>
      </c>
      <c r="C17" s="1389">
        <v>0.75</v>
      </c>
      <c r="D17" s="1375">
        <v>-0.81564678159958859</v>
      </c>
      <c r="E17"/>
      <c r="G17" s="1390" t="s">
        <v>4117</v>
      </c>
      <c r="H17" s="1374">
        <v>25</v>
      </c>
      <c r="I17" s="1392">
        <v>1</v>
      </c>
      <c r="J17" s="1374">
        <v>3.9799999999999995E-2</v>
      </c>
      <c r="K17"/>
      <c r="L17" s="1391">
        <v>17.5</v>
      </c>
      <c r="M17" s="1374">
        <v>1</v>
      </c>
      <c r="N17" s="1374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 x14ac:dyDescent="0.25">
      <c r="B18" s="1388" t="s">
        <v>1205</v>
      </c>
      <c r="C18" s="1389">
        <v>1</v>
      </c>
      <c r="D18" s="1375">
        <v>5.4540605414055206E-2</v>
      </c>
      <c r="E18"/>
      <c r="G18" s="1390" t="s">
        <v>4118</v>
      </c>
      <c r="H18" s="1374">
        <v>23</v>
      </c>
      <c r="I18" s="1392">
        <v>1</v>
      </c>
      <c r="J18" s="1374">
        <v>4.3407679277244489E-2</v>
      </c>
      <c r="K18"/>
      <c r="L18" s="1391">
        <v>18</v>
      </c>
      <c r="M18" s="1374">
        <v>4</v>
      </c>
      <c r="N18" s="1374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 x14ac:dyDescent="0.25">
      <c r="B19" s="1388" t="s">
        <v>1216</v>
      </c>
      <c r="C19" s="1389">
        <v>1</v>
      </c>
      <c r="D19" s="1375">
        <v>3.9799999999999995E-2</v>
      </c>
      <c r="E19"/>
      <c r="G19" s="1390" t="s">
        <v>4119</v>
      </c>
      <c r="H19" s="1374">
        <v>18</v>
      </c>
      <c r="I19" s="1392">
        <v>1</v>
      </c>
      <c r="J19" s="1374">
        <v>5.6176470588235293E-2</v>
      </c>
      <c r="K19"/>
      <c r="L19" s="1391">
        <v>18.5</v>
      </c>
      <c r="M19" s="1374">
        <v>4</v>
      </c>
      <c r="N19" s="1374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 x14ac:dyDescent="0.25">
      <c r="B20" s="1388" t="s">
        <v>1206</v>
      </c>
      <c r="C20" s="1389">
        <v>1</v>
      </c>
      <c r="D20" s="1375">
        <v>0.19436153593531094</v>
      </c>
      <c r="E20"/>
      <c r="G20" s="1390" t="s">
        <v>2624</v>
      </c>
      <c r="H20" s="1374">
        <v>13.5</v>
      </c>
      <c r="I20" s="1392">
        <v>0</v>
      </c>
      <c r="J20" s="1374">
        <v>-1</v>
      </c>
      <c r="K20"/>
      <c r="L20" s="1391">
        <v>19</v>
      </c>
      <c r="M20" s="1374">
        <v>4</v>
      </c>
      <c r="N20" s="1374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 x14ac:dyDescent="0.25">
      <c r="B21" s="1388" t="s">
        <v>1202</v>
      </c>
      <c r="C21" s="1389">
        <v>1</v>
      </c>
      <c r="D21" s="1375">
        <v>3.9799999999999995E-2</v>
      </c>
      <c r="E21"/>
      <c r="G21" s="1390" t="s">
        <v>4120</v>
      </c>
      <c r="H21" s="1374">
        <v>17</v>
      </c>
      <c r="I21" s="1392">
        <v>0</v>
      </c>
      <c r="J21" s="1374">
        <v>-0.10888515674984005</v>
      </c>
      <c r="K21"/>
      <c r="L21" s="1391">
        <v>20</v>
      </c>
      <c r="M21" s="1374">
        <v>8</v>
      </c>
      <c r="N21" s="1374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 x14ac:dyDescent="0.25">
      <c r="B22" s="1388" t="s">
        <v>1203</v>
      </c>
      <c r="C22" s="1389">
        <v>1</v>
      </c>
      <c r="D22" s="1375">
        <v>4.401381229706746E-2</v>
      </c>
      <c r="E22"/>
      <c r="G22" s="1390" t="s">
        <v>4121</v>
      </c>
      <c r="H22" s="1374">
        <v>13.5</v>
      </c>
      <c r="I22" s="1392">
        <v>1</v>
      </c>
      <c r="J22" s="1374">
        <v>7.640000000000001E-2</v>
      </c>
      <c r="K22"/>
      <c r="L22" s="1391">
        <v>21</v>
      </c>
      <c r="M22" s="1374">
        <v>9</v>
      </c>
      <c r="N22" s="1374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 x14ac:dyDescent="0.25">
      <c r="B23" s="1388" t="s">
        <v>3745</v>
      </c>
      <c r="C23" s="1389">
        <v>1</v>
      </c>
      <c r="D23" s="1375">
        <v>1.1165091490376504</v>
      </c>
      <c r="E23"/>
      <c r="G23" s="1390" t="s">
        <v>4122</v>
      </c>
      <c r="H23" s="1374">
        <v>22.726846363964338</v>
      </c>
      <c r="I23" s="1392">
        <v>1</v>
      </c>
      <c r="J23" s="1374">
        <v>4.401381229706746E-2</v>
      </c>
      <c r="K23"/>
      <c r="L23" s="1391">
        <v>22</v>
      </c>
      <c r="M23" s="1374">
        <v>3</v>
      </c>
      <c r="N23" s="1374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 x14ac:dyDescent="0.25">
      <c r="B24" s="1388" t="s">
        <v>1360</v>
      </c>
      <c r="C24" s="1389">
        <v>1</v>
      </c>
      <c r="D24" s="1375">
        <v>0.4075710443647545</v>
      </c>
      <c r="E24"/>
      <c r="G24" s="1390" t="s">
        <v>1223</v>
      </c>
      <c r="H24" s="1374">
        <v>20.25</v>
      </c>
      <c r="I24" s="1392">
        <v>1</v>
      </c>
      <c r="J24" s="1374">
        <v>0.10128793864734323</v>
      </c>
      <c r="K24"/>
      <c r="L24" s="1391">
        <v>22.726846363964338</v>
      </c>
      <c r="M24" s="1374">
        <v>1</v>
      </c>
      <c r="N24" s="1374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 x14ac:dyDescent="0.25">
      <c r="B25" s="1388" t="s">
        <v>1439</v>
      </c>
      <c r="C25" s="1389">
        <v>1</v>
      </c>
      <c r="D25" s="1375">
        <v>6.3669403688248749E-2</v>
      </c>
      <c r="E25"/>
      <c r="G25" s="1390" t="s">
        <v>4470</v>
      </c>
      <c r="H25" s="1374">
        <v>21</v>
      </c>
      <c r="I25" s="1392">
        <v>1</v>
      </c>
      <c r="J25" s="1374">
        <v>4.7740384615384615E-2</v>
      </c>
      <c r="K25"/>
      <c r="L25" s="1391">
        <v>23</v>
      </c>
      <c r="M25" s="1374">
        <v>9</v>
      </c>
      <c r="N25" s="1374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 x14ac:dyDescent="0.25">
      <c r="B26" s="1388" t="s">
        <v>2922</v>
      </c>
      <c r="C26" s="1389">
        <v>1</v>
      </c>
      <c r="D26" s="1375">
        <v>4.7750000000000001E-2</v>
      </c>
      <c r="E26"/>
      <c r="G26" s="1390" t="s">
        <v>4123</v>
      </c>
      <c r="H26" s="1374">
        <v>28</v>
      </c>
      <c r="I26" s="1392">
        <v>0</v>
      </c>
      <c r="J26" s="1374">
        <v>-6.6680378445084329E-2</v>
      </c>
      <c r="K26"/>
      <c r="L26" s="1391">
        <v>24</v>
      </c>
      <c r="M26" s="1374">
        <v>6</v>
      </c>
      <c r="N26" s="1374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 x14ac:dyDescent="0.25">
      <c r="B27" s="1388" t="s">
        <v>267</v>
      </c>
      <c r="C27" s="1389">
        <v>0.91111111111111109</v>
      </c>
      <c r="D27" s="1375">
        <v>1.050759821612345</v>
      </c>
      <c r="E27"/>
      <c r="G27" s="1390" t="s">
        <v>4124</v>
      </c>
      <c r="H27" s="1374">
        <v>23</v>
      </c>
      <c r="I27" s="1392">
        <v>1</v>
      </c>
      <c r="J27" s="1374">
        <v>4.3413892445582587E-2</v>
      </c>
      <c r="K27"/>
      <c r="L27" s="1391">
        <v>25</v>
      </c>
      <c r="M27" s="1374">
        <v>4</v>
      </c>
      <c r="N27" s="1374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 x14ac:dyDescent="0.25">
      <c r="B28"/>
      <c r="C28"/>
      <c r="D28"/>
      <c r="E28"/>
      <c r="G28" s="1390" t="s">
        <v>4125</v>
      </c>
      <c r="H28" s="1374">
        <v>18</v>
      </c>
      <c r="I28" s="1392">
        <v>1</v>
      </c>
      <c r="J28" s="1374">
        <v>5.6186926084189473E-2</v>
      </c>
      <c r="K28"/>
      <c r="L28" s="1391">
        <v>26</v>
      </c>
      <c r="M28" s="1374">
        <v>2</v>
      </c>
      <c r="N28" s="1374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 x14ac:dyDescent="0.25">
      <c r="B29"/>
      <c r="C29"/>
      <c r="D29"/>
      <c r="E29"/>
      <c r="G29" s="1390" t="s">
        <v>1225</v>
      </c>
      <c r="H29" s="1374">
        <v>20</v>
      </c>
      <c r="I29" s="1392">
        <v>1</v>
      </c>
      <c r="J29" s="1374">
        <v>5.0260014857991885E-2</v>
      </c>
      <c r="K29"/>
      <c r="L29" s="1391">
        <v>27</v>
      </c>
      <c r="M29" s="1374">
        <v>2</v>
      </c>
      <c r="N29" s="1374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 x14ac:dyDescent="0.25">
      <c r="B30"/>
      <c r="C30"/>
      <c r="D30"/>
      <c r="E30"/>
      <c r="G30" s="1390" t="s">
        <v>4126</v>
      </c>
      <c r="H30" s="1374">
        <v>14</v>
      </c>
      <c r="I30" s="1392">
        <v>1</v>
      </c>
      <c r="J30" s="1374">
        <v>7.3456872417011057E-2</v>
      </c>
      <c r="K30"/>
      <c r="L30" s="1391">
        <v>27.5</v>
      </c>
      <c r="M30" s="1374">
        <v>1</v>
      </c>
      <c r="N30" s="1374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 x14ac:dyDescent="0.25">
      <c r="B31"/>
      <c r="C31"/>
      <c r="D31"/>
      <c r="E31"/>
      <c r="G31" s="1390" t="s">
        <v>4127</v>
      </c>
      <c r="H31" s="1374">
        <v>18</v>
      </c>
      <c r="I31" s="1392">
        <v>1</v>
      </c>
      <c r="J31" s="1374">
        <v>5.6184268404846645E-2</v>
      </c>
      <c r="K31"/>
      <c r="L31" s="1391">
        <v>28</v>
      </c>
      <c r="M31" s="1374">
        <v>1</v>
      </c>
      <c r="N31" s="1374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 x14ac:dyDescent="0.25">
      <c r="B32"/>
      <c r="C32"/>
      <c r="D32"/>
      <c r="G32" s="1390" t="s">
        <v>4128</v>
      </c>
      <c r="H32" s="1374">
        <v>23</v>
      </c>
      <c r="I32" s="1392">
        <v>1</v>
      </c>
      <c r="J32" s="1374">
        <v>4.3409090909090911E-2</v>
      </c>
      <c r="K32"/>
      <c r="L32" s="1391">
        <v>29</v>
      </c>
      <c r="M32" s="1374">
        <v>2</v>
      </c>
      <c r="N32" s="1374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 x14ac:dyDescent="0.25">
      <c r="B33"/>
      <c r="C33"/>
      <c r="D33"/>
      <c r="G33" s="1390" t="s">
        <v>4129</v>
      </c>
      <c r="H33" s="1374">
        <v>27</v>
      </c>
      <c r="I33" s="1392">
        <v>0</v>
      </c>
      <c r="J33" s="1374">
        <v>-0.40886221737285566</v>
      </c>
      <c r="K33"/>
      <c r="L33" s="1391">
        <v>30</v>
      </c>
      <c r="M33" s="1374">
        <v>2</v>
      </c>
      <c r="N33" s="1374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 x14ac:dyDescent="0.25">
      <c r="G34" s="1390" t="s">
        <v>4130</v>
      </c>
      <c r="H34" s="1374">
        <v>16.34048426150121</v>
      </c>
      <c r="I34" s="1392">
        <v>1</v>
      </c>
      <c r="J34" s="1374">
        <v>6.2348668280871669E-2</v>
      </c>
      <c r="K34"/>
      <c r="L34" s="1390" t="s">
        <v>267</v>
      </c>
      <c r="M34" s="1374">
        <v>90</v>
      </c>
      <c r="N34" s="1374">
        <v>1.050759821612345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 x14ac:dyDescent="0.25">
      <c r="G35" s="1390" t="s">
        <v>4131</v>
      </c>
      <c r="H35" s="1374">
        <v>29</v>
      </c>
      <c r="I35" s="1392">
        <v>1</v>
      </c>
      <c r="J35" s="1374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 x14ac:dyDescent="0.25">
      <c r="G36" s="1390" t="s">
        <v>4132</v>
      </c>
      <c r="H36" s="1374">
        <v>27</v>
      </c>
      <c r="I36" s="1392">
        <v>1</v>
      </c>
      <c r="J36" s="1374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 x14ac:dyDescent="0.25">
      <c r="G37" s="1390" t="s">
        <v>4133</v>
      </c>
      <c r="H37" s="1374">
        <v>22</v>
      </c>
      <c r="I37" s="1392">
        <v>1</v>
      </c>
      <c r="J37" s="1374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 x14ac:dyDescent="0.25">
      <c r="G38" s="1390" t="s">
        <v>4134</v>
      </c>
      <c r="H38" s="1374">
        <v>15</v>
      </c>
      <c r="I38" s="1392">
        <v>1</v>
      </c>
      <c r="J38" s="1374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 x14ac:dyDescent="0.25">
      <c r="G39" s="1390" t="s">
        <v>1248</v>
      </c>
      <c r="H39" s="1374">
        <v>21</v>
      </c>
      <c r="I39" s="1392">
        <v>1</v>
      </c>
      <c r="J39" s="1374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 x14ac:dyDescent="0.25">
      <c r="G40" s="1390" t="s">
        <v>1249</v>
      </c>
      <c r="H40" s="1374">
        <v>19</v>
      </c>
      <c r="I40" s="1392">
        <v>1</v>
      </c>
      <c r="J40" s="1374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 x14ac:dyDescent="0.25">
      <c r="G41" s="1390" t="s">
        <v>4135</v>
      </c>
      <c r="H41" s="1374">
        <v>23</v>
      </c>
      <c r="I41" s="1392">
        <v>1</v>
      </c>
      <c r="J41" s="1374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 x14ac:dyDescent="0.25">
      <c r="G42" s="1390" t="s">
        <v>4136</v>
      </c>
      <c r="H42" s="1374">
        <v>9.8000000000000007</v>
      </c>
      <c r="I42" s="1392">
        <v>0</v>
      </c>
      <c r="J42" s="1374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 x14ac:dyDescent="0.25">
      <c r="G43" s="1390" t="s">
        <v>4137</v>
      </c>
      <c r="H43" s="1374">
        <v>29</v>
      </c>
      <c r="I43" s="1392">
        <v>1</v>
      </c>
      <c r="J43" s="1374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 x14ac:dyDescent="0.25">
      <c r="G44" s="1390" t="s">
        <v>4138</v>
      </c>
      <c r="H44" s="1374">
        <v>18.5</v>
      </c>
      <c r="I44" s="1392">
        <v>1</v>
      </c>
      <c r="J44" s="1374">
        <v>5.4540605414055206E-2</v>
      </c>
      <c r="K44"/>
      <c r="L44"/>
      <c r="M44"/>
      <c r="N44"/>
      <c r="O44"/>
    </row>
    <row r="45" spans="2:64" ht="13.8" x14ac:dyDescent="0.25">
      <c r="G45" s="1390" t="s">
        <v>4139</v>
      </c>
      <c r="H45" s="1374">
        <v>17</v>
      </c>
      <c r="I45" s="1392">
        <v>1</v>
      </c>
      <c r="J45" s="1374">
        <v>5.9687499999999998E-2</v>
      </c>
      <c r="K45"/>
      <c r="L45"/>
      <c r="M45"/>
      <c r="N45"/>
      <c r="O45"/>
    </row>
    <row r="46" spans="2:64" ht="13.8" x14ac:dyDescent="0.25">
      <c r="G46" s="1390" t="s">
        <v>4140</v>
      </c>
      <c r="H46" s="1374">
        <v>24</v>
      </c>
      <c r="I46" s="1392">
        <v>1</v>
      </c>
      <c r="J46" s="1374">
        <v>4.1521739130434776E-2</v>
      </c>
      <c r="K46"/>
      <c r="L46"/>
      <c r="M46"/>
      <c r="N46"/>
      <c r="O46"/>
    </row>
    <row r="47" spans="2:64" ht="13.8" x14ac:dyDescent="0.25">
      <c r="G47" s="1390" t="s">
        <v>4141</v>
      </c>
      <c r="H47" s="1374">
        <v>14.5</v>
      </c>
      <c r="I47" s="1392">
        <v>1</v>
      </c>
      <c r="J47" s="1374">
        <v>7.0754339652827777E-2</v>
      </c>
      <c r="K47"/>
      <c r="L47"/>
      <c r="M47"/>
      <c r="N47"/>
      <c r="O47"/>
    </row>
    <row r="48" spans="2:64" ht="13.8" x14ac:dyDescent="0.25">
      <c r="G48" s="1390" t="s">
        <v>4142</v>
      </c>
      <c r="H48" s="1374">
        <v>16.5</v>
      </c>
      <c r="I48" s="1392">
        <v>1</v>
      </c>
      <c r="J48" s="1374">
        <v>6.1614376687893845E-2</v>
      </c>
      <c r="K48"/>
      <c r="L48"/>
      <c r="M48"/>
      <c r="N48"/>
      <c r="O48"/>
    </row>
    <row r="49" spans="7:15" ht="13.8" x14ac:dyDescent="0.25">
      <c r="G49" s="1390" t="s">
        <v>4143</v>
      </c>
      <c r="H49" s="1374">
        <v>23</v>
      </c>
      <c r="I49" s="1392">
        <v>1</v>
      </c>
      <c r="J49" s="1374">
        <v>4.3388429752066117E-2</v>
      </c>
      <c r="K49"/>
      <c r="L49"/>
      <c r="M49"/>
      <c r="N49"/>
      <c r="O49"/>
    </row>
    <row r="50" spans="7:15" ht="13.8" x14ac:dyDescent="0.25">
      <c r="G50" s="1390" t="s">
        <v>4144</v>
      </c>
      <c r="H50" s="1374">
        <v>15.5</v>
      </c>
      <c r="I50" s="1392">
        <v>1</v>
      </c>
      <c r="J50" s="1374">
        <v>0.14577195648696209</v>
      </c>
      <c r="K50"/>
      <c r="L50"/>
      <c r="M50"/>
      <c r="N50"/>
      <c r="O50"/>
    </row>
    <row r="51" spans="7:15" ht="13.8" x14ac:dyDescent="0.25">
      <c r="G51" s="1390" t="s">
        <v>4145</v>
      </c>
      <c r="H51" s="1374">
        <v>19</v>
      </c>
      <c r="I51" s="1392">
        <v>0</v>
      </c>
      <c r="J51" s="1374">
        <v>-9.9672026237900974E-2</v>
      </c>
      <c r="K51"/>
      <c r="L51"/>
      <c r="M51"/>
      <c r="N51"/>
      <c r="O51"/>
    </row>
    <row r="52" spans="7:15" ht="13.8" x14ac:dyDescent="0.25">
      <c r="G52" s="1390" t="s">
        <v>4146</v>
      </c>
      <c r="H52" s="1374">
        <v>24</v>
      </c>
      <c r="I52" s="1392">
        <v>1</v>
      </c>
      <c r="J52" s="1374">
        <v>4.1518339266429345E-2</v>
      </c>
      <c r="K52"/>
      <c r="L52"/>
      <c r="M52"/>
      <c r="N52"/>
      <c r="O52"/>
    </row>
    <row r="53" spans="7:15" ht="13.8" x14ac:dyDescent="0.25">
      <c r="G53" s="1390" t="s">
        <v>4147</v>
      </c>
      <c r="H53" s="1374">
        <v>18.5</v>
      </c>
      <c r="I53" s="1392">
        <v>1</v>
      </c>
      <c r="J53" s="1374">
        <v>5.4569609281237504E-2</v>
      </c>
      <c r="K53"/>
      <c r="L53"/>
      <c r="M53"/>
      <c r="N53"/>
      <c r="O53"/>
    </row>
    <row r="54" spans="7:15" ht="13.8" x14ac:dyDescent="0.25">
      <c r="G54" s="1390" t="s">
        <v>1250</v>
      </c>
      <c r="H54" s="1374">
        <v>19.25</v>
      </c>
      <c r="I54" s="1392">
        <v>1</v>
      </c>
      <c r="J54" s="1374">
        <v>0.10482464441028588</v>
      </c>
      <c r="K54"/>
      <c r="L54"/>
      <c r="M54"/>
      <c r="N54"/>
      <c r="O54"/>
    </row>
    <row r="55" spans="7:15" ht="13.8" x14ac:dyDescent="0.25">
      <c r="G55" s="1390" t="s">
        <v>3141</v>
      </c>
      <c r="H55" s="1374">
        <v>17</v>
      </c>
      <c r="I55" s="1392">
        <v>1</v>
      </c>
      <c r="J55" s="1374">
        <v>5.9694364851957969E-2</v>
      </c>
      <c r="K55"/>
      <c r="L55"/>
      <c r="M55"/>
      <c r="N55"/>
      <c r="O55"/>
    </row>
    <row r="56" spans="7:15" ht="13.8" x14ac:dyDescent="0.25">
      <c r="G56" s="1390" t="s">
        <v>1230</v>
      </c>
      <c r="H56" s="1374">
        <v>18.5</v>
      </c>
      <c r="I56" s="1392">
        <v>1</v>
      </c>
      <c r="J56" s="1374">
        <v>5.4569609281237504E-2</v>
      </c>
      <c r="K56"/>
      <c r="L56"/>
      <c r="M56"/>
      <c r="N56"/>
      <c r="O56"/>
    </row>
    <row r="57" spans="7:15" ht="13.8" x14ac:dyDescent="0.25">
      <c r="G57" s="1390" t="s">
        <v>4148</v>
      </c>
      <c r="H57" s="1374">
        <v>23</v>
      </c>
      <c r="I57" s="1392">
        <v>1</v>
      </c>
      <c r="J57" s="1374">
        <v>4.3413892445582587E-2</v>
      </c>
      <c r="K57"/>
      <c r="L57"/>
      <c r="M57"/>
      <c r="N57"/>
      <c r="O57"/>
    </row>
    <row r="58" spans="7:15" ht="13.8" x14ac:dyDescent="0.25">
      <c r="G58" s="1390" t="s">
        <v>4149</v>
      </c>
      <c r="H58" s="1374">
        <v>11</v>
      </c>
      <c r="I58" s="1392">
        <v>1</v>
      </c>
      <c r="J58" s="1374">
        <v>5.2939182452642064E-2</v>
      </c>
      <c r="K58"/>
      <c r="L58"/>
      <c r="M58"/>
      <c r="N58"/>
      <c r="O58"/>
    </row>
    <row r="59" spans="7:15" ht="13.8" x14ac:dyDescent="0.25">
      <c r="G59" s="1390" t="s">
        <v>1437</v>
      </c>
      <c r="H59" s="1374">
        <v>15.5</v>
      </c>
      <c r="I59" s="1392">
        <v>0</v>
      </c>
      <c r="J59" s="1374">
        <v>-0.99997368767267469</v>
      </c>
      <c r="K59"/>
      <c r="L59"/>
      <c r="M59"/>
      <c r="N59"/>
      <c r="O59"/>
    </row>
    <row r="60" spans="7:15" ht="13.8" x14ac:dyDescent="0.25">
      <c r="G60" s="1390" t="s">
        <v>4150</v>
      </c>
      <c r="H60" s="1374">
        <v>16.5</v>
      </c>
      <c r="I60" s="1392">
        <v>1</v>
      </c>
      <c r="J60" s="1374">
        <v>6.1611374407582936E-2</v>
      </c>
      <c r="K60"/>
      <c r="L60"/>
      <c r="M60"/>
      <c r="N60"/>
      <c r="O60"/>
    </row>
    <row r="61" spans="7:15" ht="13.8" x14ac:dyDescent="0.25">
      <c r="G61" s="1390" t="s">
        <v>4151</v>
      </c>
      <c r="H61" s="1374">
        <v>20</v>
      </c>
      <c r="I61" s="1392">
        <v>1</v>
      </c>
      <c r="J61" s="1374">
        <v>5.0263157894736843E-2</v>
      </c>
      <c r="L61"/>
      <c r="M61"/>
      <c r="N61"/>
      <c r="O61"/>
    </row>
    <row r="62" spans="7:15" ht="13.8" x14ac:dyDescent="0.25">
      <c r="G62" s="1390" t="s">
        <v>4152</v>
      </c>
      <c r="H62" s="1374">
        <v>20</v>
      </c>
      <c r="I62" s="1392">
        <v>1</v>
      </c>
      <c r="J62" s="1374">
        <v>5.0253720000980558E-2</v>
      </c>
      <c r="L62"/>
      <c r="M62"/>
      <c r="N62"/>
      <c r="O62"/>
    </row>
    <row r="63" spans="7:15" ht="13.8" x14ac:dyDescent="0.25">
      <c r="G63" s="1390" t="s">
        <v>4153</v>
      </c>
      <c r="H63" s="1374">
        <v>21</v>
      </c>
      <c r="I63" s="1392">
        <v>1</v>
      </c>
      <c r="J63" s="1374">
        <v>4.7741935483870963E-2</v>
      </c>
      <c r="L63"/>
      <c r="M63"/>
      <c r="N63"/>
      <c r="O63"/>
    </row>
    <row r="64" spans="7:15" ht="13.8" x14ac:dyDescent="0.25">
      <c r="G64" s="1390" t="s">
        <v>4154</v>
      </c>
      <c r="H64" s="1374">
        <v>12.5</v>
      </c>
      <c r="I64" s="1392">
        <v>1</v>
      </c>
      <c r="J64" s="1374">
        <v>8.3051776093507446E-2</v>
      </c>
      <c r="L64"/>
      <c r="M64"/>
      <c r="N64"/>
      <c r="O64"/>
    </row>
    <row r="65" spans="7:15" ht="13.8" x14ac:dyDescent="0.25">
      <c r="G65" s="1390" t="s">
        <v>3602</v>
      </c>
      <c r="H65" s="1374">
        <v>17</v>
      </c>
      <c r="I65" s="1392">
        <v>1</v>
      </c>
      <c r="J65" s="1374">
        <v>5.9687499999999998E-2</v>
      </c>
      <c r="L65"/>
      <c r="M65"/>
      <c r="N65"/>
      <c r="O65"/>
    </row>
    <row r="66" spans="7:15" ht="13.8" x14ac:dyDescent="0.25">
      <c r="G66" s="1390" t="s">
        <v>4225</v>
      </c>
      <c r="H66" s="1374">
        <v>30</v>
      </c>
      <c r="I66" s="1392">
        <v>1</v>
      </c>
      <c r="J66" s="1374">
        <v>3.2940552784404442E-2</v>
      </c>
      <c r="L66"/>
      <c r="M66"/>
      <c r="N66"/>
      <c r="O66"/>
    </row>
    <row r="67" spans="7:15" ht="13.8" x14ac:dyDescent="0.25">
      <c r="G67" s="1390" t="s">
        <v>4155</v>
      </c>
      <c r="H67" s="1374">
        <v>15.5</v>
      </c>
      <c r="I67" s="1392">
        <v>1</v>
      </c>
      <c r="J67" s="1374">
        <v>6.5847131135488055E-2</v>
      </c>
      <c r="L67"/>
      <c r="M67"/>
      <c r="N67"/>
      <c r="O67"/>
    </row>
    <row r="68" spans="7:15" ht="13.8" x14ac:dyDescent="0.25">
      <c r="G68" s="1390" t="s">
        <v>4156</v>
      </c>
      <c r="H68" s="1374">
        <v>22</v>
      </c>
      <c r="I68" s="1392">
        <v>1</v>
      </c>
      <c r="J68" s="1374">
        <v>4.5486354093771872E-2</v>
      </c>
      <c r="L68"/>
      <c r="M68"/>
      <c r="N68"/>
      <c r="O68"/>
    </row>
    <row r="69" spans="7:15" ht="13.8" x14ac:dyDescent="0.25">
      <c r="G69" s="1390" t="s">
        <v>4157</v>
      </c>
      <c r="H69" s="1374">
        <v>16</v>
      </c>
      <c r="I69" s="1392">
        <v>1</v>
      </c>
      <c r="J69" s="1374">
        <v>6.3669403688248749E-2</v>
      </c>
      <c r="L69"/>
      <c r="M69"/>
      <c r="N69"/>
    </row>
    <row r="70" spans="7:15" ht="13.8" x14ac:dyDescent="0.25">
      <c r="G70" s="1390" t="s">
        <v>4408</v>
      </c>
      <c r="H70" s="1374">
        <v>19</v>
      </c>
      <c r="I70" s="1392">
        <v>1</v>
      </c>
      <c r="J70" s="1374">
        <v>5.3055305530553057E-2</v>
      </c>
      <c r="L70"/>
      <c r="M70"/>
      <c r="N70"/>
    </row>
    <row r="71" spans="7:15" ht="13.8" x14ac:dyDescent="0.25">
      <c r="G71" s="1390" t="s">
        <v>4421</v>
      </c>
      <c r="H71" s="1374">
        <v>24</v>
      </c>
      <c r="I71" s="1392">
        <v>1</v>
      </c>
      <c r="J71" s="1374">
        <v>4.1528114608595637E-2</v>
      </c>
      <c r="L71"/>
      <c r="M71"/>
      <c r="N71"/>
    </row>
    <row r="72" spans="7:15" ht="13.8" x14ac:dyDescent="0.25">
      <c r="G72" s="1390" t="s">
        <v>4252</v>
      </c>
      <c r="H72" s="1374">
        <v>14</v>
      </c>
      <c r="I72" s="1392">
        <v>1</v>
      </c>
      <c r="J72" s="1374">
        <v>7.3455049894840474E-2</v>
      </c>
      <c r="L72"/>
      <c r="M72"/>
      <c r="N72"/>
    </row>
    <row r="73" spans="7:15" ht="13.8" x14ac:dyDescent="0.25">
      <c r="G73" s="1390" t="s">
        <v>4516</v>
      </c>
      <c r="H73" s="1374">
        <v>23</v>
      </c>
      <c r="I73" s="1392">
        <v>1</v>
      </c>
      <c r="J73" s="1374">
        <v>4.3414141414141412E-2</v>
      </c>
      <c r="L73"/>
      <c r="M73"/>
      <c r="N73"/>
    </row>
    <row r="74" spans="7:15" ht="13.8" x14ac:dyDescent="0.25">
      <c r="G74" s="1390" t="s">
        <v>4158</v>
      </c>
      <c r="H74" s="1374">
        <v>27.5</v>
      </c>
      <c r="I74" s="1392">
        <v>1</v>
      </c>
      <c r="J74" s="1374">
        <v>4.7750000000000001E-2</v>
      </c>
      <c r="L74"/>
      <c r="M74"/>
      <c r="N74"/>
    </row>
    <row r="75" spans="7:15" ht="13.8" x14ac:dyDescent="0.25">
      <c r="G75" s="1390" t="s">
        <v>4189</v>
      </c>
      <c r="H75" s="1374">
        <v>21</v>
      </c>
      <c r="I75" s="1392">
        <v>1</v>
      </c>
      <c r="J75" s="1374">
        <v>4.7759036144578312E-2</v>
      </c>
      <c r="L75"/>
      <c r="M75"/>
      <c r="N75"/>
    </row>
    <row r="76" spans="7:15" ht="13.8" x14ac:dyDescent="0.25">
      <c r="G76" s="1390" t="s">
        <v>4517</v>
      </c>
      <c r="H76" s="1374">
        <v>24</v>
      </c>
      <c r="I76" s="1392">
        <v>1</v>
      </c>
      <c r="J76" s="1374">
        <v>4.1521958939640391E-2</v>
      </c>
      <c r="L76"/>
      <c r="M76"/>
      <c r="N76"/>
    </row>
    <row r="77" spans="7:15" ht="13.8" x14ac:dyDescent="0.25">
      <c r="G77" s="1390" t="s">
        <v>4190</v>
      </c>
      <c r="H77" s="1374">
        <v>20</v>
      </c>
      <c r="I77" s="1392">
        <v>1</v>
      </c>
      <c r="J77" s="1374">
        <v>5.026990553306343E-2</v>
      </c>
      <c r="L77"/>
      <c r="M77"/>
      <c r="N77"/>
    </row>
    <row r="78" spans="7:15" ht="13.8" x14ac:dyDescent="0.25">
      <c r="G78" s="1390" t="s">
        <v>4397</v>
      </c>
      <c r="H78" s="1374">
        <v>26</v>
      </c>
      <c r="I78" s="1392">
        <v>1</v>
      </c>
      <c r="J78" s="1374">
        <v>3.8195652173913047E-2</v>
      </c>
      <c r="L78"/>
      <c r="M78"/>
      <c r="N78"/>
    </row>
    <row r="79" spans="7:15" ht="13.8" x14ac:dyDescent="0.25">
      <c r="G79" s="1390" t="s">
        <v>4409</v>
      </c>
      <c r="H79" s="1374">
        <v>18</v>
      </c>
      <c r="I79" s="1392">
        <v>1</v>
      </c>
      <c r="J79" s="1374">
        <v>5.6186926084189473E-2</v>
      </c>
      <c r="L79"/>
      <c r="M79"/>
      <c r="N79"/>
    </row>
    <row r="80" spans="7:15" ht="13.8" x14ac:dyDescent="0.25">
      <c r="G80" s="1390" t="s">
        <v>4329</v>
      </c>
      <c r="H80" s="1374">
        <v>13.5</v>
      </c>
      <c r="I80" s="1392">
        <v>1</v>
      </c>
      <c r="J80" s="1374">
        <v>7.6404040404040405E-2</v>
      </c>
      <c r="L80"/>
      <c r="M80"/>
      <c r="N80"/>
    </row>
    <row r="81" spans="7:14" ht="13.8" x14ac:dyDescent="0.25">
      <c r="G81" s="1390" t="s">
        <v>4518</v>
      </c>
      <c r="H81" s="1374">
        <v>21</v>
      </c>
      <c r="I81" s="1392">
        <v>1</v>
      </c>
      <c r="J81" s="1374">
        <v>4.7758241758241761E-2</v>
      </c>
      <c r="L81"/>
      <c r="M81"/>
      <c r="N81"/>
    </row>
    <row r="82" spans="7:14" ht="13.8" x14ac:dyDescent="0.25">
      <c r="G82" s="1390" t="s">
        <v>4168</v>
      </c>
      <c r="H82" s="1374">
        <v>23</v>
      </c>
      <c r="I82" s="1392">
        <v>1</v>
      </c>
      <c r="J82" s="1374">
        <v>4.3404340434043405E-2</v>
      </c>
      <c r="L82"/>
      <c r="M82"/>
      <c r="N82"/>
    </row>
    <row r="83" spans="7:14" ht="13.8" x14ac:dyDescent="0.25">
      <c r="G83" s="1390" t="s">
        <v>4191</v>
      </c>
      <c r="H83" s="1374">
        <v>26</v>
      </c>
      <c r="I83" s="1392">
        <v>1</v>
      </c>
      <c r="J83" s="1374">
        <v>3.8200000000000005E-2</v>
      </c>
      <c r="L83"/>
      <c r="M83"/>
      <c r="N83"/>
    </row>
    <row r="84" spans="7:14" ht="13.8" x14ac:dyDescent="0.25">
      <c r="G84" s="1390" t="s">
        <v>4231</v>
      </c>
      <c r="H84" s="1374">
        <v>25</v>
      </c>
      <c r="I84" s="1392">
        <v>1</v>
      </c>
      <c r="J84" s="1374">
        <v>3.9783296130952384E-2</v>
      </c>
      <c r="L84"/>
      <c r="M84"/>
      <c r="N84"/>
    </row>
    <row r="85" spans="7:14" ht="13.8" x14ac:dyDescent="0.25">
      <c r="G85" s="1390" t="s">
        <v>4363</v>
      </c>
      <c r="H85" s="1374">
        <v>15</v>
      </c>
      <c r="I85" s="1392">
        <v>1</v>
      </c>
      <c r="J85" s="1374">
        <v>6.8206487441625649E-2</v>
      </c>
      <c r="L85"/>
      <c r="M85"/>
      <c r="N85"/>
    </row>
    <row r="86" spans="7:14" ht="13.8" x14ac:dyDescent="0.25">
      <c r="G86" s="1390" t="s">
        <v>4215</v>
      </c>
      <c r="H86" s="1374">
        <v>25</v>
      </c>
      <c r="I86" s="1392">
        <v>1</v>
      </c>
      <c r="J86" s="1374">
        <v>3.9798460144927536E-2</v>
      </c>
      <c r="L86"/>
      <c r="M86"/>
      <c r="N86"/>
    </row>
    <row r="87" spans="7:14" ht="13.8" x14ac:dyDescent="0.25">
      <c r="G87" s="1390" t="s">
        <v>4364</v>
      </c>
      <c r="H87" s="1374">
        <v>18.75</v>
      </c>
      <c r="I87" s="1392">
        <v>1</v>
      </c>
      <c r="J87" s="1374">
        <v>0.10936725412278764</v>
      </c>
      <c r="L87"/>
      <c r="M87"/>
      <c r="N87"/>
    </row>
    <row r="88" spans="7:14" ht="13.8" x14ac:dyDescent="0.25">
      <c r="G88" s="1390" t="s">
        <v>4214</v>
      </c>
      <c r="H88" s="1374">
        <v>24</v>
      </c>
      <c r="I88" s="1392">
        <v>1</v>
      </c>
      <c r="J88" s="1374">
        <v>4.1521524104416632E-2</v>
      </c>
      <c r="L88"/>
      <c r="M88"/>
      <c r="N88"/>
    </row>
    <row r="89" spans="7:14" ht="13.8" x14ac:dyDescent="0.25">
      <c r="G89" s="1390" t="s">
        <v>4216</v>
      </c>
      <c r="H89" s="1374">
        <v>19</v>
      </c>
      <c r="I89" s="1392">
        <v>1</v>
      </c>
      <c r="J89" s="1374">
        <v>5.3060298605955618E-2</v>
      </c>
      <c r="L89"/>
      <c r="M89"/>
      <c r="N89"/>
    </row>
    <row r="90" spans="7:14" ht="13.8" x14ac:dyDescent="0.25">
      <c r="G90" s="1390" t="s">
        <v>267</v>
      </c>
      <c r="H90" s="1374">
        <v>20.09297034028295</v>
      </c>
      <c r="I90" s="1392">
        <v>0.91111111111111109</v>
      </c>
      <c r="J90" s="1374">
        <v>1.0507598216123448</v>
      </c>
      <c r="L90"/>
      <c r="M90"/>
      <c r="N90"/>
    </row>
    <row r="91" spans="7:14" ht="13.8" x14ac:dyDescent="0.25">
      <c r="L91"/>
      <c r="M91"/>
      <c r="N91"/>
    </row>
    <row r="92" spans="7:14" ht="13.8" x14ac:dyDescent="0.25">
      <c r="L92"/>
      <c r="M92"/>
      <c r="N92"/>
    </row>
    <row r="93" spans="7:14" ht="13.8" x14ac:dyDescent="0.25">
      <c r="L93"/>
      <c r="M93"/>
      <c r="N93"/>
    </row>
    <row r="94" spans="7:14" ht="13.8" x14ac:dyDescent="0.25">
      <c r="L94"/>
      <c r="M94"/>
      <c r="N94"/>
    </row>
    <row r="95" spans="7:14" ht="13.8" x14ac:dyDescent="0.25">
      <c r="L95"/>
      <c r="M95"/>
      <c r="N95"/>
    </row>
    <row r="96" spans="7:14" ht="13.8" x14ac:dyDescent="0.25">
      <c r="L96"/>
      <c r="M96"/>
      <c r="N96"/>
    </row>
    <row r="97" spans="12:14" ht="13.8" x14ac:dyDescent="0.25">
      <c r="L97"/>
      <c r="M97"/>
      <c r="N97"/>
    </row>
    <row r="98" spans="12:14" ht="13.8" x14ac:dyDescent="0.25">
      <c r="L98"/>
      <c r="M98"/>
      <c r="N98"/>
    </row>
    <row r="99" spans="12:14" ht="13.8" x14ac:dyDescent="0.25">
      <c r="L99"/>
      <c r="M99"/>
      <c r="N99"/>
    </row>
    <row r="100" spans="12:14" ht="13.8" x14ac:dyDescent="0.25">
      <c r="L100"/>
      <c r="M100"/>
      <c r="N100"/>
    </row>
    <row r="101" spans="12:14" ht="13.8" x14ac:dyDescent="0.25">
      <c r="L101"/>
      <c r="M101"/>
      <c r="N101"/>
    </row>
    <row r="102" spans="12:14" ht="13.8" x14ac:dyDescent="0.25">
      <c r="L102"/>
      <c r="M102"/>
      <c r="N102"/>
    </row>
    <row r="103" spans="12:14" ht="13.8" x14ac:dyDescent="0.25">
      <c r="L103"/>
      <c r="M103"/>
      <c r="N103"/>
    </row>
    <row r="104" spans="12:14" ht="13.8" x14ac:dyDescent="0.25">
      <c r="L104"/>
      <c r="M104"/>
      <c r="N104"/>
    </row>
    <row r="105" spans="12:14" ht="13.8" x14ac:dyDescent="0.25">
      <c r="L105"/>
      <c r="M105"/>
      <c r="N105"/>
    </row>
    <row r="106" spans="12:14" ht="13.8" x14ac:dyDescent="0.25">
      <c r="L106"/>
      <c r="M106"/>
      <c r="N106"/>
    </row>
    <row r="107" spans="12:14" ht="13.8" x14ac:dyDescent="0.25">
      <c r="L107"/>
      <c r="M107"/>
      <c r="N107"/>
    </row>
    <row r="108" spans="12:14" ht="13.8" x14ac:dyDescent="0.25">
      <c r="L108"/>
      <c r="M108"/>
      <c r="N108"/>
    </row>
    <row r="109" spans="12:14" ht="13.8" x14ac:dyDescent="0.25">
      <c r="L109"/>
      <c r="M109"/>
      <c r="N109"/>
    </row>
    <row r="110" spans="12:14" ht="13.8" x14ac:dyDescent="0.25">
      <c r="L110"/>
      <c r="M110"/>
      <c r="N110"/>
    </row>
    <row r="111" spans="12:14" ht="13.8" x14ac:dyDescent="0.25">
      <c r="L111"/>
      <c r="M111"/>
      <c r="N111"/>
    </row>
    <row r="112" spans="12:14" ht="13.8" x14ac:dyDescent="0.25">
      <c r="L112"/>
      <c r="M112"/>
      <c r="N112"/>
    </row>
    <row r="113" spans="12:14" ht="13.8" x14ac:dyDescent="0.25">
      <c r="L113"/>
      <c r="M113"/>
      <c r="N113"/>
    </row>
    <row r="114" spans="12:14" ht="13.8" x14ac:dyDescent="0.25">
      <c r="L114"/>
      <c r="M114"/>
      <c r="N114"/>
    </row>
    <row r="115" spans="12:14" ht="13.8" x14ac:dyDescent="0.25">
      <c r="L115"/>
      <c r="M115"/>
      <c r="N115"/>
    </row>
    <row r="116" spans="12:14" ht="13.8" x14ac:dyDescent="0.25">
      <c r="L116"/>
      <c r="M116"/>
      <c r="N116"/>
    </row>
    <row r="117" spans="12:14" ht="13.8" x14ac:dyDescent="0.25">
      <c r="L117"/>
      <c r="M117"/>
      <c r="N117"/>
    </row>
    <row r="118" spans="12:14" ht="13.8" x14ac:dyDescent="0.25">
      <c r="L118"/>
      <c r="M118"/>
      <c r="N118"/>
    </row>
    <row r="119" spans="12:14" ht="13.8" x14ac:dyDescent="0.25">
      <c r="L119"/>
      <c r="M119"/>
      <c r="N119"/>
    </row>
    <row r="120" spans="12:14" ht="13.8" x14ac:dyDescent="0.25">
      <c r="L120"/>
      <c r="M120"/>
      <c r="N120"/>
    </row>
    <row r="121" spans="12:14" ht="13.8" x14ac:dyDescent="0.25">
      <c r="L121"/>
      <c r="M121"/>
      <c r="N121"/>
    </row>
    <row r="122" spans="12:14" ht="13.8" x14ac:dyDescent="0.25">
      <c r="L122"/>
      <c r="M122"/>
      <c r="N122"/>
    </row>
    <row r="123" spans="12:14" ht="13.8" x14ac:dyDescent="0.25">
      <c r="L123"/>
      <c r="M123"/>
      <c r="N123"/>
    </row>
    <row r="124" spans="12:14" ht="13.8" x14ac:dyDescent="0.25">
      <c r="L124"/>
      <c r="M124"/>
      <c r="N124"/>
    </row>
    <row r="125" spans="12:14" ht="13.8" x14ac:dyDescent="0.25">
      <c r="L125"/>
      <c r="M125"/>
      <c r="N125"/>
    </row>
    <row r="126" spans="12:14" ht="13.8" x14ac:dyDescent="0.25">
      <c r="L126"/>
      <c r="M126"/>
      <c r="N126"/>
    </row>
    <row r="127" spans="12:14" ht="13.8" x14ac:dyDescent="0.25">
      <c r="L127"/>
      <c r="M127"/>
      <c r="N127"/>
    </row>
    <row r="128" spans="12:14" ht="13.8" x14ac:dyDescent="0.25">
      <c r="L128"/>
      <c r="M128"/>
      <c r="N128"/>
    </row>
    <row r="129" spans="12:14" ht="13.8" x14ac:dyDescent="0.25">
      <c r="L129"/>
      <c r="M129"/>
      <c r="N129"/>
    </row>
    <row r="130" spans="12:14" ht="13.8" x14ac:dyDescent="0.25">
      <c r="L130"/>
      <c r="M130"/>
      <c r="N130"/>
    </row>
    <row r="131" spans="12:14" ht="13.8" x14ac:dyDescent="0.25">
      <c r="L131"/>
      <c r="M131"/>
      <c r="N131"/>
    </row>
    <row r="132" spans="12:14" ht="13.8" x14ac:dyDescent="0.25">
      <c r="L132"/>
      <c r="M132"/>
      <c r="N132"/>
    </row>
    <row r="133" spans="12:14" ht="13.8" x14ac:dyDescent="0.25">
      <c r="L133"/>
      <c r="M133"/>
      <c r="N133"/>
    </row>
    <row r="134" spans="12:14" ht="13.8" x14ac:dyDescent="0.25">
      <c r="L134"/>
      <c r="M134"/>
      <c r="N134"/>
    </row>
    <row r="135" spans="12:14" ht="13.8" x14ac:dyDescent="0.25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7"/>
  <sheetViews>
    <sheetView showGridLines="0" zoomScale="80" zoomScaleNormal="80" workbookViewId="0">
      <pane xSplit="2" ySplit="3" topLeftCell="C241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8" sqref="AN268"/>
    </sheetView>
  </sheetViews>
  <sheetFormatPr defaultRowHeight="15" customHeight="1" outlineLevelCol="1" x14ac:dyDescent="0.25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 x14ac:dyDescent="0.25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 x14ac:dyDescent="0.25">
      <c r="C3" s="22" t="s">
        <v>151</v>
      </c>
      <c r="D3" s="22" t="s">
        <v>74</v>
      </c>
      <c r="E3" s="22" t="s">
        <v>179</v>
      </c>
      <c r="F3" s="22" t="s">
        <v>4320</v>
      </c>
      <c r="G3" s="22" t="s">
        <v>3370</v>
      </c>
      <c r="H3" s="22" t="s">
        <v>1648</v>
      </c>
      <c r="I3" s="22" t="s">
        <v>3234</v>
      </c>
      <c r="J3" s="22" t="s">
        <v>3297</v>
      </c>
      <c r="K3" s="22" t="s">
        <v>4253</v>
      </c>
      <c r="L3" s="22" t="s">
        <v>314</v>
      </c>
      <c r="M3" s="22" t="s">
        <v>1817</v>
      </c>
      <c r="N3" s="22" t="s">
        <v>3588</v>
      </c>
      <c r="O3" s="22" t="s">
        <v>3538</v>
      </c>
      <c r="P3" s="22" t="s">
        <v>1543</v>
      </c>
      <c r="Q3" s="22" t="s">
        <v>3296</v>
      </c>
      <c r="R3" s="22" t="s">
        <v>3216</v>
      </c>
      <c r="S3" s="22" t="s">
        <v>3875</v>
      </c>
      <c r="T3" s="22" t="s">
        <v>3771</v>
      </c>
      <c r="U3" s="22" t="s">
        <v>3876</v>
      </c>
      <c r="V3" s="22" t="s">
        <v>3822</v>
      </c>
      <c r="W3" s="22" t="s">
        <v>3172</v>
      </c>
      <c r="X3" s="22" t="s">
        <v>3617</v>
      </c>
      <c r="Y3" s="22" t="s">
        <v>3293</v>
      </c>
      <c r="Z3" s="22" t="s">
        <v>3151</v>
      </c>
      <c r="AA3" s="22" t="s">
        <v>150</v>
      </c>
      <c r="AB3" s="22" t="s">
        <v>294</v>
      </c>
      <c r="AC3" s="22" t="s">
        <v>3371</v>
      </c>
      <c r="AD3" s="22" t="s">
        <v>3231</v>
      </c>
      <c r="AE3" s="22" t="s">
        <v>1540</v>
      </c>
      <c r="AF3" s="22" t="s">
        <v>73</v>
      </c>
      <c r="AG3" s="22" t="s">
        <v>3347</v>
      </c>
      <c r="AH3" s="22" t="s">
        <v>293</v>
      </c>
      <c r="AI3" s="22" t="s">
        <v>2127</v>
      </c>
      <c r="AJ3" s="22" t="s">
        <v>2695</v>
      </c>
      <c r="AK3" s="22" t="s">
        <v>2853</v>
      </c>
      <c r="AL3" s="22" t="s">
        <v>351</v>
      </c>
      <c r="AM3" s="22" t="s">
        <v>14</v>
      </c>
      <c r="AN3" s="22" t="s">
        <v>3490</v>
      </c>
      <c r="AO3" s="22" t="s">
        <v>2</v>
      </c>
      <c r="AQ3" s="22" t="s">
        <v>151</v>
      </c>
      <c r="AR3" s="22" t="s">
        <v>179</v>
      </c>
      <c r="AS3" s="22" t="s">
        <v>3370</v>
      </c>
      <c r="AT3" s="22" t="s">
        <v>4320</v>
      </c>
      <c r="AU3" s="22" t="s">
        <v>3297</v>
      </c>
      <c r="AV3" s="22" t="s">
        <v>3822</v>
      </c>
      <c r="AW3" s="22" t="s">
        <v>3293</v>
      </c>
      <c r="AX3" s="22" t="s">
        <v>3234</v>
      </c>
      <c r="AY3" s="22" t="s">
        <v>1817</v>
      </c>
      <c r="AZ3" s="22" t="s">
        <v>3617</v>
      </c>
      <c r="BA3" s="22" t="s">
        <v>3771</v>
      </c>
      <c r="BB3" s="22" t="s">
        <v>3296</v>
      </c>
      <c r="BC3" s="22" t="s">
        <v>3216</v>
      </c>
      <c r="BD3" s="22" t="s">
        <v>3876</v>
      </c>
      <c r="BE3" s="22" t="s">
        <v>3172</v>
      </c>
      <c r="BF3" s="22" t="s">
        <v>150</v>
      </c>
      <c r="BG3" s="22" t="s">
        <v>3347</v>
      </c>
      <c r="BH3" s="22" t="s">
        <v>14</v>
      </c>
      <c r="BI3" s="22" t="s">
        <v>15</v>
      </c>
      <c r="BJ3" s="22" t="s">
        <v>1818</v>
      </c>
      <c r="BL3" s="22" t="s">
        <v>151</v>
      </c>
      <c r="BM3" s="22" t="s">
        <v>74</v>
      </c>
      <c r="BN3" s="22" t="s">
        <v>179</v>
      </c>
      <c r="BO3" s="22" t="s">
        <v>3216</v>
      </c>
      <c r="BP3" s="22" t="s">
        <v>3822</v>
      </c>
      <c r="BQ3" s="22" t="s">
        <v>3293</v>
      </c>
      <c r="BR3" s="22" t="s">
        <v>3771</v>
      </c>
      <c r="BS3" s="22" t="s">
        <v>3617</v>
      </c>
      <c r="BT3" s="22" t="s">
        <v>3172</v>
      </c>
      <c r="BU3" s="22" t="s">
        <v>14</v>
      </c>
      <c r="BV3" s="22" t="s">
        <v>15</v>
      </c>
      <c r="BW3" s="22" t="s">
        <v>3512</v>
      </c>
    </row>
    <row r="4" spans="2:75" ht="15" customHeight="1" x14ac:dyDescent="0.25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 x14ac:dyDescent="0.25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 x14ac:dyDescent="0.25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 x14ac:dyDescent="0.25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 x14ac:dyDescent="0.25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 x14ac:dyDescent="0.25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 x14ac:dyDescent="0.25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 x14ac:dyDescent="0.25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 x14ac:dyDescent="0.25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 x14ac:dyDescent="0.25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 x14ac:dyDescent="0.25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 x14ac:dyDescent="0.25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 x14ac:dyDescent="0.25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 x14ac:dyDescent="0.25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 x14ac:dyDescent="0.25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 x14ac:dyDescent="0.25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 x14ac:dyDescent="0.25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 x14ac:dyDescent="0.25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 x14ac:dyDescent="0.25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 x14ac:dyDescent="0.25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 x14ac:dyDescent="0.25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 x14ac:dyDescent="0.25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 x14ac:dyDescent="0.25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 x14ac:dyDescent="0.25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 x14ac:dyDescent="0.25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 x14ac:dyDescent="0.25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 x14ac:dyDescent="0.25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 x14ac:dyDescent="0.25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 x14ac:dyDescent="0.25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 x14ac:dyDescent="0.25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 x14ac:dyDescent="0.25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 x14ac:dyDescent="0.25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 x14ac:dyDescent="0.25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 x14ac:dyDescent="0.25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 x14ac:dyDescent="0.25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 x14ac:dyDescent="0.25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 x14ac:dyDescent="0.25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 x14ac:dyDescent="0.25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 x14ac:dyDescent="0.25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 x14ac:dyDescent="0.25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 x14ac:dyDescent="0.25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 x14ac:dyDescent="0.25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 x14ac:dyDescent="0.25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 x14ac:dyDescent="0.25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 x14ac:dyDescent="0.25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 x14ac:dyDescent="0.25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 x14ac:dyDescent="0.25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 x14ac:dyDescent="0.25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 x14ac:dyDescent="0.25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 x14ac:dyDescent="0.25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 x14ac:dyDescent="0.25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 x14ac:dyDescent="0.25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 x14ac:dyDescent="0.25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 x14ac:dyDescent="0.25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 x14ac:dyDescent="0.25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 x14ac:dyDescent="0.25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 x14ac:dyDescent="0.25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 x14ac:dyDescent="0.25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 x14ac:dyDescent="0.25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 x14ac:dyDescent="0.25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 x14ac:dyDescent="0.25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 x14ac:dyDescent="0.25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 x14ac:dyDescent="0.25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 x14ac:dyDescent="0.25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 x14ac:dyDescent="0.25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 x14ac:dyDescent="0.25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 x14ac:dyDescent="0.25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 x14ac:dyDescent="0.25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 x14ac:dyDescent="0.25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 x14ac:dyDescent="0.25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 x14ac:dyDescent="0.25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 x14ac:dyDescent="0.25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 x14ac:dyDescent="0.25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 x14ac:dyDescent="0.25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 x14ac:dyDescent="0.25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 x14ac:dyDescent="0.25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 x14ac:dyDescent="0.25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 x14ac:dyDescent="0.25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 x14ac:dyDescent="0.25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 x14ac:dyDescent="0.25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 x14ac:dyDescent="0.25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 x14ac:dyDescent="0.25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 x14ac:dyDescent="0.25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 x14ac:dyDescent="0.25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 x14ac:dyDescent="0.25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 x14ac:dyDescent="0.25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 x14ac:dyDescent="0.25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 x14ac:dyDescent="0.25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 x14ac:dyDescent="0.25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 x14ac:dyDescent="0.25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 x14ac:dyDescent="0.25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 x14ac:dyDescent="0.25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 x14ac:dyDescent="0.25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 x14ac:dyDescent="0.25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 x14ac:dyDescent="0.25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 x14ac:dyDescent="0.25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 x14ac:dyDescent="0.25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 x14ac:dyDescent="0.25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 x14ac:dyDescent="0.25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 x14ac:dyDescent="0.25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 x14ac:dyDescent="0.25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 x14ac:dyDescent="0.25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 x14ac:dyDescent="0.25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 x14ac:dyDescent="0.25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 x14ac:dyDescent="0.25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 x14ac:dyDescent="0.25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 x14ac:dyDescent="0.25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 x14ac:dyDescent="0.25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 x14ac:dyDescent="0.25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 x14ac:dyDescent="0.25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 x14ac:dyDescent="0.25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 x14ac:dyDescent="0.25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 x14ac:dyDescent="0.25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 x14ac:dyDescent="0.25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 x14ac:dyDescent="0.25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 x14ac:dyDescent="0.25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 x14ac:dyDescent="0.25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 x14ac:dyDescent="0.25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 x14ac:dyDescent="0.25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 x14ac:dyDescent="0.25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 x14ac:dyDescent="0.25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 x14ac:dyDescent="0.25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 x14ac:dyDescent="0.25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 x14ac:dyDescent="0.25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 x14ac:dyDescent="0.25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 x14ac:dyDescent="0.25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 x14ac:dyDescent="0.25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 x14ac:dyDescent="0.25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 x14ac:dyDescent="0.25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 x14ac:dyDescent="0.25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 x14ac:dyDescent="0.25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 x14ac:dyDescent="0.25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 x14ac:dyDescent="0.25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 x14ac:dyDescent="0.25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 x14ac:dyDescent="0.25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 x14ac:dyDescent="0.25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 x14ac:dyDescent="0.25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 x14ac:dyDescent="0.25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 x14ac:dyDescent="0.25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 x14ac:dyDescent="0.25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 x14ac:dyDescent="0.25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 x14ac:dyDescent="0.25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 x14ac:dyDescent="0.25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 x14ac:dyDescent="0.25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 x14ac:dyDescent="0.25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 x14ac:dyDescent="0.25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 x14ac:dyDescent="0.25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 x14ac:dyDescent="0.25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 x14ac:dyDescent="0.25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 x14ac:dyDescent="0.25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 x14ac:dyDescent="0.25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 x14ac:dyDescent="0.25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 x14ac:dyDescent="0.25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 x14ac:dyDescent="0.25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 x14ac:dyDescent="0.25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 x14ac:dyDescent="0.25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 x14ac:dyDescent="0.25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 x14ac:dyDescent="0.25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 x14ac:dyDescent="0.25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 x14ac:dyDescent="0.25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 x14ac:dyDescent="0.25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 x14ac:dyDescent="0.25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 x14ac:dyDescent="0.25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 x14ac:dyDescent="0.25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 x14ac:dyDescent="0.25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 x14ac:dyDescent="0.25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 x14ac:dyDescent="0.25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 x14ac:dyDescent="0.25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 x14ac:dyDescent="0.25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 x14ac:dyDescent="0.25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 x14ac:dyDescent="0.25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 x14ac:dyDescent="0.25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 x14ac:dyDescent="0.25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 x14ac:dyDescent="0.25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 x14ac:dyDescent="0.25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 x14ac:dyDescent="0.25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 x14ac:dyDescent="0.25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 x14ac:dyDescent="0.25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 x14ac:dyDescent="0.25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 x14ac:dyDescent="0.25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 x14ac:dyDescent="0.25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 x14ac:dyDescent="0.25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 x14ac:dyDescent="0.25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 x14ac:dyDescent="0.25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 x14ac:dyDescent="0.25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 x14ac:dyDescent="0.25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 x14ac:dyDescent="0.25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 x14ac:dyDescent="0.25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 x14ac:dyDescent="0.25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 x14ac:dyDescent="0.25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 x14ac:dyDescent="0.25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 x14ac:dyDescent="0.25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 x14ac:dyDescent="0.25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 x14ac:dyDescent="0.25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 x14ac:dyDescent="0.25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 x14ac:dyDescent="0.25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 x14ac:dyDescent="0.25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 x14ac:dyDescent="0.25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 x14ac:dyDescent="0.25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 x14ac:dyDescent="0.25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 x14ac:dyDescent="0.25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 x14ac:dyDescent="0.25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 x14ac:dyDescent="0.25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 x14ac:dyDescent="0.25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 x14ac:dyDescent="0.25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 x14ac:dyDescent="0.25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 x14ac:dyDescent="0.25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 x14ac:dyDescent="0.25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 x14ac:dyDescent="0.25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 x14ac:dyDescent="0.25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 x14ac:dyDescent="0.25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 x14ac:dyDescent="0.25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 x14ac:dyDescent="0.25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 x14ac:dyDescent="0.25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 x14ac:dyDescent="0.25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 x14ac:dyDescent="0.25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 x14ac:dyDescent="0.25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 x14ac:dyDescent="0.25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 x14ac:dyDescent="0.25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 x14ac:dyDescent="0.25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 x14ac:dyDescent="0.25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 x14ac:dyDescent="0.25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 x14ac:dyDescent="0.25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 x14ac:dyDescent="0.25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 x14ac:dyDescent="0.25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 x14ac:dyDescent="0.25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 x14ac:dyDescent="0.25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 x14ac:dyDescent="0.25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 x14ac:dyDescent="0.25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 x14ac:dyDescent="0.25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 x14ac:dyDescent="0.25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 x14ac:dyDescent="0.25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 x14ac:dyDescent="0.25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 x14ac:dyDescent="0.25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 x14ac:dyDescent="0.25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 x14ac:dyDescent="0.25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 x14ac:dyDescent="0.25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 x14ac:dyDescent="0.25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 x14ac:dyDescent="0.25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 x14ac:dyDescent="0.25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 x14ac:dyDescent="0.25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 x14ac:dyDescent="0.25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 x14ac:dyDescent="0.25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 x14ac:dyDescent="0.25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 x14ac:dyDescent="0.25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 x14ac:dyDescent="0.25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 x14ac:dyDescent="0.25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 x14ac:dyDescent="0.25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 x14ac:dyDescent="0.25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 x14ac:dyDescent="0.25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 x14ac:dyDescent="0.25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 x14ac:dyDescent="0.25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 x14ac:dyDescent="0.25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 x14ac:dyDescent="0.25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 x14ac:dyDescent="0.25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 x14ac:dyDescent="0.25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 x14ac:dyDescent="0.25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 t="shared" ref="BW260:BW265" si="196">SUM(BL260:BV260)</f>
        <v>743.96</v>
      </c>
    </row>
    <row r="261" spans="2:75" ht="15" customHeight="1" x14ac:dyDescent="0.25">
      <c r="B261" s="33">
        <v>46251</v>
      </c>
      <c r="C261" s="2">
        <f t="shared" ref="C261" si="197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8">SUM(C261:AN261)</f>
        <v>4117.522449999994</v>
      </c>
      <c r="AQ261" s="2">
        <f t="shared" ref="AQ261" si="199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200">SUM(AQ261:BI261)</f>
        <v>1.5695092486566892E-3</v>
      </c>
      <c r="BL261" s="2">
        <f t="shared" ref="BL261" si="201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 t="shared" si="196"/>
        <v>743.96</v>
      </c>
    </row>
    <row r="262" spans="2:75" ht="15" customHeight="1" x14ac:dyDescent="0.25">
      <c r="B262" s="33">
        <v>46252</v>
      </c>
      <c r="C262" s="2">
        <f t="shared" ref="C262" si="202">AO261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6">
        <f t="shared" ref="AO262" si="203">SUM(C262:AN262)</f>
        <v>4143.6855499999938</v>
      </c>
      <c r="AQ262" s="2">
        <f t="shared" ref="AQ262" si="204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6">
        <f t="shared" ref="BJ262" si="205">SUM(AQ262:BI262)</f>
        <v>1.5695092486566892E-3</v>
      </c>
      <c r="BL262" s="2">
        <f t="shared" ref="BL262" si="206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6">
        <f t="shared" si="196"/>
        <v>743.96</v>
      </c>
    </row>
    <row r="263" spans="2:75" ht="15" customHeight="1" x14ac:dyDescent="0.25">
      <c r="B263" s="33">
        <v>46253</v>
      </c>
      <c r="C263" s="2">
        <f t="shared" ref="C263" si="207">AO262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v>0</v>
      </c>
      <c r="AN263" s="2">
        <v>0</v>
      </c>
      <c r="AO263" s="436">
        <f t="shared" ref="AO263" si="208">SUM(C263:AN263)</f>
        <v>4184.3755499999943</v>
      </c>
      <c r="AQ263" s="2">
        <f t="shared" ref="AQ263" si="209">BJ262</f>
        <v>1.5695092486566892E-3</v>
      </c>
      <c r="AR263" s="2">
        <f>SUMIFS(base[L/P Líquido],base[Data],Extrato!$B263,base[Método],Extrato!AR$3,base[Exchange],"Betbra")</f>
        <v>0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SUMIF(BetFlow!B:B,Extrato!B263,BetFlow!M:M)</f>
        <v>0</v>
      </c>
      <c r="AZ263" s="2">
        <f>SUMIFS(base[L/P Líquido],base[Data],Extrato!$B263,base[Método],Extrato!AZ$3,base[Exchange],"Betbra")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v>0</v>
      </c>
      <c r="BI263" s="2">
        <v>0</v>
      </c>
      <c r="BJ263" s="436">
        <f t="shared" ref="BJ263" si="210">SUM(AQ263:BI263)</f>
        <v>1.5695092486566892E-3</v>
      </c>
      <c r="BL263" s="2">
        <f t="shared" ref="BL263" si="211">BW262</f>
        <v>743.96</v>
      </c>
      <c r="BM263" s="2">
        <f>SUMIFS(base[L/P Líquido],base[Data],Extrato!$B263,base[Método],Extrato!BM$3,base[Exchange],"Bolsa")</f>
        <v>0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v>0</v>
      </c>
      <c r="BV263" s="2">
        <v>0</v>
      </c>
      <c r="BW263" s="436">
        <f t="shared" si="196"/>
        <v>743.96</v>
      </c>
    </row>
    <row r="264" spans="2:75" ht="15" customHeight="1" x14ac:dyDescent="0.25">
      <c r="B264" s="33">
        <v>46254</v>
      </c>
      <c r="C264" s="2">
        <f t="shared" ref="C264" si="212">AO263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v>0</v>
      </c>
      <c r="AN264" s="2">
        <v>0</v>
      </c>
      <c r="AO264" s="436">
        <f t="shared" ref="AO264" si="213">SUM(C264:AN264)</f>
        <v>4275.0755499999941</v>
      </c>
      <c r="AQ264" s="2">
        <f t="shared" ref="AQ264" si="214">BJ263</f>
        <v>1.5695092486566892E-3</v>
      </c>
      <c r="AR264" s="2">
        <f>SUMIFS(base[L/P Líquido],base[Data],Extrato!$B264,base[Método],Extrato!AR$3,base[Exchange],"Betbra")</f>
        <v>0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SUMIF(BetFlow!B:B,Extrato!B264,BetFlow!M:M)</f>
        <v>0</v>
      </c>
      <c r="AZ264" s="2">
        <f>SUMIFS(base[L/P Líquido],base[Data],Extrato!$B264,base[Método],Extrato!AZ$3,base[Exchange],"Betbra")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v>0</v>
      </c>
      <c r="BI264" s="2">
        <v>0</v>
      </c>
      <c r="BJ264" s="436">
        <f t="shared" ref="BJ264" si="215">SUM(AQ264:BI264)</f>
        <v>1.5695092486566892E-3</v>
      </c>
      <c r="BL264" s="2">
        <f t="shared" ref="BL264" si="216">BW263</f>
        <v>743.96</v>
      </c>
      <c r="BM264" s="2">
        <f>SUMIFS(base[L/P Líquido],base[Data],Extrato!$B264,base[Método],Extrato!BM$3,base[Exchange],"Bolsa")</f>
        <v>0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v>0</v>
      </c>
      <c r="BV264" s="2">
        <v>0</v>
      </c>
      <c r="BW264" s="436">
        <f t="shared" si="196"/>
        <v>743.96</v>
      </c>
    </row>
    <row r="265" spans="2:75" ht="15" customHeight="1" x14ac:dyDescent="0.25">
      <c r="B265" s="33">
        <v>46255</v>
      </c>
      <c r="C265" s="2">
        <f t="shared" ref="C265" si="217">AO264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v>0</v>
      </c>
      <c r="AN265" s="2">
        <v>0</v>
      </c>
      <c r="AO265" s="436">
        <f t="shared" ref="AO265" si="218">SUM(C265:AN265)</f>
        <v>4337.409149999995</v>
      </c>
      <c r="AQ265" s="2">
        <f t="shared" ref="AQ265" si="219">BJ264</f>
        <v>1.5695092486566892E-3</v>
      </c>
      <c r="AR265" s="2">
        <f>SUMIFS(base[L/P Líquido],base[Data],Extrato!$B265,base[Método],Extrato!AR$3,base[Exchange],"Betbra")</f>
        <v>0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SUMIF(BetFlow!B:B,Extrato!B265,BetFlow!M:M)</f>
        <v>0</v>
      </c>
      <c r="AZ265" s="2">
        <f>SUMIFS(base[L/P Líquido],base[Data],Extrato!$B265,base[Método],Extrato!AZ$3,base[Exchange],"Betbra")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v>0</v>
      </c>
      <c r="BI265" s="2">
        <v>0</v>
      </c>
      <c r="BJ265" s="436">
        <f t="shared" ref="BJ265" si="220">SUM(AQ265:BI265)</f>
        <v>1.5695092486566892E-3</v>
      </c>
      <c r="BL265" s="2">
        <f t="shared" ref="BL265" si="221">BW264</f>
        <v>743.96</v>
      </c>
      <c r="BM265" s="2">
        <f>SUMIFS(base[L/P Líquido],base[Data],Extrato!$B265,base[Método],Extrato!BM$3,base[Exchange],"Bolsa")</f>
        <v>0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v>0</v>
      </c>
      <c r="BV265" s="2">
        <v>0</v>
      </c>
      <c r="BW265" s="436">
        <f t="shared" si="196"/>
        <v>743.96</v>
      </c>
    </row>
    <row r="266" spans="2:75" ht="15" customHeight="1" x14ac:dyDescent="0.25">
      <c r="B266" s="33">
        <v>46256</v>
      </c>
      <c r="C266" s="2">
        <f t="shared" ref="C266" si="222">AO265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Líquido],base[Data],Extrato!$B266,base[Método],Extrato!Z$3)</f>
        <v>0</v>
      </c>
      <c r="AA266" s="2">
        <f>SUMIFS(base[L/P Líquido],base[Data],Extrato!$B266,base[Método],Extrato!AA$3,base[Exchange],"Fulltbet")</f>
        <v>20.65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v>0</v>
      </c>
      <c r="AN266" s="2">
        <v>-0.03</v>
      </c>
      <c r="AO266" s="436">
        <f t="shared" ref="AO266" si="223">SUM(C266:AN266)</f>
        <v>3883.639149999995</v>
      </c>
      <c r="AQ266" s="2">
        <f t="shared" ref="AQ266" si="224">BJ265</f>
        <v>1.5695092486566892E-3</v>
      </c>
      <c r="AR266" s="2">
        <f>SUMIFS(base[L/P Líquido],base[Data],Extrato!$B266,base[Método],Extrato!AR$3,base[Exchange],"Betbra")</f>
        <v>0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SUMIF(BetFlow!B:B,Extrato!B266,BetFlow!M:M)</f>
        <v>0</v>
      </c>
      <c r="AZ266" s="2">
        <f>SUMIFS(base[L/P Líquido],base[Data],Extrato!$B266,base[Método],Extrato!AZ$3,base[Exchange],"Betbra")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v>0</v>
      </c>
      <c r="BI266" s="2">
        <v>0</v>
      </c>
      <c r="BJ266" s="436">
        <f t="shared" ref="BJ266" si="225">SUM(AQ266:BI266)</f>
        <v>1.5695092486566892E-3</v>
      </c>
      <c r="BL266" s="2">
        <f t="shared" ref="BL266" si="226">BW265</f>
        <v>743.96</v>
      </c>
      <c r="BM266" s="2">
        <f>SUMIFS(base[L/P Líquido],base[Data],Extrato!$B266,base[Método],Extrato!BM$3,base[Exchange],"Bolsa")</f>
        <v>0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v>0</v>
      </c>
      <c r="BV266" s="2">
        <v>0</v>
      </c>
      <c r="BW266" s="436">
        <f t="shared" ref="BW266" si="227">SUM(BL266:BV266)</f>
        <v>743.96</v>
      </c>
    </row>
    <row r="267" spans="2:75" ht="15" customHeight="1" x14ac:dyDescent="0.25">
      <c r="B267" s="33">
        <v>46257</v>
      </c>
      <c r="C267" s="2">
        <f t="shared" ref="C267" si="228">AO266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Líquido],base[Data],Extrato!$B267,base[Método],Extrato!Z$3)</f>
        <v>0</v>
      </c>
      <c r="AA267" s="2">
        <f>SUMIFS(base[L/P Líquido],base[Data],Extrato!$B267,base[Método],Extrato!AA$3,base[Exchange],"Fulltbet")</f>
        <v>57.160150000000002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v>0</v>
      </c>
      <c r="AN267" s="2">
        <v>-0.03</v>
      </c>
      <c r="AO267" s="436">
        <f t="shared" ref="AO267" si="229">SUM(C267:AN267)</f>
        <v>4341.7948999999953</v>
      </c>
      <c r="AQ267" s="2">
        <f t="shared" ref="AQ267" si="230">BJ266</f>
        <v>1.5695092486566892E-3</v>
      </c>
      <c r="AR267" s="2">
        <f>SUMIFS(base[L/P Líquido],base[Data],Extrato!$B267,base[Método],Extrato!AR$3,base[Exchange],"Betbra")</f>
        <v>0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SUMIF(BetFlow!B:B,Extrato!B267,BetFlow!M:M)</f>
        <v>0</v>
      </c>
      <c r="AZ267" s="2">
        <f>SUMIFS(base[L/P Líquido],base[Data],Extrato!$B267,base[Método],Extrato!AZ$3,base[Exchange],"Betbra")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v>0</v>
      </c>
      <c r="BI267" s="2">
        <v>0</v>
      </c>
      <c r="BJ267" s="436">
        <f t="shared" ref="BJ267" si="231">SUM(AQ267:BI267)</f>
        <v>1.5695092486566892E-3</v>
      </c>
      <c r="BL267" s="2">
        <f t="shared" ref="BL267" si="232">BW266</f>
        <v>743.96</v>
      </c>
      <c r="BM267" s="2">
        <f>SUMIFS(base[L/P Líquido],base[Data],Extrato!$B267,base[Método],Extrato!BM$3,base[Exchange],"Bolsa")</f>
        <v>0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v>0</v>
      </c>
      <c r="BV267" s="2">
        <v>0</v>
      </c>
      <c r="BW267" s="436">
        <f t="shared" ref="BW267" si="233">SUM(BL267:BV267)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1" sqref="F11"/>
    </sheetView>
  </sheetViews>
  <sheetFormatPr defaultRowHeight="15" customHeight="1" x14ac:dyDescent="0.25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 x14ac:dyDescent="0.25">
      <c r="B2" s="1379" t="s">
        <v>266</v>
      </c>
      <c r="C2" s="1380" t="s">
        <v>385</v>
      </c>
      <c r="E2" s="1379" t="s">
        <v>266</v>
      </c>
      <c r="F2" s="1380" t="s">
        <v>385</v>
      </c>
      <c r="G2" s="642"/>
      <c r="H2" s="1379" t="s">
        <v>266</v>
      </c>
      <c r="I2" s="1380" t="s">
        <v>385</v>
      </c>
      <c r="J2" s="642"/>
      <c r="K2" s="1379" t="s">
        <v>266</v>
      </c>
      <c r="L2" s="1380" t="s">
        <v>385</v>
      </c>
      <c r="M2" s="642"/>
      <c r="N2" s="1379" t="s">
        <v>266</v>
      </c>
      <c r="O2" s="1380" t="s">
        <v>385</v>
      </c>
      <c r="P2" s="642"/>
      <c r="Q2" s="1379" t="s">
        <v>464</v>
      </c>
      <c r="R2" s="1380" t="s">
        <v>463</v>
      </c>
      <c r="S2" s="1380" t="s">
        <v>156</v>
      </c>
      <c r="T2" s="1380" t="s">
        <v>255</v>
      </c>
      <c r="U2" s="642"/>
      <c r="V2" s="1379" t="s">
        <v>266</v>
      </c>
      <c r="W2" s="1380" t="s">
        <v>385</v>
      </c>
    </row>
    <row r="3" spans="2:23" ht="13.2" x14ac:dyDescent="0.25">
      <c r="B3" s="1381" t="s">
        <v>3234</v>
      </c>
      <c r="C3" s="1382">
        <v>542.94060000000002</v>
      </c>
      <c r="E3" s="1384">
        <v>46204</v>
      </c>
      <c r="F3" s="1382">
        <v>8.9599999999999973</v>
      </c>
      <c r="G3" s="642"/>
      <c r="H3" s="1381" t="s">
        <v>3618</v>
      </c>
      <c r="I3" s="1382">
        <v>540.82715000000121</v>
      </c>
      <c r="J3" s="642"/>
      <c r="K3" s="1381" t="s">
        <v>3618</v>
      </c>
      <c r="L3" s="1382">
        <v>540.82715000000121</v>
      </c>
      <c r="M3" s="642"/>
      <c r="N3" s="1381" t="s">
        <v>3618</v>
      </c>
      <c r="O3" s="1382">
        <v>540.82715000000121</v>
      </c>
      <c r="P3" s="642"/>
      <c r="Q3" s="1381" t="s">
        <v>74</v>
      </c>
      <c r="R3" s="1382">
        <v>401.42245000000008</v>
      </c>
      <c r="S3" s="1385">
        <v>1</v>
      </c>
      <c r="T3" s="1382">
        <v>17.033333333333335</v>
      </c>
      <c r="U3" s="642"/>
      <c r="V3" s="1381" t="s">
        <v>626</v>
      </c>
      <c r="W3" s="1382">
        <v>966.17275000000018</v>
      </c>
    </row>
    <row r="4" spans="2:23" ht="13.2" x14ac:dyDescent="0.25">
      <c r="B4" s="1381" t="s">
        <v>3297</v>
      </c>
      <c r="C4" s="1382">
        <v>540.80250000000012</v>
      </c>
      <c r="E4" s="1384">
        <v>46205</v>
      </c>
      <c r="F4" s="1382">
        <v>151.97</v>
      </c>
      <c r="G4" s="642"/>
      <c r="H4" s="1381" t="s">
        <v>267</v>
      </c>
      <c r="I4" s="1382">
        <v>540.82715000000121</v>
      </c>
      <c r="J4" s="642"/>
      <c r="K4" s="1381" t="s">
        <v>267</v>
      </c>
      <c r="L4" s="1382">
        <v>540.82715000000121</v>
      </c>
      <c r="M4" s="642"/>
      <c r="N4" s="1383" t="s">
        <v>3745</v>
      </c>
      <c r="O4" s="1382">
        <v>-445.83000000000004</v>
      </c>
      <c r="P4" s="642"/>
      <c r="Q4" s="1383" t="s">
        <v>692</v>
      </c>
      <c r="R4" s="1382">
        <v>302.65244999999999</v>
      </c>
      <c r="S4" s="1385">
        <v>1</v>
      </c>
      <c r="T4" s="1382">
        <v>14.8</v>
      </c>
      <c r="U4" s="642"/>
      <c r="V4" s="1381" t="s">
        <v>3217</v>
      </c>
      <c r="W4" s="1382">
        <v>489.20999999999941</v>
      </c>
    </row>
    <row r="5" spans="2:23" ht="13.8" x14ac:dyDescent="0.25">
      <c r="B5" s="1381" t="s">
        <v>74</v>
      </c>
      <c r="C5" s="1382">
        <v>401.42245000000008</v>
      </c>
      <c r="E5" s="1384">
        <v>46206</v>
      </c>
      <c r="F5" s="1382">
        <v>359.24</v>
      </c>
      <c r="G5" s="642"/>
      <c r="H5"/>
      <c r="I5"/>
      <c r="J5" s="642"/>
      <c r="K5"/>
      <c r="L5"/>
      <c r="M5" s="642"/>
      <c r="N5" s="1383" t="s">
        <v>75</v>
      </c>
      <c r="O5" s="1382">
        <v>-76.100000000000009</v>
      </c>
      <c r="P5" s="642"/>
      <c r="Q5" s="1383" t="s">
        <v>626</v>
      </c>
      <c r="R5" s="1382">
        <v>17.36</v>
      </c>
      <c r="S5" s="1385">
        <v>1</v>
      </c>
      <c r="T5" s="1382">
        <v>23</v>
      </c>
      <c r="U5" s="642"/>
      <c r="V5" s="1381" t="s">
        <v>693</v>
      </c>
      <c r="W5" s="1382">
        <v>344.90035</v>
      </c>
    </row>
    <row r="6" spans="2:23" ht="13.8" x14ac:dyDescent="0.25">
      <c r="B6" s="1381" t="s">
        <v>3370</v>
      </c>
      <c r="C6" s="1382">
        <v>371.12999999999994</v>
      </c>
      <c r="E6" s="1384">
        <v>46207</v>
      </c>
      <c r="F6" s="1382">
        <v>811.24</v>
      </c>
      <c r="G6" s="642"/>
      <c r="H6"/>
      <c r="I6"/>
      <c r="J6" s="642"/>
      <c r="K6"/>
      <c r="L6"/>
      <c r="M6" s="642"/>
      <c r="N6" s="1383" t="s">
        <v>13</v>
      </c>
      <c r="O6" s="1382">
        <v>82.90000000000002</v>
      </c>
      <c r="P6" s="642"/>
      <c r="Q6" s="1383" t="s">
        <v>693</v>
      </c>
      <c r="R6" s="1382">
        <v>81.41</v>
      </c>
      <c r="S6" s="1385">
        <v>1</v>
      </c>
      <c r="T6" s="1382">
        <v>21.125</v>
      </c>
      <c r="U6" s="642"/>
      <c r="V6" s="1381" t="s">
        <v>692</v>
      </c>
      <c r="W6" s="1382">
        <v>302.65244999999999</v>
      </c>
    </row>
    <row r="7" spans="2:23" ht="13.8" x14ac:dyDescent="0.25">
      <c r="B7" s="1381" t="s">
        <v>3293</v>
      </c>
      <c r="C7" s="1382">
        <v>358.90999999999985</v>
      </c>
      <c r="E7" s="1384">
        <v>46208</v>
      </c>
      <c r="F7" s="1382">
        <v>447.78620000000001</v>
      </c>
      <c r="G7" s="642"/>
      <c r="H7"/>
      <c r="I7"/>
      <c r="J7" s="642"/>
      <c r="K7"/>
      <c r="L7"/>
      <c r="M7" s="642"/>
      <c r="N7" s="1383" t="s">
        <v>692</v>
      </c>
      <c r="O7" s="1382">
        <v>302.65244999999999</v>
      </c>
      <c r="P7" s="642"/>
      <c r="Q7" s="1381" t="s">
        <v>179</v>
      </c>
      <c r="R7" s="1382">
        <v>-843.23</v>
      </c>
      <c r="S7" s="1385">
        <v>0.33333333333333331</v>
      </c>
      <c r="T7" s="1382">
        <v>5.5601027241598731</v>
      </c>
      <c r="U7" s="642"/>
      <c r="V7" s="1381" t="s">
        <v>4308</v>
      </c>
      <c r="W7" s="1382">
        <v>288.30999999999995</v>
      </c>
    </row>
    <row r="8" spans="2:23" ht="13.8" x14ac:dyDescent="0.25">
      <c r="B8" s="1381" t="s">
        <v>3822</v>
      </c>
      <c r="C8" s="1382">
        <v>133.67000000000002</v>
      </c>
      <c r="E8" s="1384">
        <v>46209</v>
      </c>
      <c r="F8" s="1382">
        <v>530.38620000000003</v>
      </c>
      <c r="G8" s="642"/>
      <c r="H8"/>
      <c r="I8"/>
      <c r="J8" s="642"/>
      <c r="K8"/>
      <c r="L8"/>
      <c r="M8" s="642"/>
      <c r="N8" s="1383" t="s">
        <v>626</v>
      </c>
      <c r="O8" s="1382">
        <v>966.17275000000018</v>
      </c>
      <c r="P8" s="642"/>
      <c r="Q8" s="1383" t="s">
        <v>3353</v>
      </c>
      <c r="R8" s="1382">
        <v>-533.34</v>
      </c>
      <c r="S8" s="1385">
        <v>0</v>
      </c>
      <c r="T8" s="1382">
        <v>5.3</v>
      </c>
      <c r="U8" s="642"/>
      <c r="V8" s="1381" t="s">
        <v>1739</v>
      </c>
      <c r="W8" s="1382">
        <v>88.024000000000015</v>
      </c>
    </row>
    <row r="9" spans="2:23" ht="13.8" x14ac:dyDescent="0.25">
      <c r="B9" s="1381" t="s">
        <v>3296</v>
      </c>
      <c r="C9" s="1382">
        <v>76.600000000000009</v>
      </c>
      <c r="E9" s="1384">
        <v>46210</v>
      </c>
      <c r="F9" s="1382">
        <v>581.73620000000005</v>
      </c>
      <c r="G9" s="642"/>
      <c r="H9"/>
      <c r="I9"/>
      <c r="J9" s="642"/>
      <c r="K9"/>
      <c r="L9"/>
      <c r="M9" s="642"/>
      <c r="N9" s="1383" t="s">
        <v>3350</v>
      </c>
      <c r="O9" s="1382">
        <v>-6.2999999999999829</v>
      </c>
      <c r="P9" s="642"/>
      <c r="Q9" s="1383" t="s">
        <v>391</v>
      </c>
      <c r="R9" s="1382">
        <v>-309.89</v>
      </c>
      <c r="S9" s="1385">
        <v>0.5</v>
      </c>
      <c r="T9" s="1382">
        <v>5.6901540862398114</v>
      </c>
      <c r="U9" s="642"/>
      <c r="V9" s="1381" t="s">
        <v>13</v>
      </c>
      <c r="W9" s="1382">
        <v>82.90000000000002</v>
      </c>
    </row>
    <row r="10" spans="2:23" ht="13.8" x14ac:dyDescent="0.25">
      <c r="B10" s="1381" t="s">
        <v>314</v>
      </c>
      <c r="C10" s="1382">
        <v>59.400000000000006</v>
      </c>
      <c r="E10" s="1384">
        <v>46211</v>
      </c>
      <c r="F10" s="1382">
        <v>427.96620000000007</v>
      </c>
      <c r="G10" s="642"/>
      <c r="H10"/>
      <c r="I10"/>
      <c r="J10" s="642"/>
      <c r="K10"/>
      <c r="L10"/>
      <c r="M10" s="642"/>
      <c r="N10" s="1383" t="s">
        <v>693</v>
      </c>
      <c r="O10" s="1382">
        <v>344.90035</v>
      </c>
      <c r="P10" s="642"/>
      <c r="Q10" s="1381" t="s">
        <v>314</v>
      </c>
      <c r="R10" s="1382">
        <v>59.400000000000006</v>
      </c>
      <c r="S10" s="1385">
        <v>0.5714285714285714</v>
      </c>
      <c r="T10" s="1382">
        <v>1.8485714285714285</v>
      </c>
      <c r="U10" s="642"/>
      <c r="V10" s="1381" t="s">
        <v>349</v>
      </c>
      <c r="W10" s="1382">
        <v>59.400000000000006</v>
      </c>
    </row>
    <row r="11" spans="2:23" ht="13.8" x14ac:dyDescent="0.25">
      <c r="B11" s="1381" t="s">
        <v>3617</v>
      </c>
      <c r="C11" s="1382">
        <v>6.3999999999999844</v>
      </c>
      <c r="E11" s="1384">
        <v>46212</v>
      </c>
      <c r="F11" s="1382">
        <v>536.34620000000007</v>
      </c>
      <c r="G11" s="642"/>
      <c r="H11"/>
      <c r="I11"/>
      <c r="J11" s="642"/>
      <c r="K11"/>
      <c r="L11"/>
      <c r="M11" s="642"/>
      <c r="N11" s="1383" t="s">
        <v>3217</v>
      </c>
      <c r="O11" s="1382">
        <v>489.20999999999941</v>
      </c>
      <c r="P11" s="642"/>
      <c r="Q11" s="1383" t="s">
        <v>349</v>
      </c>
      <c r="R11" s="1382">
        <v>59.400000000000006</v>
      </c>
      <c r="S11" s="1385">
        <v>0.5714285714285714</v>
      </c>
      <c r="T11" s="1382">
        <v>1.8485714285714285</v>
      </c>
      <c r="U11" s="642"/>
      <c r="V11" s="1381" t="s">
        <v>3526</v>
      </c>
      <c r="W11" s="1382">
        <v>49.19</v>
      </c>
    </row>
    <row r="12" spans="2:23" ht="13.8" x14ac:dyDescent="0.25">
      <c r="B12" s="1381" t="s">
        <v>3588</v>
      </c>
      <c r="C12" s="1382">
        <v>3.5600000000000014</v>
      </c>
      <c r="E12" s="1384">
        <v>46213</v>
      </c>
      <c r="F12" s="1382">
        <v>622.38620000000003</v>
      </c>
      <c r="G12" s="642"/>
      <c r="H12"/>
      <c r="I12"/>
      <c r="J12" s="642"/>
      <c r="K12"/>
      <c r="L12"/>
      <c r="M12" s="642"/>
      <c r="N12" s="1383" t="s">
        <v>3173</v>
      </c>
      <c r="O12" s="1382">
        <v>-100</v>
      </c>
      <c r="P12" s="642"/>
      <c r="Q12" s="1381" t="s">
        <v>267</v>
      </c>
      <c r="R12" s="1382">
        <v>-382.40755000000001</v>
      </c>
      <c r="S12" s="1385">
        <v>0.75</v>
      </c>
      <c r="T12" s="1382">
        <v>10.778593440891402</v>
      </c>
      <c r="U12" s="642"/>
      <c r="V12" s="1381" t="s">
        <v>315</v>
      </c>
      <c r="W12" s="1382">
        <v>47.75</v>
      </c>
    </row>
    <row r="13" spans="2:23" ht="13.8" x14ac:dyDescent="0.25">
      <c r="B13" s="1381" t="s">
        <v>3771</v>
      </c>
      <c r="C13" s="1382">
        <v>-30.89</v>
      </c>
      <c r="E13" s="1384">
        <v>46214</v>
      </c>
      <c r="F13" s="1382">
        <v>686.93619999999999</v>
      </c>
      <c r="G13" s="642"/>
      <c r="H13" s="642"/>
      <c r="I13" s="642"/>
      <c r="J13" s="642"/>
      <c r="K13" s="642"/>
      <c r="L13" s="642"/>
      <c r="M13" s="642"/>
      <c r="N13" s="1383" t="s">
        <v>3174</v>
      </c>
      <c r="O13" s="1382">
        <v>-67.789999999999992</v>
      </c>
      <c r="P13" s="642"/>
      <c r="Q13"/>
      <c r="R13"/>
      <c r="S13"/>
      <c r="T13"/>
      <c r="U13" s="642"/>
      <c r="V13" s="1381" t="s">
        <v>1760</v>
      </c>
      <c r="W13" s="1382">
        <v>47.75</v>
      </c>
    </row>
    <row r="14" spans="2:23" ht="13.8" x14ac:dyDescent="0.25">
      <c r="B14" s="1381" t="s">
        <v>3371</v>
      </c>
      <c r="C14" s="1382">
        <v>-51.85</v>
      </c>
      <c r="E14" s="1384">
        <v>46215</v>
      </c>
      <c r="F14" s="1382">
        <v>1018.5762</v>
      </c>
      <c r="G14" s="642"/>
      <c r="H14" s="642"/>
      <c r="I14" s="642"/>
      <c r="J14" s="642"/>
      <c r="K14" s="642"/>
      <c r="L14" s="642"/>
      <c r="M14" s="642"/>
      <c r="N14" s="1383" t="s">
        <v>2277</v>
      </c>
      <c r="O14" s="1382">
        <v>43.545750000000005</v>
      </c>
      <c r="P14" s="642"/>
      <c r="Q14"/>
      <c r="R14"/>
      <c r="S14"/>
      <c r="T14"/>
      <c r="U14" s="642"/>
      <c r="V14" s="1381" t="s">
        <v>2277</v>
      </c>
      <c r="W14" s="1382">
        <v>43.545750000000005</v>
      </c>
    </row>
    <row r="15" spans="2:23" ht="13.8" x14ac:dyDescent="0.25">
      <c r="B15" s="1381" t="s">
        <v>1648</v>
      </c>
      <c r="C15" s="1382">
        <v>-113.37839999999994</v>
      </c>
      <c r="E15" s="1384">
        <v>46216</v>
      </c>
      <c r="F15" s="1382">
        <v>1074.9061999999999</v>
      </c>
      <c r="G15" s="642"/>
      <c r="H15" s="642"/>
      <c r="I15" s="642"/>
      <c r="J15" s="642"/>
      <c r="K15" s="642"/>
      <c r="L15" s="642"/>
      <c r="M15" s="642"/>
      <c r="N15" s="1383" t="s">
        <v>2537</v>
      </c>
      <c r="O15" s="1382">
        <v>2.9294500000000001</v>
      </c>
      <c r="P15" s="642"/>
      <c r="Q15"/>
      <c r="R15"/>
      <c r="S15"/>
      <c r="T15"/>
      <c r="U15" s="642"/>
      <c r="V15" s="1381" t="s">
        <v>4104</v>
      </c>
      <c r="W15" s="1382">
        <v>37.729999999999997</v>
      </c>
    </row>
    <row r="16" spans="2:23" ht="13.8" x14ac:dyDescent="0.25">
      <c r="B16" s="1381" t="s">
        <v>3216</v>
      </c>
      <c r="C16" s="1382">
        <v>-132.01999999999978</v>
      </c>
      <c r="E16" s="1384">
        <v>46217</v>
      </c>
      <c r="F16" s="1382">
        <v>1126.3162</v>
      </c>
      <c r="G16" s="642"/>
      <c r="H16" s="642"/>
      <c r="I16" s="642"/>
      <c r="J16" s="642"/>
      <c r="K16" s="642"/>
      <c r="L16" s="642"/>
      <c r="M16" s="642"/>
      <c r="N16" s="1383" t="s">
        <v>1738</v>
      </c>
      <c r="O16" s="1382">
        <v>-2</v>
      </c>
      <c r="P16" s="642"/>
      <c r="Q16"/>
      <c r="R16"/>
      <c r="S16"/>
      <c r="T16"/>
      <c r="U16" s="642"/>
      <c r="V16" s="1381" t="s">
        <v>390</v>
      </c>
      <c r="W16" s="1382">
        <v>36.08</v>
      </c>
    </row>
    <row r="17" spans="2:23" ht="13.8" x14ac:dyDescent="0.25">
      <c r="B17" s="1381" t="s">
        <v>3172</v>
      </c>
      <c r="C17" s="1382">
        <v>-167.79</v>
      </c>
      <c r="E17" s="1384">
        <v>46218</v>
      </c>
      <c r="F17" s="1382">
        <v>1094.9861999999998</v>
      </c>
      <c r="G17" s="642"/>
      <c r="H17" s="642"/>
      <c r="I17" s="642"/>
      <c r="J17" s="642"/>
      <c r="K17" s="642"/>
      <c r="L17" s="642"/>
      <c r="M17" s="642"/>
      <c r="N17" s="1383" t="s">
        <v>349</v>
      </c>
      <c r="O17" s="1382">
        <v>59.400000000000006</v>
      </c>
      <c r="P17" s="642"/>
      <c r="Q17"/>
      <c r="R17"/>
      <c r="S17"/>
      <c r="T17"/>
      <c r="U17" s="642"/>
      <c r="V17" s="1381" t="s">
        <v>3746</v>
      </c>
      <c r="W17" s="1382">
        <v>28.3</v>
      </c>
    </row>
    <row r="18" spans="2:23" ht="13.8" x14ac:dyDescent="0.25">
      <c r="B18" s="1381" t="s">
        <v>3538</v>
      </c>
      <c r="C18" s="1382">
        <v>-196.35</v>
      </c>
      <c r="E18" s="1384">
        <v>46219</v>
      </c>
      <c r="F18" s="1382">
        <v>1216.1061999999997</v>
      </c>
      <c r="G18" s="642"/>
      <c r="H18" s="642"/>
      <c r="I18" s="642"/>
      <c r="J18" s="642"/>
      <c r="K18" s="642"/>
      <c r="L18" s="642"/>
      <c r="M18" s="642"/>
      <c r="N18" s="1383" t="s">
        <v>2854</v>
      </c>
      <c r="O18" s="1382">
        <v>3.2367500000000007</v>
      </c>
      <c r="P18" s="642"/>
      <c r="Q18"/>
      <c r="R18"/>
      <c r="S18"/>
      <c r="T18"/>
      <c r="U18" s="642"/>
      <c r="V18" s="1381" t="s">
        <v>3756</v>
      </c>
      <c r="W18" s="1382">
        <v>21.23</v>
      </c>
    </row>
    <row r="19" spans="2:23" ht="13.8" x14ac:dyDescent="0.25">
      <c r="B19" s="1381" t="s">
        <v>3876</v>
      </c>
      <c r="C19" s="1382">
        <v>-208.82</v>
      </c>
      <c r="E19" s="1384">
        <v>46220</v>
      </c>
      <c r="F19" s="1382">
        <v>1516.5406999999996</v>
      </c>
      <c r="G19" s="642"/>
      <c r="H19" s="642"/>
      <c r="I19" s="642"/>
      <c r="J19" s="642"/>
      <c r="K19" s="642"/>
      <c r="L19" s="642"/>
      <c r="M19" s="642"/>
      <c r="N19" s="1383" t="s">
        <v>2337</v>
      </c>
      <c r="O19" s="1382">
        <v>5.22</v>
      </c>
      <c r="P19" s="642"/>
      <c r="Q19"/>
      <c r="R19"/>
      <c r="S19"/>
      <c r="T19"/>
      <c r="U19" s="642"/>
      <c r="V19" s="1381" t="s">
        <v>3525</v>
      </c>
      <c r="W19" s="1382">
        <v>16.360000000000042</v>
      </c>
    </row>
    <row r="20" spans="2:23" ht="13.8" x14ac:dyDescent="0.25">
      <c r="B20" s="1381" t="s">
        <v>3875</v>
      </c>
      <c r="C20" s="1382">
        <v>-209.68</v>
      </c>
      <c r="E20" s="1384">
        <v>46221</v>
      </c>
      <c r="F20" s="1382">
        <v>1310.8406999999995</v>
      </c>
      <c r="H20" s="642"/>
      <c r="I20" s="642"/>
      <c r="K20" s="642"/>
      <c r="N20" s="1383" t="s">
        <v>3784</v>
      </c>
      <c r="O20" s="1382">
        <v>-51.85</v>
      </c>
      <c r="Q20"/>
      <c r="R20"/>
      <c r="S20"/>
      <c r="T20"/>
      <c r="V20" s="1381" t="s">
        <v>1543</v>
      </c>
      <c r="W20" s="1382">
        <v>9.6900000000000084</v>
      </c>
    </row>
    <row r="21" spans="2:23" ht="13.8" x14ac:dyDescent="0.25">
      <c r="B21" s="1381" t="s">
        <v>179</v>
      </c>
      <c r="C21" s="1382">
        <v>-843.23</v>
      </c>
      <c r="E21" s="1384">
        <v>46222</v>
      </c>
      <c r="F21" s="1382">
        <v>1592.5050999999994</v>
      </c>
      <c r="H21" s="642"/>
      <c r="I21" s="642"/>
      <c r="K21" s="642"/>
      <c r="N21" s="1383" t="s">
        <v>390</v>
      </c>
      <c r="O21" s="1382">
        <v>36.08</v>
      </c>
      <c r="Q21"/>
      <c r="R21"/>
      <c r="S21"/>
      <c r="T21"/>
      <c r="V21" s="1381" t="s">
        <v>2337</v>
      </c>
      <c r="W21" s="1382">
        <v>5.22</v>
      </c>
    </row>
    <row r="22" spans="2:23" ht="13.8" x14ac:dyDescent="0.25">
      <c r="B22" s="1381" t="s">
        <v>267</v>
      </c>
      <c r="C22" s="1382">
        <v>540.82715000000121</v>
      </c>
      <c r="E22" s="1384">
        <v>46223</v>
      </c>
      <c r="F22" s="1382">
        <v>1657.8187499999995</v>
      </c>
      <c r="H22" s="642"/>
      <c r="I22" s="642"/>
      <c r="K22" s="642"/>
      <c r="N22" s="1383" t="s">
        <v>1647</v>
      </c>
      <c r="O22" s="1382">
        <v>-10</v>
      </c>
      <c r="Q22"/>
      <c r="R22"/>
      <c r="S22"/>
      <c r="T22"/>
      <c r="V22" s="1381" t="s">
        <v>2854</v>
      </c>
      <c r="W22" s="1382">
        <v>3.2367500000000007</v>
      </c>
    </row>
    <row r="23" spans="2:23" ht="13.8" x14ac:dyDescent="0.25">
      <c r="B23"/>
      <c r="C23"/>
      <c r="E23" s="1384">
        <v>46224</v>
      </c>
      <c r="F23" s="1382">
        <v>1596.9544999999994</v>
      </c>
      <c r="H23" s="642"/>
      <c r="I23" s="642"/>
      <c r="K23" s="642"/>
      <c r="N23" s="1383" t="s">
        <v>2338</v>
      </c>
      <c r="O23" s="1382">
        <v>-4</v>
      </c>
      <c r="Q23"/>
      <c r="R23"/>
      <c r="S23"/>
      <c r="T23"/>
      <c r="V23" s="1381" t="s">
        <v>2537</v>
      </c>
      <c r="W23" s="1382">
        <v>2.9294500000000001</v>
      </c>
    </row>
    <row r="24" spans="2:23" ht="13.8" x14ac:dyDescent="0.25">
      <c r="B24"/>
      <c r="C24"/>
      <c r="E24" s="1384">
        <v>46225</v>
      </c>
      <c r="F24" s="1382">
        <v>1725.3244999999993</v>
      </c>
      <c r="H24" s="642"/>
      <c r="I24" s="642"/>
      <c r="K24" s="642"/>
      <c r="N24" s="1383" t="s">
        <v>1543</v>
      </c>
      <c r="O24" s="1382">
        <v>9.6900000000000084</v>
      </c>
      <c r="Q24"/>
      <c r="R24"/>
      <c r="S24"/>
      <c r="T24"/>
      <c r="V24" s="1381" t="s">
        <v>1700</v>
      </c>
      <c r="W24" s="1382">
        <v>2.7504</v>
      </c>
    </row>
    <row r="25" spans="2:23" ht="13.8" x14ac:dyDescent="0.25">
      <c r="B25"/>
      <c r="C25"/>
      <c r="E25" s="1384">
        <v>46226</v>
      </c>
      <c r="F25" s="1382">
        <v>1257.8044999999993</v>
      </c>
      <c r="H25" s="642"/>
      <c r="I25" s="642"/>
      <c r="K25" s="642"/>
      <c r="N25" s="1383" t="s">
        <v>2920</v>
      </c>
      <c r="O25" s="1382">
        <v>-44.69</v>
      </c>
      <c r="Q25"/>
      <c r="R25"/>
      <c r="S25"/>
      <c r="T25"/>
      <c r="V25" s="1381" t="s">
        <v>3296</v>
      </c>
      <c r="W25" s="1382">
        <v>2.0699999999999998</v>
      </c>
    </row>
    <row r="26" spans="2:23" ht="13.8" x14ac:dyDescent="0.25">
      <c r="B26"/>
      <c r="C26"/>
      <c r="E26" s="1384">
        <v>46227</v>
      </c>
      <c r="F26" s="1382">
        <v>1410.6325499999994</v>
      </c>
      <c r="H26" s="642"/>
      <c r="I26" s="642"/>
      <c r="K26" s="642"/>
      <c r="N26" s="1383" t="s">
        <v>2919</v>
      </c>
      <c r="O26" s="1382">
        <v>-19.214749999999995</v>
      </c>
      <c r="Q26"/>
      <c r="R26"/>
      <c r="S26"/>
      <c r="T26"/>
      <c r="V26" s="1381" t="s">
        <v>2307</v>
      </c>
      <c r="W26" s="1382">
        <v>2.0099999999999998</v>
      </c>
    </row>
    <row r="27" spans="2:23" ht="13.8" x14ac:dyDescent="0.25">
      <c r="B27"/>
      <c r="C27"/>
      <c r="E27" s="1384">
        <v>46228</v>
      </c>
      <c r="F27" s="1382">
        <v>1086.1525499999993</v>
      </c>
      <c r="H27" s="642"/>
      <c r="I27" s="642"/>
      <c r="K27" s="642"/>
      <c r="N27" s="1383" t="s">
        <v>2921</v>
      </c>
      <c r="O27" s="1382">
        <v>0.71</v>
      </c>
      <c r="Q27"/>
      <c r="R27"/>
      <c r="S27"/>
      <c r="T27"/>
      <c r="V27" s="1381" t="s">
        <v>2921</v>
      </c>
      <c r="W27" s="1382">
        <v>0.71</v>
      </c>
    </row>
    <row r="28" spans="2:23" ht="13.8" x14ac:dyDescent="0.25">
      <c r="B28"/>
      <c r="C28"/>
      <c r="E28" s="1384">
        <v>46229</v>
      </c>
      <c r="F28" s="1382">
        <v>682.97714999999926</v>
      </c>
      <c r="H28" s="642"/>
      <c r="I28" s="642"/>
      <c r="N28" s="1383" t="s">
        <v>3746</v>
      </c>
      <c r="O28" s="1382">
        <v>28.3</v>
      </c>
      <c r="Q28"/>
      <c r="R28"/>
      <c r="S28"/>
      <c r="T28"/>
      <c r="V28" s="1381" t="s">
        <v>1774</v>
      </c>
      <c r="W28" s="1382">
        <v>-2</v>
      </c>
    </row>
    <row r="29" spans="2:23" ht="13.8" x14ac:dyDescent="0.25">
      <c r="B29"/>
      <c r="C29"/>
      <c r="E29" s="1384">
        <v>46230</v>
      </c>
      <c r="F29" s="1382">
        <v>680.02714999999921</v>
      </c>
      <c r="H29" s="642"/>
      <c r="I29" s="642"/>
      <c r="N29" s="1383" t="s">
        <v>1697</v>
      </c>
      <c r="O29" s="1382">
        <v>-128.77000000000001</v>
      </c>
      <c r="Q29" s="642"/>
      <c r="R29" s="642"/>
      <c r="S29" s="642"/>
      <c r="T29" s="642"/>
      <c r="V29" s="1381" t="s">
        <v>1738</v>
      </c>
      <c r="W29" s="1382">
        <v>-2</v>
      </c>
    </row>
    <row r="30" spans="2:23" ht="13.8" x14ac:dyDescent="0.25">
      <c r="B30"/>
      <c r="C30"/>
      <c r="E30" s="1384">
        <v>46231</v>
      </c>
      <c r="F30" s="1382">
        <v>734.21714999999926</v>
      </c>
      <c r="H30" s="642"/>
      <c r="I30" s="642"/>
      <c r="N30" s="1383" t="s">
        <v>1540</v>
      </c>
      <c r="O30" s="1382">
        <v>-621.2299999999999</v>
      </c>
      <c r="Q30" s="642"/>
      <c r="R30" s="642"/>
      <c r="S30" s="642"/>
      <c r="T30" s="642"/>
      <c r="V30" s="1381" t="s">
        <v>2338</v>
      </c>
      <c r="W30" s="1382">
        <v>-4</v>
      </c>
    </row>
    <row r="31" spans="2:23" ht="13.8" x14ac:dyDescent="0.25">
      <c r="B31"/>
      <c r="C31"/>
      <c r="E31" s="1384">
        <v>46232</v>
      </c>
      <c r="F31" s="1382">
        <v>684.4271499999993</v>
      </c>
      <c r="H31" s="642"/>
      <c r="I31" s="642"/>
      <c r="N31" s="1383" t="s">
        <v>1700</v>
      </c>
      <c r="O31" s="1382">
        <v>2.7504</v>
      </c>
      <c r="V31" s="1381" t="s">
        <v>3350</v>
      </c>
      <c r="W31" s="1382">
        <v>-6.2999999999999829</v>
      </c>
    </row>
    <row r="32" spans="2:23" ht="13.8" x14ac:dyDescent="0.25">
      <c r="B32"/>
      <c r="C32"/>
      <c r="E32" s="1384">
        <v>46233</v>
      </c>
      <c r="F32" s="1382">
        <v>711.59714999999926</v>
      </c>
      <c r="H32" s="642"/>
      <c r="I32" s="642"/>
      <c r="N32" s="1383" t="s">
        <v>3353</v>
      </c>
      <c r="O32" s="1382">
        <v>-435.7</v>
      </c>
      <c r="V32" s="1381" t="s">
        <v>1647</v>
      </c>
      <c r="W32" s="1382">
        <v>-10</v>
      </c>
    </row>
    <row r="33" spans="5:23" ht="13.2" x14ac:dyDescent="0.25">
      <c r="E33" s="1384">
        <v>46234</v>
      </c>
      <c r="F33" s="1382">
        <v>540.82714999999916</v>
      </c>
      <c r="H33" s="642"/>
      <c r="I33" s="642"/>
      <c r="N33" s="1383" t="s">
        <v>1760</v>
      </c>
      <c r="O33" s="1382">
        <v>47.75</v>
      </c>
      <c r="V33" s="1381" t="s">
        <v>4307</v>
      </c>
      <c r="W33" s="1382">
        <v>-16.180000000000035</v>
      </c>
    </row>
    <row r="34" spans="5:23" ht="13.2" x14ac:dyDescent="0.25">
      <c r="E34" s="1381" t="s">
        <v>267</v>
      </c>
      <c r="F34" s="1382"/>
      <c r="H34" s="642"/>
      <c r="I34" s="642"/>
      <c r="N34" s="1383" t="s">
        <v>410</v>
      </c>
      <c r="O34" s="1382">
        <v>-215.75</v>
      </c>
      <c r="V34" s="1381" t="s">
        <v>2919</v>
      </c>
      <c r="W34" s="1382">
        <v>-19.214749999999995</v>
      </c>
    </row>
    <row r="35" spans="5:23" ht="13.8" x14ac:dyDescent="0.25">
      <c r="E35"/>
      <c r="F35"/>
      <c r="H35" s="642"/>
      <c r="I35" s="642"/>
      <c r="N35" s="1383" t="s">
        <v>315</v>
      </c>
      <c r="O35" s="1382">
        <v>47.75</v>
      </c>
      <c r="V35" s="1381" t="s">
        <v>4109</v>
      </c>
      <c r="W35" s="1382">
        <v>-32.620000000000005</v>
      </c>
    </row>
    <row r="36" spans="5:23" ht="13.8" x14ac:dyDescent="0.25">
      <c r="E36"/>
      <c r="F36"/>
      <c r="N36" s="1383" t="s">
        <v>1774</v>
      </c>
      <c r="O36" s="1382">
        <v>-2</v>
      </c>
      <c r="V36" s="1381" t="s">
        <v>2920</v>
      </c>
      <c r="W36" s="1382">
        <v>-44.69</v>
      </c>
    </row>
    <row r="37" spans="5:23" ht="13.8" x14ac:dyDescent="0.25">
      <c r="E37"/>
      <c r="F37"/>
      <c r="N37" s="1383" t="s">
        <v>4109</v>
      </c>
      <c r="O37" s="1382">
        <v>-32.620000000000005</v>
      </c>
      <c r="V37" s="1381" t="s">
        <v>3784</v>
      </c>
      <c r="W37" s="1382">
        <v>-51.85</v>
      </c>
    </row>
    <row r="38" spans="5:23" ht="13.8" x14ac:dyDescent="0.25">
      <c r="E38"/>
      <c r="F38"/>
      <c r="N38" s="1383" t="s">
        <v>4104</v>
      </c>
      <c r="O38" s="1382">
        <v>37.729999999999997</v>
      </c>
      <c r="V38" s="1381" t="s">
        <v>1756</v>
      </c>
      <c r="W38" s="1382">
        <v>-62.89</v>
      </c>
    </row>
    <row r="39" spans="5:23" ht="13.8" x14ac:dyDescent="0.25">
      <c r="E39"/>
      <c r="F39"/>
      <c r="N39" s="1383" t="s">
        <v>1739</v>
      </c>
      <c r="O39" s="1382">
        <v>88.024000000000015</v>
      </c>
      <c r="V39" s="1381" t="s">
        <v>3174</v>
      </c>
      <c r="W39" s="1382">
        <v>-67.789999999999992</v>
      </c>
    </row>
    <row r="40" spans="5:23" ht="13.8" x14ac:dyDescent="0.25">
      <c r="E40"/>
      <c r="F40"/>
      <c r="N40" s="1383" t="s">
        <v>3756</v>
      </c>
      <c r="O40" s="1382">
        <v>21.23</v>
      </c>
      <c r="V40" s="1381" t="s">
        <v>75</v>
      </c>
      <c r="W40" s="1382">
        <v>-76.100000000000009</v>
      </c>
    </row>
    <row r="41" spans="5:23" ht="13.8" x14ac:dyDescent="0.25">
      <c r="E41"/>
      <c r="F41"/>
      <c r="N41" s="1383" t="s">
        <v>3526</v>
      </c>
      <c r="O41" s="1382">
        <v>49.19</v>
      </c>
      <c r="V41" s="1381" t="s">
        <v>391</v>
      </c>
      <c r="W41" s="1382">
        <v>-94.379999999999967</v>
      </c>
    </row>
    <row r="42" spans="5:23" ht="13.8" x14ac:dyDescent="0.25">
      <c r="E42"/>
      <c r="F42"/>
      <c r="N42" s="1383" t="s">
        <v>1756</v>
      </c>
      <c r="O42" s="1382">
        <v>-62.89</v>
      </c>
      <c r="V42" s="1381" t="s">
        <v>3173</v>
      </c>
      <c r="W42" s="1382">
        <v>-100</v>
      </c>
    </row>
    <row r="43" spans="5:23" ht="13.8" x14ac:dyDescent="0.25">
      <c r="E43"/>
      <c r="F43"/>
      <c r="N43" s="1383" t="s">
        <v>3296</v>
      </c>
      <c r="O43" s="1382">
        <v>2.0699999999999998</v>
      </c>
      <c r="V43" s="1381" t="s">
        <v>1697</v>
      </c>
      <c r="W43" s="1382">
        <v>-128.77000000000001</v>
      </c>
    </row>
    <row r="44" spans="5:23" ht="13.8" x14ac:dyDescent="0.25">
      <c r="E44"/>
      <c r="F44"/>
      <c r="N44" s="1383" t="s">
        <v>3525</v>
      </c>
      <c r="O44" s="1382">
        <v>16.360000000000042</v>
      </c>
      <c r="V44" s="1381" t="s">
        <v>410</v>
      </c>
      <c r="W44" s="1382">
        <v>-215.75</v>
      </c>
    </row>
    <row r="45" spans="5:23" ht="13.8" x14ac:dyDescent="0.25">
      <c r="E45"/>
      <c r="F45"/>
      <c r="N45" s="1383" t="s">
        <v>391</v>
      </c>
      <c r="O45" s="1382">
        <v>-94.379999999999967</v>
      </c>
      <c r="V45" s="1381" t="s">
        <v>3353</v>
      </c>
      <c r="W45" s="1382">
        <v>-435.7</v>
      </c>
    </row>
    <row r="46" spans="5:23" ht="13.8" x14ac:dyDescent="0.25">
      <c r="E46"/>
      <c r="F46"/>
      <c r="N46" s="1383" t="s">
        <v>2307</v>
      </c>
      <c r="O46" s="1382">
        <v>2.0099999999999998</v>
      </c>
      <c r="V46" s="1381" t="s">
        <v>3745</v>
      </c>
      <c r="W46" s="1382">
        <v>-445.83000000000004</v>
      </c>
    </row>
    <row r="47" spans="5:23" ht="13.8" x14ac:dyDescent="0.25">
      <c r="E47"/>
      <c r="F47"/>
      <c r="N47" s="1383" t="s">
        <v>4308</v>
      </c>
      <c r="O47" s="1382">
        <v>288.30999999999995</v>
      </c>
      <c r="V47" s="1381" t="s">
        <v>1540</v>
      </c>
      <c r="W47" s="1382">
        <v>-621.2299999999999</v>
      </c>
    </row>
    <row r="48" spans="5:23" ht="13.8" x14ac:dyDescent="0.25">
      <c r="E48"/>
      <c r="F48"/>
      <c r="N48" s="1383" t="s">
        <v>4307</v>
      </c>
      <c r="O48" s="1382">
        <v>-16.180000000000035</v>
      </c>
      <c r="V48" s="1381" t="s">
        <v>267</v>
      </c>
      <c r="W48" s="1382">
        <v>540.82715000000121</v>
      </c>
    </row>
    <row r="49" spans="5:23" ht="13.8" x14ac:dyDescent="0.25">
      <c r="E49"/>
      <c r="F49"/>
      <c r="N49" s="1381" t="s">
        <v>267</v>
      </c>
      <c r="O49" s="1382">
        <v>540.82715000000121</v>
      </c>
      <c r="V49"/>
      <c r="W49"/>
    </row>
    <row r="50" spans="5:23" ht="13.8" x14ac:dyDescent="0.25">
      <c r="E50"/>
      <c r="F50"/>
      <c r="N50"/>
      <c r="O50"/>
      <c r="V50"/>
      <c r="W50"/>
    </row>
    <row r="51" spans="5:23" ht="13.8" x14ac:dyDescent="0.25">
      <c r="E51"/>
      <c r="F51"/>
      <c r="N51"/>
      <c r="O51"/>
      <c r="V51"/>
      <c r="W51"/>
    </row>
    <row r="52" spans="5:23" ht="13.8" x14ac:dyDescent="0.25">
      <c r="E52"/>
      <c r="F52"/>
      <c r="N52"/>
      <c r="O52"/>
      <c r="V52"/>
      <c r="W52"/>
    </row>
    <row r="53" spans="5:23" ht="13.8" x14ac:dyDescent="0.25">
      <c r="E53"/>
      <c r="F53"/>
      <c r="N53"/>
      <c r="O53"/>
      <c r="V53"/>
      <c r="W53"/>
    </row>
    <row r="54" spans="5:23" ht="13.8" x14ac:dyDescent="0.25">
      <c r="E54"/>
      <c r="F54"/>
      <c r="N54"/>
      <c r="O54"/>
      <c r="V54"/>
      <c r="W54"/>
    </row>
    <row r="55" spans="5:23" ht="13.8" x14ac:dyDescent="0.25">
      <c r="E55"/>
      <c r="F55"/>
      <c r="N55"/>
      <c r="O55"/>
      <c r="V55"/>
      <c r="W55"/>
    </row>
    <row r="56" spans="5:23" ht="13.8" x14ac:dyDescent="0.25">
      <c r="E56"/>
      <c r="F56"/>
      <c r="N56"/>
      <c r="O56"/>
      <c r="V56"/>
      <c r="W56"/>
    </row>
    <row r="57" spans="5:23" ht="13.8" x14ac:dyDescent="0.25">
      <c r="E57"/>
      <c r="F57"/>
      <c r="N57"/>
      <c r="O57"/>
      <c r="V57"/>
      <c r="W57"/>
    </row>
    <row r="58" spans="5:23" ht="13.8" x14ac:dyDescent="0.25">
      <c r="E58"/>
      <c r="F58"/>
      <c r="N58"/>
      <c r="O58"/>
      <c r="V58"/>
      <c r="W58"/>
    </row>
    <row r="59" spans="5:23" ht="13.8" x14ac:dyDescent="0.25">
      <c r="E59"/>
      <c r="F59"/>
      <c r="N59"/>
      <c r="O59"/>
      <c r="V59"/>
      <c r="W59"/>
    </row>
    <row r="60" spans="5:23" ht="13.8" x14ac:dyDescent="0.25">
      <c r="E60"/>
      <c r="F60"/>
      <c r="N60"/>
      <c r="O60"/>
      <c r="V60"/>
      <c r="W60"/>
    </row>
    <row r="61" spans="5:23" ht="13.8" x14ac:dyDescent="0.25">
      <c r="E61"/>
      <c r="F61"/>
      <c r="N61"/>
      <c r="O61"/>
      <c r="V61"/>
      <c r="W61"/>
    </row>
    <row r="62" spans="5:23" ht="13.8" x14ac:dyDescent="0.25">
      <c r="E62"/>
      <c r="F62"/>
      <c r="N62"/>
      <c r="O62"/>
      <c r="V62"/>
      <c r="W62"/>
    </row>
    <row r="63" spans="5:23" ht="13.8" x14ac:dyDescent="0.25">
      <c r="E63"/>
      <c r="F63"/>
      <c r="N63"/>
      <c r="O63"/>
      <c r="V63"/>
      <c r="W63"/>
    </row>
    <row r="64" spans="5:23" ht="13.8" x14ac:dyDescent="0.25">
      <c r="E64"/>
      <c r="F64"/>
      <c r="N64"/>
      <c r="O64"/>
      <c r="V64"/>
      <c r="W64"/>
    </row>
    <row r="65" spans="5:23" ht="13.8" x14ac:dyDescent="0.25">
      <c r="E65"/>
      <c r="F65"/>
      <c r="N65"/>
      <c r="O65"/>
      <c r="V65"/>
      <c r="W65"/>
    </row>
    <row r="66" spans="5:23" ht="13.8" x14ac:dyDescent="0.25">
      <c r="E66"/>
      <c r="F66"/>
      <c r="N66"/>
      <c r="O66"/>
      <c r="V66"/>
      <c r="W66"/>
    </row>
    <row r="67" spans="5:23" ht="13.8" x14ac:dyDescent="0.25">
      <c r="E67"/>
      <c r="F67"/>
      <c r="N67"/>
      <c r="O67"/>
      <c r="V67"/>
      <c r="W67"/>
    </row>
    <row r="68" spans="5:23" ht="13.8" x14ac:dyDescent="0.25">
      <c r="E68"/>
      <c r="F68"/>
      <c r="N68"/>
      <c r="O68"/>
      <c r="V68"/>
      <c r="W68"/>
    </row>
    <row r="69" spans="5:23" ht="13.8" x14ac:dyDescent="0.25">
      <c r="E69"/>
      <c r="F69"/>
      <c r="N69"/>
      <c r="O69"/>
      <c r="V69"/>
      <c r="W69"/>
    </row>
    <row r="70" spans="5:23" ht="13.8" x14ac:dyDescent="0.25">
      <c r="E70"/>
      <c r="F70"/>
      <c r="N70"/>
      <c r="O70"/>
      <c r="V70"/>
      <c r="W70"/>
    </row>
    <row r="71" spans="5:23" ht="13.8" x14ac:dyDescent="0.25">
      <c r="E71"/>
      <c r="F71"/>
      <c r="N71"/>
      <c r="O71"/>
      <c r="V71"/>
      <c r="W71"/>
    </row>
    <row r="72" spans="5:23" ht="13.8" x14ac:dyDescent="0.25">
      <c r="E72"/>
      <c r="F72"/>
      <c r="N72"/>
      <c r="O72"/>
      <c r="V72"/>
      <c r="W72"/>
    </row>
    <row r="73" spans="5:23" ht="13.8" x14ac:dyDescent="0.25">
      <c r="E73"/>
      <c r="F73"/>
      <c r="N73"/>
      <c r="O73"/>
      <c r="V73"/>
      <c r="W73"/>
    </row>
    <row r="74" spans="5:23" ht="13.8" x14ac:dyDescent="0.25">
      <c r="E74"/>
      <c r="F74"/>
      <c r="N74"/>
      <c r="O74"/>
      <c r="V74"/>
      <c r="W74"/>
    </row>
    <row r="75" spans="5:23" ht="13.8" x14ac:dyDescent="0.25">
      <c r="E75"/>
      <c r="F75"/>
      <c r="N75"/>
      <c r="O75"/>
      <c r="V75"/>
      <c r="W75"/>
    </row>
    <row r="76" spans="5:23" ht="13.8" x14ac:dyDescent="0.25">
      <c r="E76"/>
      <c r="F76"/>
      <c r="N76"/>
      <c r="O76"/>
      <c r="V76"/>
      <c r="W76"/>
    </row>
    <row r="77" spans="5:23" ht="13.8" x14ac:dyDescent="0.25">
      <c r="E77"/>
      <c r="F77"/>
      <c r="N77"/>
      <c r="O77"/>
      <c r="V77"/>
      <c r="W77"/>
    </row>
    <row r="78" spans="5:23" ht="13.8" x14ac:dyDescent="0.25">
      <c r="E78"/>
      <c r="F78"/>
      <c r="N78"/>
      <c r="O78"/>
      <c r="V78"/>
      <c r="W78"/>
    </row>
    <row r="79" spans="5:23" ht="13.8" x14ac:dyDescent="0.25">
      <c r="E79"/>
      <c r="F79"/>
      <c r="N79"/>
      <c r="O79"/>
      <c r="V79"/>
      <c r="W79"/>
    </row>
    <row r="80" spans="5:23" ht="13.8" x14ac:dyDescent="0.25">
      <c r="E80"/>
      <c r="F80"/>
      <c r="N80"/>
      <c r="O80"/>
      <c r="V80"/>
      <c r="W80"/>
    </row>
    <row r="81" spans="5:23" ht="13.8" x14ac:dyDescent="0.25">
      <c r="E81"/>
      <c r="F81"/>
      <c r="N81"/>
      <c r="O81"/>
      <c r="V81"/>
      <c r="W81"/>
    </row>
    <row r="82" spans="5:23" ht="13.8" x14ac:dyDescent="0.25">
      <c r="E82"/>
      <c r="F82"/>
      <c r="N82"/>
      <c r="O82"/>
      <c r="V82"/>
      <c r="W82"/>
    </row>
    <row r="83" spans="5:23" ht="13.8" x14ac:dyDescent="0.25">
      <c r="E83"/>
      <c r="F83"/>
      <c r="N83"/>
      <c r="O83"/>
      <c r="V83"/>
      <c r="W83"/>
    </row>
    <row r="84" spans="5:23" ht="13.8" x14ac:dyDescent="0.25">
      <c r="E84"/>
      <c r="F84"/>
      <c r="N84"/>
      <c r="O84"/>
      <c r="V84"/>
      <c r="W84"/>
    </row>
    <row r="85" spans="5:23" ht="13.8" x14ac:dyDescent="0.25">
      <c r="E85"/>
      <c r="F85"/>
      <c r="N85"/>
      <c r="O85"/>
      <c r="V85"/>
      <c r="W85"/>
    </row>
    <row r="86" spans="5:23" ht="13.8" x14ac:dyDescent="0.25">
      <c r="E86"/>
      <c r="F86"/>
      <c r="N86"/>
      <c r="O86"/>
      <c r="V86"/>
      <c r="W86"/>
    </row>
    <row r="87" spans="5:23" ht="13.8" x14ac:dyDescent="0.25">
      <c r="E87"/>
      <c r="F87"/>
      <c r="N87"/>
      <c r="O87"/>
      <c r="V87"/>
      <c r="W87"/>
    </row>
    <row r="88" spans="5:23" ht="13.8" x14ac:dyDescent="0.25">
      <c r="E88"/>
      <c r="F88"/>
      <c r="N88"/>
      <c r="O88"/>
      <c r="V88"/>
      <c r="W88"/>
    </row>
    <row r="89" spans="5:23" ht="13.8" x14ac:dyDescent="0.25">
      <c r="E89"/>
      <c r="F89"/>
      <c r="N89"/>
      <c r="O89"/>
      <c r="V89"/>
      <c r="W89"/>
    </row>
    <row r="90" spans="5:23" ht="13.8" x14ac:dyDescent="0.25">
      <c r="E90"/>
      <c r="F90"/>
      <c r="N90"/>
      <c r="O90"/>
      <c r="V90"/>
      <c r="W90"/>
    </row>
    <row r="91" spans="5:23" ht="13.8" x14ac:dyDescent="0.25">
      <c r="E91"/>
      <c r="F91"/>
      <c r="N91"/>
      <c r="O91"/>
      <c r="V91"/>
      <c r="W91"/>
    </row>
    <row r="92" spans="5:23" ht="13.8" x14ac:dyDescent="0.25">
      <c r="E92"/>
      <c r="F92"/>
      <c r="N92"/>
      <c r="O92"/>
      <c r="V92"/>
      <c r="W92"/>
    </row>
    <row r="93" spans="5:23" ht="13.8" x14ac:dyDescent="0.25">
      <c r="E93"/>
      <c r="F93"/>
      <c r="N93"/>
      <c r="O93"/>
      <c r="V93"/>
      <c r="W93"/>
    </row>
    <row r="94" spans="5:23" ht="13.8" x14ac:dyDescent="0.25">
      <c r="E94"/>
      <c r="F94"/>
      <c r="N94"/>
      <c r="O94"/>
    </row>
    <row r="95" spans="5:23" ht="13.8" x14ac:dyDescent="0.25">
      <c r="E95"/>
      <c r="F95"/>
      <c r="N95"/>
      <c r="O95"/>
    </row>
    <row r="96" spans="5:23" ht="13.8" x14ac:dyDescent="0.25">
      <c r="E96"/>
      <c r="F96"/>
      <c r="N96"/>
      <c r="O96"/>
    </row>
    <row r="97" spans="5:15" ht="13.8" x14ac:dyDescent="0.25">
      <c r="E97"/>
      <c r="F97"/>
      <c r="N97"/>
      <c r="O97"/>
    </row>
    <row r="98" spans="5:15" ht="13.8" x14ac:dyDescent="0.25">
      <c r="E98"/>
      <c r="F98"/>
      <c r="N98"/>
      <c r="O98"/>
    </row>
    <row r="99" spans="5:15" ht="13.8" x14ac:dyDescent="0.25">
      <c r="E99"/>
      <c r="F99"/>
      <c r="N99"/>
      <c r="O99"/>
    </row>
    <row r="100" spans="5:15" ht="13.8" x14ac:dyDescent="0.25">
      <c r="E100"/>
      <c r="F100"/>
      <c r="N100"/>
      <c r="O100"/>
    </row>
    <row r="101" spans="5:15" ht="13.8" x14ac:dyDescent="0.25">
      <c r="E101"/>
      <c r="F101"/>
      <c r="N101"/>
      <c r="O101"/>
    </row>
    <row r="102" spans="5:15" ht="13.8" x14ac:dyDescent="0.25">
      <c r="E102"/>
      <c r="F102"/>
      <c r="N102"/>
      <c r="O102"/>
    </row>
    <row r="103" spans="5:15" ht="13.8" x14ac:dyDescent="0.25">
      <c r="E103"/>
      <c r="F103"/>
      <c r="N103"/>
      <c r="O103"/>
    </row>
    <row r="104" spans="5:15" ht="13.8" x14ac:dyDescent="0.25">
      <c r="E104"/>
      <c r="F104"/>
      <c r="N104"/>
      <c r="O104"/>
    </row>
    <row r="105" spans="5:15" ht="13.8" x14ac:dyDescent="0.25">
      <c r="E105"/>
      <c r="F105"/>
      <c r="N105"/>
      <c r="O105"/>
    </row>
    <row r="106" spans="5:15" ht="13.8" x14ac:dyDescent="0.25">
      <c r="E106"/>
      <c r="F106"/>
      <c r="N106"/>
      <c r="O106"/>
    </row>
    <row r="107" spans="5:15" ht="13.8" x14ac:dyDescent="0.25">
      <c r="E107"/>
      <c r="F107"/>
      <c r="N107"/>
      <c r="O107"/>
    </row>
    <row r="108" spans="5:15" ht="13.8" x14ac:dyDescent="0.25">
      <c r="E108"/>
      <c r="F108"/>
      <c r="N108"/>
      <c r="O108"/>
    </row>
    <row r="109" spans="5:15" ht="13.8" x14ac:dyDescent="0.25">
      <c r="E109"/>
      <c r="F109"/>
      <c r="N109"/>
      <c r="O109"/>
    </row>
    <row r="110" spans="5:15" ht="13.8" x14ac:dyDescent="0.25">
      <c r="E110"/>
      <c r="F110"/>
      <c r="N110"/>
      <c r="O110"/>
    </row>
    <row r="111" spans="5:15" ht="13.8" x14ac:dyDescent="0.25">
      <c r="E111"/>
      <c r="F111"/>
      <c r="N111"/>
      <c r="O111"/>
    </row>
    <row r="112" spans="5:15" ht="13.8" x14ac:dyDescent="0.25">
      <c r="E112"/>
      <c r="F112"/>
      <c r="N112"/>
      <c r="O112"/>
    </row>
    <row r="113" spans="5:15" ht="13.8" x14ac:dyDescent="0.25">
      <c r="E113"/>
      <c r="F113"/>
      <c r="N113"/>
      <c r="O113"/>
    </row>
    <row r="114" spans="5:15" ht="13.8" x14ac:dyDescent="0.25">
      <c r="E114"/>
      <c r="F114"/>
      <c r="N114"/>
      <c r="O114"/>
    </row>
    <row r="115" spans="5:15" ht="13.8" x14ac:dyDescent="0.25">
      <c r="E115"/>
      <c r="F115"/>
      <c r="N115"/>
      <c r="O115"/>
    </row>
    <row r="116" spans="5:15" ht="13.8" x14ac:dyDescent="0.25">
      <c r="E116"/>
      <c r="F116"/>
      <c r="N116"/>
      <c r="O116"/>
    </row>
    <row r="117" spans="5:15" ht="13.8" x14ac:dyDescent="0.25">
      <c r="E117"/>
      <c r="F117"/>
      <c r="N117"/>
      <c r="O117"/>
    </row>
    <row r="118" spans="5:15" ht="13.8" x14ac:dyDescent="0.25">
      <c r="E118"/>
      <c r="F118"/>
      <c r="N118"/>
      <c r="O118"/>
    </row>
    <row r="119" spans="5:15" ht="13.8" x14ac:dyDescent="0.25">
      <c r="E119"/>
      <c r="F119"/>
      <c r="N119"/>
      <c r="O119"/>
    </row>
    <row r="120" spans="5:15" ht="13.8" x14ac:dyDescent="0.25">
      <c r="E120"/>
      <c r="F120"/>
      <c r="N120"/>
      <c r="O120"/>
    </row>
    <row r="121" spans="5:15" ht="13.8" x14ac:dyDescent="0.25">
      <c r="E121"/>
      <c r="F121"/>
      <c r="N121"/>
      <c r="O121"/>
    </row>
    <row r="122" spans="5:15" ht="13.8" x14ac:dyDescent="0.25">
      <c r="E122"/>
      <c r="F122"/>
      <c r="N122"/>
      <c r="O122"/>
    </row>
    <row r="123" spans="5:15" ht="13.8" x14ac:dyDescent="0.25">
      <c r="E123"/>
      <c r="F123"/>
      <c r="N123"/>
      <c r="O123"/>
    </row>
    <row r="124" spans="5:15" ht="13.8" x14ac:dyDescent="0.25">
      <c r="E124"/>
      <c r="F124"/>
      <c r="N124"/>
      <c r="O124"/>
    </row>
    <row r="125" spans="5:15" ht="13.8" x14ac:dyDescent="0.25">
      <c r="E125"/>
      <c r="F125"/>
      <c r="N125"/>
      <c r="O125"/>
    </row>
    <row r="126" spans="5:15" ht="13.8" x14ac:dyDescent="0.25">
      <c r="E126"/>
      <c r="F126"/>
      <c r="N126"/>
      <c r="O126"/>
    </row>
    <row r="127" spans="5:15" ht="13.8" x14ac:dyDescent="0.25">
      <c r="E127"/>
      <c r="F127"/>
      <c r="N127"/>
      <c r="O127"/>
    </row>
    <row r="128" spans="5:15" ht="13.8" x14ac:dyDescent="0.25">
      <c r="E128"/>
      <c r="F128"/>
      <c r="N128"/>
      <c r="O128"/>
    </row>
    <row r="129" spans="5:15" ht="13.8" x14ac:dyDescent="0.25">
      <c r="E129"/>
      <c r="F129"/>
      <c r="N129"/>
      <c r="O129"/>
    </row>
    <row r="130" spans="5:15" ht="13.8" x14ac:dyDescent="0.25">
      <c r="E130"/>
      <c r="F130"/>
      <c r="N130"/>
      <c r="O130"/>
    </row>
    <row r="131" spans="5:15" ht="13.8" x14ac:dyDescent="0.25">
      <c r="E131"/>
      <c r="F131"/>
      <c r="N131"/>
      <c r="O131"/>
    </row>
    <row r="132" spans="5:15" ht="13.8" x14ac:dyDescent="0.25">
      <c r="E132"/>
      <c r="F132"/>
      <c r="N132"/>
      <c r="O132"/>
    </row>
    <row r="133" spans="5:15" ht="13.8" x14ac:dyDescent="0.25">
      <c r="E133"/>
      <c r="F133"/>
      <c r="N133"/>
      <c r="O133"/>
    </row>
    <row r="134" spans="5:15" ht="13.8" x14ac:dyDescent="0.25">
      <c r="E134"/>
      <c r="F134"/>
      <c r="N134"/>
      <c r="O134"/>
    </row>
    <row r="135" spans="5:15" ht="13.8" x14ac:dyDescent="0.25">
      <c r="E135"/>
      <c r="F135"/>
      <c r="N135"/>
      <c r="O135"/>
    </row>
    <row r="136" spans="5:15" ht="13.8" x14ac:dyDescent="0.25">
      <c r="E136"/>
      <c r="F136"/>
      <c r="N136"/>
      <c r="O136"/>
    </row>
    <row r="137" spans="5:15" ht="13.8" x14ac:dyDescent="0.25">
      <c r="E137"/>
      <c r="F137"/>
      <c r="N137"/>
      <c r="O137"/>
    </row>
    <row r="138" spans="5:15" ht="13.8" x14ac:dyDescent="0.25">
      <c r="E138"/>
      <c r="F138"/>
      <c r="N138"/>
      <c r="O138"/>
    </row>
    <row r="139" spans="5:15" ht="13.8" x14ac:dyDescent="0.25">
      <c r="E139"/>
      <c r="F139"/>
      <c r="N139"/>
      <c r="O139"/>
    </row>
    <row r="140" spans="5:15" ht="13.8" x14ac:dyDescent="0.25">
      <c r="E140"/>
      <c r="F140"/>
      <c r="N140"/>
      <c r="O140"/>
    </row>
    <row r="141" spans="5:15" ht="13.8" x14ac:dyDescent="0.25">
      <c r="E141"/>
      <c r="F141"/>
      <c r="N141"/>
      <c r="O141"/>
    </row>
    <row r="142" spans="5:15" ht="13.8" x14ac:dyDescent="0.25">
      <c r="E142"/>
      <c r="F142"/>
      <c r="N142"/>
      <c r="O142"/>
    </row>
    <row r="143" spans="5:15" ht="13.8" x14ac:dyDescent="0.25">
      <c r="E143"/>
      <c r="F143"/>
      <c r="N143"/>
      <c r="O143"/>
    </row>
    <row r="144" spans="5:15" ht="13.8" x14ac:dyDescent="0.25">
      <c r="E144"/>
      <c r="F144"/>
      <c r="N144"/>
      <c r="O144"/>
    </row>
    <row r="145" spans="5:15" ht="13.8" x14ac:dyDescent="0.25">
      <c r="E145"/>
      <c r="F145"/>
      <c r="N145"/>
      <c r="O145"/>
    </row>
    <row r="146" spans="5:15" ht="13.8" x14ac:dyDescent="0.25">
      <c r="E146"/>
      <c r="F146"/>
      <c r="N146"/>
      <c r="O146"/>
    </row>
    <row r="147" spans="5:15" ht="13.8" x14ac:dyDescent="0.25">
      <c r="E147"/>
      <c r="F147"/>
      <c r="N147"/>
      <c r="O147"/>
    </row>
    <row r="148" spans="5:15" ht="13.8" x14ac:dyDescent="0.25">
      <c r="E148"/>
      <c r="F148"/>
      <c r="N148"/>
      <c r="O148"/>
    </row>
    <row r="149" spans="5:15" ht="13.8" x14ac:dyDescent="0.25">
      <c r="E149"/>
      <c r="F149"/>
      <c r="N149"/>
      <c r="O149"/>
    </row>
    <row r="150" spans="5:15" ht="13.8" x14ac:dyDescent="0.25">
      <c r="E150"/>
      <c r="F150"/>
      <c r="N150"/>
      <c r="O150"/>
    </row>
    <row r="151" spans="5:15" ht="13.8" x14ac:dyDescent="0.25">
      <c r="E151"/>
      <c r="F151"/>
      <c r="N151"/>
      <c r="O151"/>
    </row>
    <row r="152" spans="5:15" ht="13.8" x14ac:dyDescent="0.25">
      <c r="E152"/>
      <c r="F152"/>
      <c r="N152"/>
      <c r="O152"/>
    </row>
    <row r="153" spans="5:15" ht="13.8" x14ac:dyDescent="0.25">
      <c r="E153"/>
      <c r="F153"/>
      <c r="N153"/>
      <c r="O153"/>
    </row>
    <row r="154" spans="5:15" ht="13.8" x14ac:dyDescent="0.25">
      <c r="E154"/>
      <c r="F154"/>
      <c r="N154"/>
      <c r="O154"/>
    </row>
    <row r="155" spans="5:15" ht="13.8" x14ac:dyDescent="0.25">
      <c r="E155"/>
      <c r="F155"/>
      <c r="N155"/>
      <c r="O155"/>
    </row>
    <row r="156" spans="5:15" ht="13.8" x14ac:dyDescent="0.25">
      <c r="E156"/>
      <c r="F156"/>
      <c r="N156"/>
      <c r="O156"/>
    </row>
    <row r="157" spans="5:15" ht="13.8" x14ac:dyDescent="0.25">
      <c r="E157"/>
      <c r="F157"/>
      <c r="N157"/>
      <c r="O157"/>
    </row>
    <row r="158" spans="5:15" ht="13.8" x14ac:dyDescent="0.25">
      <c r="E158"/>
      <c r="F158"/>
      <c r="N158"/>
      <c r="O158"/>
    </row>
    <row r="159" spans="5:15" ht="13.8" x14ac:dyDescent="0.25">
      <c r="E159"/>
      <c r="F159"/>
      <c r="N159"/>
      <c r="O159"/>
    </row>
    <row r="160" spans="5:15" ht="13.8" x14ac:dyDescent="0.25">
      <c r="E160"/>
      <c r="F160"/>
      <c r="N160"/>
      <c r="O160"/>
    </row>
    <row r="161" spans="5:15" ht="13.8" x14ac:dyDescent="0.25">
      <c r="E161"/>
      <c r="F161"/>
      <c r="N161"/>
      <c r="O161"/>
    </row>
    <row r="162" spans="5:15" ht="13.8" x14ac:dyDescent="0.25">
      <c r="E162"/>
      <c r="F162"/>
      <c r="N162"/>
      <c r="O162"/>
    </row>
    <row r="163" spans="5:15" ht="13.8" x14ac:dyDescent="0.25">
      <c r="E163"/>
      <c r="F163"/>
      <c r="N163"/>
      <c r="O163"/>
    </row>
    <row r="164" spans="5:15" ht="13.8" x14ac:dyDescent="0.25">
      <c r="E164"/>
      <c r="F164"/>
      <c r="N164"/>
      <c r="O164"/>
    </row>
    <row r="165" spans="5:15" ht="13.8" x14ac:dyDescent="0.25">
      <c r="E165"/>
      <c r="F165"/>
      <c r="N165"/>
      <c r="O165"/>
    </row>
    <row r="166" spans="5:15" ht="13.8" x14ac:dyDescent="0.25">
      <c r="E166"/>
      <c r="F166"/>
      <c r="N166"/>
      <c r="O166"/>
    </row>
    <row r="167" spans="5:15" ht="13.8" x14ac:dyDescent="0.25">
      <c r="E167"/>
      <c r="F167"/>
      <c r="N167"/>
      <c r="O167"/>
    </row>
    <row r="168" spans="5:15" ht="13.8" x14ac:dyDescent="0.25">
      <c r="E168"/>
      <c r="F168"/>
      <c r="N168"/>
      <c r="O168"/>
    </row>
    <row r="169" spans="5:15" ht="13.8" x14ac:dyDescent="0.25">
      <c r="E169"/>
      <c r="F169"/>
      <c r="N169"/>
      <c r="O169"/>
    </row>
    <row r="170" spans="5:15" ht="13.8" x14ac:dyDescent="0.25">
      <c r="E170"/>
      <c r="F170"/>
      <c r="N170"/>
      <c r="O170"/>
    </row>
    <row r="171" spans="5:15" ht="15" customHeight="1" x14ac:dyDescent="0.25">
      <c r="E171"/>
      <c r="F171"/>
      <c r="N171"/>
      <c r="O171"/>
    </row>
    <row r="172" spans="5:15" ht="15" customHeight="1" x14ac:dyDescent="0.25">
      <c r="E172"/>
      <c r="F172"/>
      <c r="N172"/>
      <c r="O172"/>
    </row>
    <row r="173" spans="5:15" ht="15" customHeight="1" x14ac:dyDescent="0.25">
      <c r="E173"/>
      <c r="F173"/>
      <c r="N173"/>
      <c r="O173"/>
    </row>
    <row r="174" spans="5:15" ht="15" customHeight="1" x14ac:dyDescent="0.25">
      <c r="E174"/>
      <c r="F174"/>
      <c r="N174"/>
      <c r="O174"/>
    </row>
    <row r="175" spans="5:15" ht="15" customHeight="1" x14ac:dyDescent="0.25">
      <c r="E175"/>
      <c r="F175"/>
      <c r="N175"/>
      <c r="O175"/>
    </row>
    <row r="176" spans="5:15" ht="15" customHeight="1" x14ac:dyDescent="0.25">
      <c r="E176"/>
      <c r="F176"/>
      <c r="N176"/>
      <c r="O176"/>
    </row>
    <row r="177" spans="5:15" ht="15" customHeight="1" x14ac:dyDescent="0.25">
      <c r="E177"/>
      <c r="F177"/>
      <c r="N177"/>
      <c r="O177"/>
    </row>
    <row r="178" spans="5:15" ht="15" customHeight="1" x14ac:dyDescent="0.25">
      <c r="E178"/>
      <c r="F178"/>
      <c r="N178"/>
      <c r="O178"/>
    </row>
    <row r="179" spans="5:15" ht="15" customHeight="1" x14ac:dyDescent="0.25">
      <c r="E179"/>
      <c r="F179"/>
      <c r="N179"/>
      <c r="O179"/>
    </row>
    <row r="180" spans="5:15" ht="15" customHeight="1" x14ac:dyDescent="0.25">
      <c r="E180"/>
      <c r="F180"/>
      <c r="N180"/>
      <c r="O180"/>
    </row>
    <row r="181" spans="5:15" ht="15" customHeight="1" x14ac:dyDescent="0.25">
      <c r="E181"/>
      <c r="F181"/>
      <c r="N181"/>
      <c r="O181"/>
    </row>
    <row r="182" spans="5:15" ht="15" customHeight="1" x14ac:dyDescent="0.25">
      <c r="E182"/>
      <c r="F182"/>
      <c r="N182"/>
      <c r="O182"/>
    </row>
    <row r="183" spans="5:15" ht="15" customHeight="1" x14ac:dyDescent="0.25">
      <c r="E183"/>
      <c r="F183"/>
      <c r="N183"/>
      <c r="O183"/>
    </row>
    <row r="184" spans="5:15" ht="15" customHeight="1" x14ac:dyDescent="0.25">
      <c r="E184"/>
      <c r="F184"/>
      <c r="N184"/>
      <c r="O184"/>
    </row>
    <row r="185" spans="5:15" ht="15" customHeight="1" x14ac:dyDescent="0.25">
      <c r="E185"/>
      <c r="F185"/>
      <c r="N185"/>
      <c r="O185"/>
    </row>
    <row r="186" spans="5:15" ht="15" customHeight="1" x14ac:dyDescent="0.25">
      <c r="E186"/>
      <c r="F186"/>
      <c r="N186"/>
      <c r="O186"/>
    </row>
    <row r="187" spans="5:15" ht="15" customHeight="1" x14ac:dyDescent="0.25">
      <c r="E187"/>
      <c r="F187"/>
      <c r="N187"/>
      <c r="O187"/>
    </row>
    <row r="188" spans="5:15" ht="15" customHeight="1" x14ac:dyDescent="0.25">
      <c r="E188"/>
      <c r="F188"/>
      <c r="N188"/>
      <c r="O188"/>
    </row>
    <row r="189" spans="5:15" ht="15" customHeight="1" x14ac:dyDescent="0.25">
      <c r="E189"/>
      <c r="F189"/>
      <c r="N189"/>
      <c r="O189"/>
    </row>
    <row r="190" spans="5:15" ht="15" customHeight="1" x14ac:dyDescent="0.25">
      <c r="E190"/>
      <c r="F190"/>
      <c r="N190"/>
      <c r="O190"/>
    </row>
    <row r="191" spans="5:15" ht="15" customHeight="1" x14ac:dyDescent="0.25">
      <c r="E191"/>
      <c r="F191"/>
      <c r="N191"/>
      <c r="O191"/>
    </row>
    <row r="192" spans="5:15" ht="15" customHeight="1" x14ac:dyDescent="0.25">
      <c r="E192"/>
      <c r="F192"/>
      <c r="N192"/>
      <c r="O192"/>
    </row>
    <row r="193" spans="5:15" ht="15" customHeight="1" x14ac:dyDescent="0.25">
      <c r="E193"/>
      <c r="F193"/>
      <c r="N193"/>
      <c r="O193"/>
    </row>
    <row r="194" spans="5:15" ht="15" customHeight="1" x14ac:dyDescent="0.25">
      <c r="E194"/>
      <c r="F194"/>
      <c r="N194"/>
      <c r="O194"/>
    </row>
    <row r="195" spans="5:15" ht="15" customHeight="1" x14ac:dyDescent="0.25">
      <c r="E195"/>
      <c r="F195"/>
      <c r="N195"/>
      <c r="O195"/>
    </row>
    <row r="196" spans="5:15" ht="15" customHeight="1" x14ac:dyDescent="0.25">
      <c r="E196"/>
      <c r="F196"/>
      <c r="N196"/>
      <c r="O196"/>
    </row>
    <row r="197" spans="5:15" ht="15" customHeight="1" x14ac:dyDescent="0.25">
      <c r="E197"/>
      <c r="F197"/>
      <c r="N197"/>
      <c r="O197"/>
    </row>
    <row r="198" spans="5:15" ht="15" customHeight="1" x14ac:dyDescent="0.25">
      <c r="E198"/>
      <c r="F198"/>
      <c r="N198"/>
      <c r="O198"/>
    </row>
    <row r="199" spans="5:15" ht="15" customHeight="1" x14ac:dyDescent="0.25">
      <c r="E199"/>
      <c r="F199"/>
      <c r="N199"/>
      <c r="O199"/>
    </row>
    <row r="200" spans="5:15" ht="15" customHeight="1" x14ac:dyDescent="0.25">
      <c r="E200"/>
      <c r="F200"/>
      <c r="N200"/>
      <c r="O200"/>
    </row>
    <row r="201" spans="5:15" ht="15" customHeight="1" x14ac:dyDescent="0.25">
      <c r="E201"/>
      <c r="F201"/>
      <c r="N201"/>
      <c r="O201"/>
    </row>
    <row r="202" spans="5:15" ht="15" customHeight="1" x14ac:dyDescent="0.25">
      <c r="E202"/>
      <c r="F202"/>
      <c r="N202"/>
      <c r="O202"/>
    </row>
    <row r="203" spans="5:15" ht="15" customHeight="1" x14ac:dyDescent="0.25">
      <c r="E203"/>
      <c r="F203"/>
      <c r="N203"/>
      <c r="O203"/>
    </row>
    <row r="204" spans="5:15" ht="15" customHeight="1" x14ac:dyDescent="0.25">
      <c r="E204"/>
      <c r="F204"/>
      <c r="N204"/>
      <c r="O204"/>
    </row>
    <row r="205" spans="5:15" ht="15" customHeight="1" x14ac:dyDescent="0.25">
      <c r="E205"/>
      <c r="F205"/>
      <c r="N205"/>
      <c r="O205"/>
    </row>
    <row r="206" spans="5:15" ht="15" customHeight="1" x14ac:dyDescent="0.25">
      <c r="E206"/>
      <c r="F206"/>
      <c r="N206"/>
      <c r="O206"/>
    </row>
    <row r="207" spans="5:15" ht="15" customHeight="1" x14ac:dyDescent="0.25">
      <c r="E207"/>
      <c r="F207"/>
      <c r="N207"/>
      <c r="O207"/>
    </row>
    <row r="208" spans="5:15" ht="15" customHeight="1" x14ac:dyDescent="0.25">
      <c r="E208"/>
      <c r="F208"/>
      <c r="N208"/>
      <c r="O208"/>
    </row>
    <row r="209" spans="5:15" ht="15" customHeight="1" x14ac:dyDescent="0.25">
      <c r="E209"/>
      <c r="F209"/>
      <c r="N209"/>
      <c r="O209"/>
    </row>
    <row r="210" spans="5:15" ht="15" customHeight="1" x14ac:dyDescent="0.25">
      <c r="E210"/>
      <c r="F210"/>
      <c r="N210"/>
      <c r="O210"/>
    </row>
    <row r="211" spans="5:15" ht="15" customHeight="1" x14ac:dyDescent="0.25">
      <c r="E211"/>
      <c r="F211"/>
      <c r="N211"/>
      <c r="O211"/>
    </row>
    <row r="212" spans="5:15" ht="15" customHeight="1" x14ac:dyDescent="0.25">
      <c r="E212"/>
      <c r="F212"/>
      <c r="N212"/>
      <c r="O212"/>
    </row>
    <row r="213" spans="5:15" ht="15" customHeight="1" x14ac:dyDescent="0.25">
      <c r="E213"/>
      <c r="F213"/>
      <c r="N213"/>
      <c r="O213"/>
    </row>
    <row r="214" spans="5:15" ht="15" customHeight="1" x14ac:dyDescent="0.25">
      <c r="E214"/>
      <c r="F214"/>
      <c r="N214"/>
      <c r="O214"/>
    </row>
    <row r="215" spans="5:15" ht="15" customHeight="1" x14ac:dyDescent="0.25">
      <c r="E215"/>
      <c r="F215"/>
      <c r="N215"/>
      <c r="O215"/>
    </row>
    <row r="216" spans="5:15" ht="15" customHeight="1" x14ac:dyDescent="0.25">
      <c r="E216"/>
      <c r="F216"/>
      <c r="N216"/>
      <c r="O216"/>
    </row>
    <row r="217" spans="5:15" ht="15" customHeight="1" x14ac:dyDescent="0.25">
      <c r="E217"/>
      <c r="F217"/>
      <c r="N217"/>
      <c r="O217"/>
    </row>
    <row r="218" spans="5:15" ht="15" customHeight="1" x14ac:dyDescent="0.25">
      <c r="E218"/>
      <c r="F218"/>
      <c r="N218"/>
      <c r="O218"/>
    </row>
    <row r="219" spans="5:15" ht="15" customHeight="1" x14ac:dyDescent="0.25">
      <c r="E219"/>
      <c r="F219"/>
      <c r="N219"/>
      <c r="O219"/>
    </row>
    <row r="220" spans="5:15" ht="15" customHeight="1" x14ac:dyDescent="0.25">
      <c r="E220"/>
      <c r="F220"/>
      <c r="N220"/>
      <c r="O220"/>
    </row>
    <row r="221" spans="5:15" ht="15" customHeight="1" x14ac:dyDescent="0.25">
      <c r="E221"/>
      <c r="F221"/>
      <c r="N221"/>
      <c r="O221"/>
    </row>
    <row r="222" spans="5:15" ht="15" customHeight="1" x14ac:dyDescent="0.25">
      <c r="E222"/>
      <c r="F222"/>
      <c r="N222"/>
      <c r="O222"/>
    </row>
    <row r="223" spans="5:15" ht="15" customHeight="1" x14ac:dyDescent="0.25">
      <c r="E223"/>
      <c r="F223"/>
      <c r="N223"/>
      <c r="O223"/>
    </row>
    <row r="224" spans="5:15" ht="15" customHeight="1" x14ac:dyDescent="0.25">
      <c r="E224"/>
      <c r="F224"/>
      <c r="N224"/>
      <c r="O224"/>
    </row>
    <row r="225" spans="5:15" ht="15" customHeight="1" x14ac:dyDescent="0.25">
      <c r="E225"/>
      <c r="F225"/>
      <c r="N225"/>
      <c r="O225"/>
    </row>
    <row r="226" spans="5:15" ht="15" customHeight="1" x14ac:dyDescent="0.25">
      <c r="E226" s="642"/>
      <c r="N226"/>
      <c r="O226"/>
    </row>
    <row r="227" spans="5:15" ht="15" customHeight="1" x14ac:dyDescent="0.25">
      <c r="E227" s="642"/>
      <c r="N227"/>
      <c r="O227"/>
    </row>
    <row r="228" spans="5:15" ht="15" customHeight="1" x14ac:dyDescent="0.25">
      <c r="E228" s="642"/>
      <c r="N228"/>
      <c r="O228"/>
    </row>
    <row r="229" spans="5:15" ht="15" customHeight="1" x14ac:dyDescent="0.25">
      <c r="E229" s="642"/>
      <c r="N229"/>
      <c r="O229"/>
    </row>
    <row r="230" spans="5:15" ht="15" customHeight="1" x14ac:dyDescent="0.25">
      <c r="E230" s="642"/>
      <c r="N230"/>
      <c r="O230"/>
    </row>
    <row r="231" spans="5:15" ht="15" customHeight="1" x14ac:dyDescent="0.25">
      <c r="E231" s="642"/>
      <c r="N231"/>
      <c r="O231"/>
    </row>
    <row r="232" spans="5:15" ht="15" customHeight="1" x14ac:dyDescent="0.25">
      <c r="E232" s="642"/>
      <c r="N232"/>
      <c r="O232"/>
    </row>
    <row r="233" spans="5:15" ht="15" customHeight="1" x14ac:dyDescent="0.25">
      <c r="E233" s="642"/>
      <c r="N233"/>
      <c r="O233"/>
    </row>
    <row r="234" spans="5:15" ht="15" customHeight="1" x14ac:dyDescent="0.25">
      <c r="E234" s="642"/>
      <c r="N234"/>
      <c r="O234"/>
    </row>
    <row r="235" spans="5:15" ht="15" customHeight="1" x14ac:dyDescent="0.25">
      <c r="E235" s="642"/>
      <c r="N235"/>
      <c r="O235"/>
    </row>
    <row r="236" spans="5:15" ht="15" customHeight="1" x14ac:dyDescent="0.25">
      <c r="E236" s="642"/>
      <c r="N236"/>
      <c r="O236"/>
    </row>
    <row r="237" spans="5:15" ht="15" customHeight="1" x14ac:dyDescent="0.25">
      <c r="E237" s="642"/>
      <c r="N237"/>
      <c r="O237"/>
    </row>
    <row r="238" spans="5:15" ht="15" customHeight="1" x14ac:dyDescent="0.25">
      <c r="E238" s="642"/>
      <c r="N238"/>
      <c r="O238"/>
    </row>
    <row r="239" spans="5:15" ht="15" customHeight="1" x14ac:dyDescent="0.25">
      <c r="E239" s="642"/>
      <c r="N239"/>
      <c r="O239"/>
    </row>
    <row r="240" spans="5:15" ht="15" customHeight="1" x14ac:dyDescent="0.25">
      <c r="E240" s="642"/>
      <c r="N240"/>
      <c r="O240"/>
    </row>
    <row r="241" spans="5:15" ht="15" customHeight="1" x14ac:dyDescent="0.25">
      <c r="E241" s="642"/>
      <c r="N241"/>
      <c r="O241"/>
    </row>
    <row r="242" spans="5:15" ht="15" customHeight="1" x14ac:dyDescent="0.25">
      <c r="E242" s="642"/>
      <c r="N242"/>
      <c r="O242"/>
    </row>
    <row r="243" spans="5:15" ht="15" customHeight="1" x14ac:dyDescent="0.25">
      <c r="E243" s="642"/>
      <c r="N243"/>
      <c r="O243"/>
    </row>
    <row r="244" spans="5:15" ht="15" customHeight="1" x14ac:dyDescent="0.25">
      <c r="E244" s="642"/>
      <c r="N244"/>
      <c r="O244"/>
    </row>
    <row r="245" spans="5:15" ht="15" customHeight="1" x14ac:dyDescent="0.25">
      <c r="E245" s="642"/>
      <c r="N245"/>
      <c r="O245"/>
    </row>
    <row r="246" spans="5:15" ht="15" customHeight="1" x14ac:dyDescent="0.25">
      <c r="E246" s="642"/>
      <c r="N246"/>
      <c r="O246"/>
    </row>
    <row r="247" spans="5:15" ht="15" customHeight="1" x14ac:dyDescent="0.25">
      <c r="E247" s="642"/>
    </row>
    <row r="248" spans="5:15" ht="15" customHeight="1" x14ac:dyDescent="0.25">
      <c r="E248" s="642"/>
    </row>
    <row r="249" spans="5:15" ht="15" customHeight="1" x14ac:dyDescent="0.25">
      <c r="E249" s="642"/>
    </row>
    <row r="250" spans="5:15" ht="15" customHeight="1" x14ac:dyDescent="0.25">
      <c r="E250" s="642"/>
    </row>
    <row r="251" spans="5:15" ht="15" customHeight="1" x14ac:dyDescent="0.25">
      <c r="E251" s="642"/>
    </row>
    <row r="252" spans="5:15" ht="15" customHeight="1" x14ac:dyDescent="0.25">
      <c r="E252" s="642"/>
    </row>
    <row r="253" spans="5:15" ht="15" customHeight="1" x14ac:dyDescent="0.25">
      <c r="E253" s="642"/>
    </row>
    <row r="254" spans="5:15" ht="15" customHeight="1" x14ac:dyDescent="0.25">
      <c r="E254" s="642"/>
    </row>
    <row r="255" spans="5:15" ht="15" customHeight="1" x14ac:dyDescent="0.25">
      <c r="E255" s="642"/>
    </row>
    <row r="256" spans="5:15" ht="15" customHeight="1" x14ac:dyDescent="0.25">
      <c r="E256" s="642"/>
    </row>
    <row r="257" spans="5:5" ht="15" customHeight="1" x14ac:dyDescent="0.25">
      <c r="E257" s="642"/>
    </row>
    <row r="258" spans="5:5" ht="15" customHeight="1" x14ac:dyDescent="0.25">
      <c r="E258" s="642"/>
    </row>
    <row r="259" spans="5:5" ht="15" customHeight="1" x14ac:dyDescent="0.25">
      <c r="E259" s="642"/>
    </row>
    <row r="260" spans="5:5" ht="15" customHeight="1" x14ac:dyDescent="0.25">
      <c r="E260" s="642"/>
    </row>
    <row r="261" spans="5:5" ht="15" customHeight="1" x14ac:dyDescent="0.25">
      <c r="E261" s="642"/>
    </row>
    <row r="262" spans="5:5" ht="15" customHeight="1" x14ac:dyDescent="0.25">
      <c r="E262" s="642"/>
    </row>
    <row r="263" spans="5:5" ht="15" customHeight="1" x14ac:dyDescent="0.25">
      <c r="E263" s="642"/>
    </row>
    <row r="264" spans="5:5" ht="15" customHeight="1" x14ac:dyDescent="0.25">
      <c r="E264" s="642"/>
    </row>
    <row r="265" spans="5:5" ht="15" customHeight="1" x14ac:dyDescent="0.25">
      <c r="E265" s="642"/>
    </row>
    <row r="266" spans="5:5" ht="15" customHeight="1" x14ac:dyDescent="0.25">
      <c r="E266" s="642"/>
    </row>
    <row r="267" spans="5:5" ht="15" customHeight="1" x14ac:dyDescent="0.25">
      <c r="E267" s="642"/>
    </row>
    <row r="268" spans="5:5" ht="15" customHeight="1" x14ac:dyDescent="0.25">
      <c r="E268" s="642"/>
    </row>
    <row r="269" spans="5:5" ht="15" customHeight="1" x14ac:dyDescent="0.25">
      <c r="E269" s="642"/>
    </row>
    <row r="270" spans="5:5" ht="15" customHeight="1" x14ac:dyDescent="0.25">
      <c r="E270" s="642"/>
    </row>
    <row r="271" spans="5:5" ht="15" customHeight="1" x14ac:dyDescent="0.25">
      <c r="E271" s="642"/>
    </row>
    <row r="272" spans="5:5" ht="15" customHeight="1" x14ac:dyDescent="0.25">
      <c r="E272" s="642"/>
    </row>
    <row r="273" spans="5:5" ht="15" customHeight="1" x14ac:dyDescent="0.25">
      <c r="E273" s="642"/>
    </row>
    <row r="274" spans="5:5" ht="15" customHeight="1" x14ac:dyDescent="0.25">
      <c r="E274" s="642"/>
    </row>
    <row r="275" spans="5:5" ht="15" customHeight="1" x14ac:dyDescent="0.25">
      <c r="E275" s="642"/>
    </row>
    <row r="276" spans="5:5" ht="15" customHeight="1" x14ac:dyDescent="0.25">
      <c r="E276" s="642"/>
    </row>
    <row r="277" spans="5:5" ht="15" customHeight="1" x14ac:dyDescent="0.25">
      <c r="E277" s="642"/>
    </row>
    <row r="278" spans="5:5" ht="15" customHeight="1" x14ac:dyDescent="0.25">
      <c r="E278" s="642"/>
    </row>
    <row r="279" spans="5:5" ht="15" customHeight="1" x14ac:dyDescent="0.25">
      <c r="E279" s="642"/>
    </row>
    <row r="280" spans="5:5" ht="15" customHeight="1" x14ac:dyDescent="0.25">
      <c r="E280" s="642"/>
    </row>
    <row r="281" spans="5:5" ht="15" customHeight="1" x14ac:dyDescent="0.25">
      <c r="E281" s="642"/>
    </row>
    <row r="282" spans="5:5" ht="15" customHeight="1" x14ac:dyDescent="0.25">
      <c r="E282" s="642"/>
    </row>
    <row r="283" spans="5:5" ht="15" customHeight="1" x14ac:dyDescent="0.25">
      <c r="E283" s="642"/>
    </row>
    <row r="284" spans="5:5" ht="15" customHeight="1" x14ac:dyDescent="0.25">
      <c r="E284" s="642"/>
    </row>
    <row r="285" spans="5:5" ht="15" customHeight="1" x14ac:dyDescent="0.25">
      <c r="E285" s="642"/>
    </row>
    <row r="286" spans="5:5" ht="15" customHeight="1" x14ac:dyDescent="0.25">
      <c r="E286" s="642"/>
    </row>
    <row r="287" spans="5:5" ht="15" customHeight="1" x14ac:dyDescent="0.25">
      <c r="E287" s="642"/>
    </row>
    <row r="288" spans="5:5" ht="15" customHeight="1" x14ac:dyDescent="0.25">
      <c r="E288" s="642"/>
    </row>
    <row r="289" spans="5:5" ht="15" customHeight="1" x14ac:dyDescent="0.25">
      <c r="E289" s="642"/>
    </row>
    <row r="290" spans="5:5" ht="15" customHeight="1" x14ac:dyDescent="0.25">
      <c r="E290" s="642"/>
    </row>
    <row r="291" spans="5:5" ht="15" customHeight="1" x14ac:dyDescent="0.25">
      <c r="E291" s="642"/>
    </row>
    <row r="292" spans="5:5" ht="15" customHeight="1" x14ac:dyDescent="0.25">
      <c r="E292" s="642"/>
    </row>
    <row r="293" spans="5:5" ht="15" customHeight="1" x14ac:dyDescent="0.25">
      <c r="E293" s="642"/>
    </row>
    <row r="294" spans="5:5" ht="15" customHeight="1" x14ac:dyDescent="0.25">
      <c r="E294" s="642"/>
    </row>
    <row r="295" spans="5:5" ht="15" customHeight="1" x14ac:dyDescent="0.25">
      <c r="E295" s="642"/>
    </row>
    <row r="296" spans="5:5" ht="15" customHeight="1" x14ac:dyDescent="0.25">
      <c r="E296" s="642"/>
    </row>
    <row r="297" spans="5:5" ht="15" customHeight="1" x14ac:dyDescent="0.25">
      <c r="E297" s="642"/>
    </row>
    <row r="298" spans="5:5" ht="15" customHeight="1" x14ac:dyDescent="0.25">
      <c r="E298" s="642"/>
    </row>
    <row r="299" spans="5:5" ht="15" customHeight="1" x14ac:dyDescent="0.25">
      <c r="E299" s="642"/>
    </row>
    <row r="300" spans="5:5" ht="15" customHeight="1" x14ac:dyDescent="0.25">
      <c r="E300" s="642"/>
    </row>
    <row r="301" spans="5:5" ht="15" customHeight="1" x14ac:dyDescent="0.25">
      <c r="E301" s="642"/>
    </row>
    <row r="302" spans="5:5" ht="15" customHeight="1" x14ac:dyDescent="0.25">
      <c r="E302" s="642"/>
    </row>
    <row r="303" spans="5:5" ht="15" customHeight="1" x14ac:dyDescent="0.25">
      <c r="E303" s="642"/>
    </row>
    <row r="304" spans="5:5" ht="15" customHeight="1" x14ac:dyDescent="0.25">
      <c r="E304" s="642"/>
    </row>
    <row r="305" spans="5:5" ht="15" customHeight="1" x14ac:dyDescent="0.25">
      <c r="E305" s="642"/>
    </row>
    <row r="306" spans="5:5" ht="15" customHeight="1" x14ac:dyDescent="0.25">
      <c r="E306" s="642"/>
    </row>
    <row r="307" spans="5:5" ht="15" customHeight="1" x14ac:dyDescent="0.25">
      <c r="E307" s="642"/>
    </row>
    <row r="308" spans="5:5" ht="15" customHeight="1" x14ac:dyDescent="0.25">
      <c r="E308" s="642"/>
    </row>
    <row r="309" spans="5:5" ht="15" customHeight="1" x14ac:dyDescent="0.25">
      <c r="E309" s="642"/>
    </row>
    <row r="310" spans="5:5" ht="15" customHeight="1" x14ac:dyDescent="0.25">
      <c r="E310" s="642"/>
    </row>
    <row r="311" spans="5:5" ht="15" customHeight="1" x14ac:dyDescent="0.25">
      <c r="E311" s="642"/>
    </row>
    <row r="312" spans="5:5" ht="15" customHeight="1" x14ac:dyDescent="0.25">
      <c r="E312" s="642"/>
    </row>
    <row r="313" spans="5:5" ht="15" customHeight="1" x14ac:dyDescent="0.25">
      <c r="E313" s="642"/>
    </row>
    <row r="314" spans="5:5" ht="15" customHeight="1" x14ac:dyDescent="0.25">
      <c r="E314" s="642"/>
    </row>
    <row r="315" spans="5:5" ht="15" customHeight="1" x14ac:dyDescent="0.25">
      <c r="E315" s="642"/>
    </row>
    <row r="316" spans="5:5" ht="15" customHeight="1" x14ac:dyDescent="0.25">
      <c r="E316" s="642"/>
    </row>
    <row r="317" spans="5:5" ht="15" customHeight="1" x14ac:dyDescent="0.25">
      <c r="E317" s="642"/>
    </row>
    <row r="318" spans="5:5" ht="15" customHeight="1" x14ac:dyDescent="0.25">
      <c r="E318" s="642"/>
    </row>
    <row r="319" spans="5:5" ht="15" customHeight="1" x14ac:dyDescent="0.25">
      <c r="E319" s="642"/>
    </row>
    <row r="320" spans="5:5" ht="15" customHeight="1" x14ac:dyDescent="0.25">
      <c r="E320" s="642"/>
    </row>
    <row r="321" spans="5:5" ht="15" customHeight="1" x14ac:dyDescent="0.25">
      <c r="E321" s="642"/>
    </row>
    <row r="322" spans="5:5" ht="15" customHeight="1" x14ac:dyDescent="0.25">
      <c r="E322" s="642"/>
    </row>
    <row r="323" spans="5:5" ht="15" customHeight="1" x14ac:dyDescent="0.25">
      <c r="E323" s="642"/>
    </row>
    <row r="324" spans="5:5" ht="15" customHeight="1" x14ac:dyDescent="0.25">
      <c r="E324" s="642"/>
    </row>
    <row r="325" spans="5:5" ht="15" customHeight="1" x14ac:dyDescent="0.25">
      <c r="E325" s="642"/>
    </row>
    <row r="326" spans="5:5" ht="15" customHeight="1" x14ac:dyDescent="0.25">
      <c r="E326" s="642"/>
    </row>
    <row r="327" spans="5:5" ht="15" customHeight="1" x14ac:dyDescent="0.25">
      <c r="E327" s="642"/>
    </row>
    <row r="328" spans="5:5" ht="15" customHeight="1" x14ac:dyDescent="0.25">
      <c r="E328" s="642"/>
    </row>
    <row r="329" spans="5:5" ht="15" customHeight="1" x14ac:dyDescent="0.25">
      <c r="E329" s="642"/>
    </row>
    <row r="330" spans="5:5" ht="15" customHeight="1" x14ac:dyDescent="0.25">
      <c r="E330" s="642"/>
    </row>
    <row r="331" spans="5:5" ht="15" customHeight="1" x14ac:dyDescent="0.25">
      <c r="E331" s="642"/>
    </row>
    <row r="332" spans="5:5" ht="15" customHeight="1" x14ac:dyDescent="0.25">
      <c r="E332" s="642"/>
    </row>
    <row r="333" spans="5:5" ht="15" customHeight="1" x14ac:dyDescent="0.25">
      <c r="E333" s="642"/>
    </row>
    <row r="334" spans="5:5" ht="15" customHeight="1" x14ac:dyDescent="0.25">
      <c r="E334" s="642"/>
    </row>
    <row r="335" spans="5:5" ht="15" customHeight="1" x14ac:dyDescent="0.25">
      <c r="E335" s="642"/>
    </row>
    <row r="336" spans="5:5" ht="15" customHeight="1" x14ac:dyDescent="0.25">
      <c r="E336" s="642"/>
    </row>
    <row r="337" spans="5:5" ht="15" customHeight="1" x14ac:dyDescent="0.25">
      <c r="E337" s="642"/>
    </row>
    <row r="338" spans="5:5" ht="15" customHeight="1" x14ac:dyDescent="0.25">
      <c r="E338" s="642"/>
    </row>
    <row r="339" spans="5:5" ht="15" customHeight="1" x14ac:dyDescent="0.25">
      <c r="E339" s="642"/>
    </row>
    <row r="340" spans="5:5" ht="15" customHeight="1" x14ac:dyDescent="0.25">
      <c r="E340" s="642"/>
    </row>
    <row r="341" spans="5:5" ht="15" customHeight="1" x14ac:dyDescent="0.25">
      <c r="E341" s="642"/>
    </row>
    <row r="342" spans="5:5" ht="15" customHeight="1" x14ac:dyDescent="0.25">
      <c r="E342" s="642"/>
    </row>
    <row r="343" spans="5:5" ht="15" customHeight="1" x14ac:dyDescent="0.25">
      <c r="E343" s="642"/>
    </row>
    <row r="344" spans="5:5" ht="15" customHeight="1" x14ac:dyDescent="0.25">
      <c r="E344" s="642"/>
    </row>
    <row r="345" spans="5:5" ht="15" customHeight="1" x14ac:dyDescent="0.25">
      <c r="E345" s="642"/>
    </row>
    <row r="346" spans="5:5" ht="15" customHeight="1" x14ac:dyDescent="0.25">
      <c r="E346" s="642"/>
    </row>
    <row r="347" spans="5:5" ht="15" customHeight="1" x14ac:dyDescent="0.25">
      <c r="E347" s="642"/>
    </row>
    <row r="348" spans="5:5" ht="15" customHeight="1" x14ac:dyDescent="0.25">
      <c r="E348" s="642"/>
    </row>
    <row r="349" spans="5:5" ht="15" customHeight="1" x14ac:dyDescent="0.25">
      <c r="E349" s="642"/>
    </row>
    <row r="350" spans="5:5" ht="15" customHeight="1" x14ac:dyDescent="0.25">
      <c r="E350" s="642"/>
    </row>
    <row r="351" spans="5:5" ht="15" customHeight="1" x14ac:dyDescent="0.25">
      <c r="E351" s="642"/>
    </row>
    <row r="352" spans="5:5" ht="15" customHeight="1" x14ac:dyDescent="0.25">
      <c r="E352" s="642"/>
    </row>
    <row r="353" spans="5:5" ht="15" customHeight="1" x14ac:dyDescent="0.25">
      <c r="E353" s="642"/>
    </row>
    <row r="354" spans="5:5" ht="15" customHeight="1" x14ac:dyDescent="0.25">
      <c r="E354" s="642"/>
    </row>
    <row r="355" spans="5:5" ht="15" customHeight="1" x14ac:dyDescent="0.25">
      <c r="E355" s="642"/>
    </row>
    <row r="356" spans="5:5" ht="15" customHeight="1" x14ac:dyDescent="0.25">
      <c r="E356" s="642"/>
    </row>
    <row r="357" spans="5:5" ht="15" customHeight="1" x14ac:dyDescent="0.25">
      <c r="E357" s="642"/>
    </row>
    <row r="358" spans="5:5" ht="15" customHeight="1" x14ac:dyDescent="0.25">
      <c r="E358" s="642"/>
    </row>
    <row r="359" spans="5:5" ht="15" customHeight="1" x14ac:dyDescent="0.25">
      <c r="E359" s="642"/>
    </row>
    <row r="360" spans="5:5" ht="15" customHeight="1" x14ac:dyDescent="0.25">
      <c r="E360" s="642"/>
    </row>
    <row r="361" spans="5:5" ht="15" customHeight="1" x14ac:dyDescent="0.25">
      <c r="E361" s="642"/>
    </row>
    <row r="362" spans="5:5" ht="15" customHeight="1" x14ac:dyDescent="0.25">
      <c r="E362" s="642"/>
    </row>
    <row r="363" spans="5:5" ht="15" customHeight="1" x14ac:dyDescent="0.25">
      <c r="E363" s="642"/>
    </row>
    <row r="364" spans="5:5" ht="15" customHeight="1" x14ac:dyDescent="0.25">
      <c r="E364" s="642"/>
    </row>
    <row r="365" spans="5:5" ht="15" customHeight="1" x14ac:dyDescent="0.25">
      <c r="E365" s="642"/>
    </row>
    <row r="366" spans="5:5" ht="15" customHeight="1" x14ac:dyDescent="0.25">
      <c r="E366" s="642"/>
    </row>
    <row r="367" spans="5:5" ht="15" customHeight="1" x14ac:dyDescent="0.25">
      <c r="E367" s="642"/>
    </row>
    <row r="368" spans="5:5" ht="15" customHeight="1" x14ac:dyDescent="0.25">
      <c r="E368" s="642"/>
    </row>
    <row r="369" spans="5:5" ht="15" customHeight="1" x14ac:dyDescent="0.25">
      <c r="E369" s="642"/>
    </row>
    <row r="370" spans="5:5" ht="15" customHeight="1" x14ac:dyDescent="0.25">
      <c r="E370" s="642"/>
    </row>
    <row r="371" spans="5:5" ht="15" customHeight="1" x14ac:dyDescent="0.25">
      <c r="E371" s="642"/>
    </row>
    <row r="372" spans="5:5" ht="15" customHeight="1" x14ac:dyDescent="0.25">
      <c r="E372" s="642"/>
    </row>
    <row r="373" spans="5:5" ht="15" customHeight="1" x14ac:dyDescent="0.25">
      <c r="E373" s="642"/>
    </row>
    <row r="374" spans="5:5" ht="15" customHeight="1" x14ac:dyDescent="0.25">
      <c r="E374" s="642"/>
    </row>
    <row r="375" spans="5:5" ht="15" customHeight="1" x14ac:dyDescent="0.25">
      <c r="E375" s="642"/>
    </row>
    <row r="376" spans="5:5" ht="15" customHeight="1" x14ac:dyDescent="0.25">
      <c r="E376" s="642"/>
    </row>
    <row r="377" spans="5:5" ht="15" customHeight="1" x14ac:dyDescent="0.25">
      <c r="E377" s="642"/>
    </row>
    <row r="378" spans="5:5" ht="15" customHeight="1" x14ac:dyDescent="0.25">
      <c r="E378" s="642"/>
    </row>
    <row r="379" spans="5:5" ht="15" customHeight="1" x14ac:dyDescent="0.25">
      <c r="E379" s="642"/>
    </row>
    <row r="380" spans="5:5" ht="15" customHeight="1" x14ac:dyDescent="0.25">
      <c r="E380" s="642"/>
    </row>
    <row r="381" spans="5:5" ht="15" customHeight="1" x14ac:dyDescent="0.25">
      <c r="E381" s="642"/>
    </row>
    <row r="382" spans="5:5" ht="15" customHeight="1" x14ac:dyDescent="0.25">
      <c r="E382" s="642"/>
    </row>
    <row r="383" spans="5:5" ht="15" customHeight="1" x14ac:dyDescent="0.25">
      <c r="E383" s="642"/>
    </row>
    <row r="384" spans="5:5" ht="15" customHeight="1" x14ac:dyDescent="0.25">
      <c r="E384" s="642"/>
    </row>
    <row r="385" spans="5:5" ht="15" customHeight="1" x14ac:dyDescent="0.25">
      <c r="E385" s="642"/>
    </row>
    <row r="386" spans="5:5" ht="15" customHeight="1" x14ac:dyDescent="0.25">
      <c r="E386" s="642"/>
    </row>
    <row r="387" spans="5:5" ht="15" customHeight="1" x14ac:dyDescent="0.25">
      <c r="E387" s="642"/>
    </row>
    <row r="388" spans="5:5" ht="15" customHeight="1" x14ac:dyDescent="0.25">
      <c r="E388" s="642"/>
    </row>
    <row r="389" spans="5:5" ht="15" customHeight="1" x14ac:dyDescent="0.25">
      <c r="E389" s="642"/>
    </row>
    <row r="390" spans="5:5" ht="15" customHeight="1" x14ac:dyDescent="0.25">
      <c r="E390" s="642"/>
    </row>
    <row r="391" spans="5:5" ht="15" customHeight="1" x14ac:dyDescent="0.25">
      <c r="E391" s="642"/>
    </row>
    <row r="392" spans="5:5" ht="15" customHeight="1" x14ac:dyDescent="0.25">
      <c r="E392" s="642"/>
    </row>
    <row r="393" spans="5:5" ht="15" customHeight="1" x14ac:dyDescent="0.25">
      <c r="E393" s="642"/>
    </row>
    <row r="394" spans="5:5" ht="15" customHeight="1" x14ac:dyDescent="0.25">
      <c r="E394" s="642"/>
    </row>
    <row r="395" spans="5:5" ht="15" customHeight="1" x14ac:dyDescent="0.25">
      <c r="E395" s="642"/>
    </row>
    <row r="396" spans="5:5" ht="15" customHeight="1" x14ac:dyDescent="0.25">
      <c r="E396" s="642"/>
    </row>
    <row r="397" spans="5:5" ht="15" customHeight="1" x14ac:dyDescent="0.25">
      <c r="E397" s="642"/>
    </row>
    <row r="398" spans="5:5" ht="15" customHeight="1" x14ac:dyDescent="0.25">
      <c r="E398" s="642"/>
    </row>
    <row r="399" spans="5:5" ht="15" customHeight="1" x14ac:dyDescent="0.25">
      <c r="E399" s="642"/>
    </row>
    <row r="400" spans="5:5" ht="15" customHeight="1" x14ac:dyDescent="0.25">
      <c r="E400" s="642"/>
    </row>
    <row r="401" spans="5:5" ht="15" customHeight="1" x14ac:dyDescent="0.25">
      <c r="E401" s="642"/>
    </row>
    <row r="402" spans="5:5" ht="15" customHeight="1" x14ac:dyDescent="0.25">
      <c r="E402" s="642"/>
    </row>
    <row r="403" spans="5:5" ht="15" customHeight="1" x14ac:dyDescent="0.25">
      <c r="E403" s="642"/>
    </row>
    <row r="404" spans="5:5" ht="15" customHeight="1" x14ac:dyDescent="0.25">
      <c r="E404" s="642"/>
    </row>
    <row r="405" spans="5:5" ht="15" customHeight="1" x14ac:dyDescent="0.25">
      <c r="E405" s="642"/>
    </row>
    <row r="406" spans="5:5" ht="15" customHeight="1" x14ac:dyDescent="0.25">
      <c r="E406" s="642"/>
    </row>
    <row r="407" spans="5:5" ht="15" customHeight="1" x14ac:dyDescent="0.25">
      <c r="E407" s="642"/>
    </row>
    <row r="408" spans="5:5" ht="15" customHeight="1" x14ac:dyDescent="0.25">
      <c r="E408" s="642"/>
    </row>
    <row r="409" spans="5:5" ht="15" customHeight="1" x14ac:dyDescent="0.25">
      <c r="E409" s="642"/>
    </row>
    <row r="410" spans="5:5" ht="15" customHeight="1" x14ac:dyDescent="0.25">
      <c r="E410" s="642"/>
    </row>
    <row r="411" spans="5:5" ht="15" customHeight="1" x14ac:dyDescent="0.25">
      <c r="E411" s="642"/>
    </row>
    <row r="412" spans="5:5" ht="15" customHeight="1" x14ac:dyDescent="0.25">
      <c r="E412" s="642"/>
    </row>
    <row r="413" spans="5:5" ht="15" customHeight="1" x14ac:dyDescent="0.25">
      <c r="E413" s="642"/>
    </row>
    <row r="414" spans="5:5" ht="15" customHeight="1" x14ac:dyDescent="0.25">
      <c r="E414" s="642"/>
    </row>
    <row r="415" spans="5:5" ht="15" customHeight="1" x14ac:dyDescent="0.25">
      <c r="E415" s="642"/>
    </row>
    <row r="416" spans="5:5" ht="15" customHeight="1" x14ac:dyDescent="0.25">
      <c r="E416" s="642"/>
    </row>
    <row r="417" spans="5:5" ht="15" customHeight="1" x14ac:dyDescent="0.25">
      <c r="E417" s="642"/>
    </row>
    <row r="418" spans="5:5" ht="15" customHeight="1" x14ac:dyDescent="0.25">
      <c r="E418" s="642"/>
    </row>
    <row r="419" spans="5:5" ht="15" customHeight="1" x14ac:dyDescent="0.25">
      <c r="E419" s="642"/>
    </row>
    <row r="420" spans="5:5" ht="15" customHeight="1" x14ac:dyDescent="0.25">
      <c r="E420" s="642"/>
    </row>
    <row r="421" spans="5:5" ht="15" customHeight="1" x14ac:dyDescent="0.25">
      <c r="E421" s="642"/>
    </row>
    <row r="422" spans="5:5" ht="15" customHeight="1" x14ac:dyDescent="0.25">
      <c r="E422" s="642"/>
    </row>
    <row r="423" spans="5:5" ht="15" customHeight="1" x14ac:dyDescent="0.25">
      <c r="E423" s="642"/>
    </row>
    <row r="424" spans="5:5" ht="15" customHeight="1" x14ac:dyDescent="0.25">
      <c r="E424" s="642"/>
    </row>
    <row r="425" spans="5:5" ht="15" customHeight="1" x14ac:dyDescent="0.25">
      <c r="E425" s="642"/>
    </row>
    <row r="426" spans="5:5" ht="15" customHeight="1" x14ac:dyDescent="0.25">
      <c r="E426" s="642"/>
    </row>
    <row r="427" spans="5:5" ht="15" customHeight="1" x14ac:dyDescent="0.25">
      <c r="E427" s="642"/>
    </row>
    <row r="428" spans="5:5" ht="15" customHeight="1" x14ac:dyDescent="0.25">
      <c r="E428" s="642"/>
    </row>
    <row r="429" spans="5:5" ht="15" customHeight="1" x14ac:dyDescent="0.25">
      <c r="E429" s="642"/>
    </row>
    <row r="430" spans="5:5" ht="15" customHeight="1" x14ac:dyDescent="0.25">
      <c r="E430" s="642"/>
    </row>
    <row r="431" spans="5:5" ht="15" customHeight="1" x14ac:dyDescent="0.25">
      <c r="E431" s="642"/>
    </row>
    <row r="432" spans="5:5" ht="15" customHeight="1" x14ac:dyDescent="0.25">
      <c r="E432" s="642"/>
    </row>
    <row r="433" spans="5:5" ht="15" customHeight="1" x14ac:dyDescent="0.25">
      <c r="E433" s="642"/>
    </row>
    <row r="434" spans="5:5" ht="15" customHeight="1" x14ac:dyDescent="0.25">
      <c r="E434" s="642"/>
    </row>
    <row r="435" spans="5:5" ht="15" customHeight="1" x14ac:dyDescent="0.25">
      <c r="E435" s="642"/>
    </row>
    <row r="436" spans="5:5" ht="15" customHeight="1" x14ac:dyDescent="0.25">
      <c r="E436" s="642"/>
    </row>
    <row r="437" spans="5:5" ht="15" customHeight="1" x14ac:dyDescent="0.25">
      <c r="E437" s="642"/>
    </row>
    <row r="438" spans="5:5" ht="15" customHeight="1" x14ac:dyDescent="0.25">
      <c r="E438" s="642"/>
    </row>
    <row r="439" spans="5:5" ht="15" customHeight="1" x14ac:dyDescent="0.25">
      <c r="E439" s="642"/>
    </row>
    <row r="440" spans="5:5" ht="15" customHeight="1" x14ac:dyDescent="0.25">
      <c r="E440" s="642"/>
    </row>
    <row r="441" spans="5:5" ht="15" customHeight="1" x14ac:dyDescent="0.25">
      <c r="E441" s="642"/>
    </row>
    <row r="442" spans="5:5" ht="15" customHeight="1" x14ac:dyDescent="0.25">
      <c r="E442" s="642"/>
    </row>
    <row r="443" spans="5:5" ht="15" customHeight="1" x14ac:dyDescent="0.25">
      <c r="E443" s="642"/>
    </row>
    <row r="444" spans="5:5" ht="15" customHeight="1" x14ac:dyDescent="0.25">
      <c r="E444" s="642"/>
    </row>
    <row r="445" spans="5:5" ht="15" customHeight="1" x14ac:dyDescent="0.25">
      <c r="E445" s="642"/>
    </row>
    <row r="446" spans="5:5" ht="15" customHeight="1" x14ac:dyDescent="0.25">
      <c r="E446" s="642"/>
    </row>
    <row r="447" spans="5:5" ht="15" customHeight="1" x14ac:dyDescent="0.25">
      <c r="E447" s="642"/>
    </row>
    <row r="448" spans="5:5" ht="15" customHeight="1" x14ac:dyDescent="0.25">
      <c r="E448" s="642"/>
    </row>
    <row r="449" spans="5:5" ht="15" customHeight="1" x14ac:dyDescent="0.25">
      <c r="E449" s="642"/>
    </row>
    <row r="450" spans="5:5" ht="15" customHeight="1" x14ac:dyDescent="0.25">
      <c r="E450" s="642"/>
    </row>
    <row r="451" spans="5:5" ht="15" customHeight="1" x14ac:dyDescent="0.25">
      <c r="E451" s="642"/>
    </row>
    <row r="452" spans="5:5" ht="15" customHeight="1" x14ac:dyDescent="0.25">
      <c r="E452" s="642"/>
    </row>
    <row r="453" spans="5:5" ht="15" customHeight="1" x14ac:dyDescent="0.25">
      <c r="E453" s="642"/>
    </row>
    <row r="454" spans="5:5" ht="15" customHeight="1" x14ac:dyDescent="0.25">
      <c r="E454" s="642"/>
    </row>
    <row r="455" spans="5:5" ht="15" customHeight="1" x14ac:dyDescent="0.25">
      <c r="E455" s="642"/>
    </row>
    <row r="456" spans="5:5" ht="15" customHeight="1" x14ac:dyDescent="0.25">
      <c r="E456" s="642"/>
    </row>
    <row r="457" spans="5:5" ht="15" customHeight="1" x14ac:dyDescent="0.25">
      <c r="E457" s="642"/>
    </row>
    <row r="458" spans="5:5" ht="15" customHeight="1" x14ac:dyDescent="0.25">
      <c r="E458" s="642"/>
    </row>
    <row r="459" spans="5:5" ht="15" customHeight="1" x14ac:dyDescent="0.25">
      <c r="E459" s="642"/>
    </row>
    <row r="460" spans="5:5" ht="15" customHeight="1" x14ac:dyDescent="0.25">
      <c r="E460" s="642"/>
    </row>
    <row r="461" spans="5:5" ht="15" customHeight="1" x14ac:dyDescent="0.25">
      <c r="E461" s="642"/>
    </row>
    <row r="462" spans="5:5" ht="15" customHeight="1" x14ac:dyDescent="0.25">
      <c r="E462" s="642"/>
    </row>
    <row r="463" spans="5:5" ht="15" customHeight="1" x14ac:dyDescent="0.25">
      <c r="E463" s="642"/>
    </row>
    <row r="464" spans="5:5" ht="15" customHeight="1" x14ac:dyDescent="0.25">
      <c r="E464" s="642"/>
    </row>
    <row r="465" spans="5:5" ht="15" customHeight="1" x14ac:dyDescent="0.25">
      <c r="E465" s="642"/>
    </row>
    <row r="466" spans="5:5" ht="15" customHeight="1" x14ac:dyDescent="0.25">
      <c r="E466" s="642"/>
    </row>
    <row r="467" spans="5:5" ht="15" customHeight="1" x14ac:dyDescent="0.25">
      <c r="E467" s="642"/>
    </row>
    <row r="468" spans="5:5" ht="15" customHeight="1" x14ac:dyDescent="0.25">
      <c r="E468" s="642"/>
    </row>
    <row r="469" spans="5:5" ht="15" customHeight="1" x14ac:dyDescent="0.25">
      <c r="E469" s="642"/>
    </row>
    <row r="470" spans="5:5" ht="15" customHeight="1" x14ac:dyDescent="0.25">
      <c r="E470" s="642"/>
    </row>
    <row r="471" spans="5:5" ht="15" customHeight="1" x14ac:dyDescent="0.25">
      <c r="E471" s="642"/>
    </row>
    <row r="472" spans="5:5" ht="15" customHeight="1" x14ac:dyDescent="0.25">
      <c r="E472" s="642"/>
    </row>
    <row r="473" spans="5:5" ht="15" customHeight="1" x14ac:dyDescent="0.25">
      <c r="E473" s="642"/>
    </row>
    <row r="474" spans="5:5" ht="15" customHeight="1" x14ac:dyDescent="0.25">
      <c r="E474" s="642"/>
    </row>
    <row r="475" spans="5:5" ht="15" customHeight="1" x14ac:dyDescent="0.25">
      <c r="E475" s="642"/>
    </row>
    <row r="476" spans="5:5" ht="15" customHeight="1" x14ac:dyDescent="0.25">
      <c r="E476" s="642"/>
    </row>
    <row r="477" spans="5:5" ht="15" customHeight="1" x14ac:dyDescent="0.25">
      <c r="E477" s="642"/>
    </row>
    <row r="478" spans="5:5" ht="15" customHeight="1" x14ac:dyDescent="0.25">
      <c r="E478" s="642"/>
    </row>
    <row r="479" spans="5:5" ht="15" customHeight="1" x14ac:dyDescent="0.25">
      <c r="E479" s="642"/>
    </row>
    <row r="480" spans="5:5" ht="15" customHeight="1" x14ac:dyDescent="0.25">
      <c r="E480" s="642"/>
    </row>
    <row r="481" spans="5:5" ht="15" customHeight="1" x14ac:dyDescent="0.25">
      <c r="E481" s="642"/>
    </row>
    <row r="482" spans="5:5" ht="15" customHeight="1" x14ac:dyDescent="0.25">
      <c r="E482" s="642"/>
    </row>
    <row r="483" spans="5:5" ht="15" customHeight="1" x14ac:dyDescent="0.25">
      <c r="E483" s="642"/>
    </row>
    <row r="484" spans="5:5" ht="15" customHeight="1" x14ac:dyDescent="0.25">
      <c r="E484" s="642"/>
    </row>
    <row r="485" spans="5:5" ht="15" customHeight="1" x14ac:dyDescent="0.25">
      <c r="E485" s="642"/>
    </row>
    <row r="486" spans="5:5" ht="15" customHeight="1" x14ac:dyDescent="0.25">
      <c r="E486" s="642"/>
    </row>
    <row r="487" spans="5:5" ht="15" customHeight="1" x14ac:dyDescent="0.25">
      <c r="E487" s="642"/>
    </row>
    <row r="488" spans="5:5" ht="15" customHeight="1" x14ac:dyDescent="0.25">
      <c r="E488" s="642"/>
    </row>
    <row r="489" spans="5:5" ht="15" customHeight="1" x14ac:dyDescent="0.25">
      <c r="E489" s="642"/>
    </row>
    <row r="490" spans="5:5" ht="15" customHeight="1" x14ac:dyDescent="0.25">
      <c r="E490" s="642"/>
    </row>
    <row r="491" spans="5:5" ht="15" customHeight="1" x14ac:dyDescent="0.25">
      <c r="E491" s="642"/>
    </row>
    <row r="492" spans="5:5" ht="15" customHeight="1" x14ac:dyDescent="0.25">
      <c r="E492" s="642"/>
    </row>
    <row r="493" spans="5:5" ht="15" customHeight="1" x14ac:dyDescent="0.25">
      <c r="E493" s="642"/>
    </row>
    <row r="494" spans="5:5" ht="15" customHeight="1" x14ac:dyDescent="0.25">
      <c r="E494" s="642"/>
    </row>
    <row r="495" spans="5:5" ht="15" customHeight="1" x14ac:dyDescent="0.25">
      <c r="E495" s="642"/>
    </row>
    <row r="496" spans="5:5" ht="15" customHeight="1" x14ac:dyDescent="0.25">
      <c r="E496" s="642"/>
    </row>
    <row r="497" spans="5:5" ht="15" customHeight="1" x14ac:dyDescent="0.25">
      <c r="E497" s="642"/>
    </row>
    <row r="498" spans="5:5" ht="15" customHeight="1" x14ac:dyDescent="0.25">
      <c r="E498" s="642"/>
    </row>
    <row r="499" spans="5:5" ht="15" customHeight="1" x14ac:dyDescent="0.25">
      <c r="E499" s="642"/>
    </row>
    <row r="500" spans="5:5" ht="15" customHeight="1" x14ac:dyDescent="0.25">
      <c r="E500" s="642"/>
    </row>
    <row r="501" spans="5:5" ht="15" customHeight="1" x14ac:dyDescent="0.25">
      <c r="E501" s="642"/>
    </row>
    <row r="502" spans="5:5" ht="15" customHeight="1" x14ac:dyDescent="0.25">
      <c r="E502" s="642"/>
    </row>
    <row r="503" spans="5:5" ht="15" customHeight="1" x14ac:dyDescent="0.25">
      <c r="E503" s="642"/>
    </row>
    <row r="504" spans="5:5" ht="15" customHeight="1" x14ac:dyDescent="0.25">
      <c r="E504" s="642"/>
    </row>
    <row r="505" spans="5:5" ht="15" customHeight="1" x14ac:dyDescent="0.25">
      <c r="E505" s="642"/>
    </row>
    <row r="506" spans="5:5" ht="15" customHeight="1" x14ac:dyDescent="0.25">
      <c r="E506" s="642"/>
    </row>
    <row r="507" spans="5:5" ht="15" customHeight="1" x14ac:dyDescent="0.25">
      <c r="E507" s="642"/>
    </row>
    <row r="508" spans="5:5" ht="15" customHeight="1" x14ac:dyDescent="0.25">
      <c r="E508" s="642"/>
    </row>
    <row r="509" spans="5:5" ht="15" customHeight="1" x14ac:dyDescent="0.25">
      <c r="E509" s="642"/>
    </row>
    <row r="510" spans="5:5" ht="15" customHeight="1" x14ac:dyDescent="0.25">
      <c r="E510" s="642"/>
    </row>
    <row r="511" spans="5:5" ht="15" customHeight="1" x14ac:dyDescent="0.25">
      <c r="E511" s="642"/>
    </row>
    <row r="512" spans="5:5" ht="15" customHeight="1" x14ac:dyDescent="0.25">
      <c r="E512" s="642"/>
    </row>
    <row r="513" spans="5:5" ht="15" customHeight="1" x14ac:dyDescent="0.25">
      <c r="E513" s="642"/>
    </row>
    <row r="514" spans="5:5" ht="15" customHeight="1" x14ac:dyDescent="0.25">
      <c r="E514" s="642"/>
    </row>
    <row r="515" spans="5:5" ht="15" customHeight="1" x14ac:dyDescent="0.25">
      <c r="E515" s="642"/>
    </row>
    <row r="516" spans="5:5" ht="15" customHeight="1" x14ac:dyDescent="0.25">
      <c r="E516" s="642"/>
    </row>
    <row r="517" spans="5:5" ht="15" customHeight="1" x14ac:dyDescent="0.25">
      <c r="E517" s="642"/>
    </row>
    <row r="518" spans="5:5" ht="15" customHeight="1" x14ac:dyDescent="0.25">
      <c r="E518" s="642"/>
    </row>
    <row r="519" spans="5:5" ht="15" customHeight="1" x14ac:dyDescent="0.25">
      <c r="E519" s="642"/>
    </row>
    <row r="520" spans="5:5" ht="15" customHeight="1" x14ac:dyDescent="0.25">
      <c r="E520" s="642"/>
    </row>
    <row r="521" spans="5:5" ht="15" customHeight="1" x14ac:dyDescent="0.25">
      <c r="E521" s="642"/>
    </row>
    <row r="522" spans="5:5" ht="15" customHeight="1" x14ac:dyDescent="0.25">
      <c r="E522" s="642"/>
    </row>
    <row r="523" spans="5:5" ht="15" customHeight="1" x14ac:dyDescent="0.25">
      <c r="E523" s="642"/>
    </row>
    <row r="524" spans="5:5" ht="15" customHeight="1" x14ac:dyDescent="0.25">
      <c r="E524" s="642"/>
    </row>
    <row r="525" spans="5:5" ht="15" customHeight="1" x14ac:dyDescent="0.25">
      <c r="E525" s="642"/>
    </row>
    <row r="526" spans="5:5" ht="15" customHeight="1" x14ac:dyDescent="0.25">
      <c r="E526" s="642"/>
    </row>
    <row r="527" spans="5:5" ht="15" customHeight="1" x14ac:dyDescent="0.25">
      <c r="E527" s="642"/>
    </row>
    <row r="528" spans="5:5" ht="15" customHeight="1" x14ac:dyDescent="0.25">
      <c r="E528" s="642"/>
    </row>
    <row r="529" spans="5:5" ht="15" customHeight="1" x14ac:dyDescent="0.25">
      <c r="E529" s="642"/>
    </row>
    <row r="530" spans="5:5" ht="15" customHeight="1" x14ac:dyDescent="0.25">
      <c r="E530" s="642"/>
    </row>
    <row r="531" spans="5:5" ht="15" customHeight="1" x14ac:dyDescent="0.25">
      <c r="E531" s="642"/>
    </row>
    <row r="532" spans="5:5" ht="15" customHeight="1" x14ac:dyDescent="0.25">
      <c r="E532" s="642"/>
    </row>
    <row r="533" spans="5:5" ht="15" customHeight="1" x14ac:dyDescent="0.25">
      <c r="E533" s="642"/>
    </row>
    <row r="534" spans="5:5" ht="15" customHeight="1" x14ac:dyDescent="0.25">
      <c r="E534" s="642"/>
    </row>
    <row r="535" spans="5:5" ht="15" customHeight="1" x14ac:dyDescent="0.25">
      <c r="E535" s="642"/>
    </row>
    <row r="536" spans="5:5" ht="15" customHeight="1" x14ac:dyDescent="0.25">
      <c r="E536" s="642"/>
    </row>
    <row r="537" spans="5:5" ht="15" customHeight="1" x14ac:dyDescent="0.25">
      <c r="E537" s="642"/>
    </row>
    <row r="538" spans="5:5" ht="15" customHeight="1" x14ac:dyDescent="0.25">
      <c r="E538" s="642"/>
    </row>
    <row r="539" spans="5:5" ht="15" customHeight="1" x14ac:dyDescent="0.25">
      <c r="E539" s="642"/>
    </row>
    <row r="540" spans="5:5" ht="15" customHeight="1" x14ac:dyDescent="0.25">
      <c r="E540" s="642"/>
    </row>
    <row r="541" spans="5:5" ht="15" customHeight="1" x14ac:dyDescent="0.25">
      <c r="E541" s="642"/>
    </row>
    <row r="542" spans="5:5" ht="15" customHeight="1" x14ac:dyDescent="0.25">
      <c r="E542" s="642"/>
    </row>
    <row r="543" spans="5:5" ht="15" customHeight="1" x14ac:dyDescent="0.25">
      <c r="E543" s="642"/>
    </row>
    <row r="544" spans="5:5" ht="15" customHeight="1" x14ac:dyDescent="0.25">
      <c r="E544" s="642"/>
    </row>
    <row r="545" spans="5:5" ht="15" customHeight="1" x14ac:dyDescent="0.25">
      <c r="E545" s="642"/>
    </row>
    <row r="546" spans="5:5" ht="15" customHeight="1" x14ac:dyDescent="0.25">
      <c r="E546" s="642"/>
    </row>
    <row r="547" spans="5:5" ht="15" customHeight="1" x14ac:dyDescent="0.25">
      <c r="E547" s="642"/>
    </row>
    <row r="548" spans="5:5" ht="15" customHeight="1" x14ac:dyDescent="0.25">
      <c r="E548" s="642"/>
    </row>
    <row r="549" spans="5:5" ht="15" customHeight="1" x14ac:dyDescent="0.25">
      <c r="E549" s="642"/>
    </row>
    <row r="550" spans="5:5" ht="15" customHeight="1" x14ac:dyDescent="0.25">
      <c r="E550" s="642"/>
    </row>
    <row r="551" spans="5:5" ht="15" customHeight="1" x14ac:dyDescent="0.25">
      <c r="E551" s="642"/>
    </row>
    <row r="552" spans="5:5" ht="15" customHeight="1" x14ac:dyDescent="0.25">
      <c r="E552" s="642"/>
    </row>
    <row r="553" spans="5:5" ht="15" customHeight="1" x14ac:dyDescent="0.25">
      <c r="E553" s="642"/>
    </row>
    <row r="554" spans="5:5" ht="15" customHeight="1" x14ac:dyDescent="0.25">
      <c r="E554" s="642"/>
    </row>
    <row r="555" spans="5:5" ht="15" customHeight="1" x14ac:dyDescent="0.25">
      <c r="E555" s="642"/>
    </row>
    <row r="556" spans="5:5" ht="15" customHeight="1" x14ac:dyDescent="0.25">
      <c r="E556" s="642"/>
    </row>
    <row r="557" spans="5:5" ht="15" customHeight="1" x14ac:dyDescent="0.25">
      <c r="E557" s="642"/>
    </row>
    <row r="558" spans="5:5" ht="15" customHeight="1" x14ac:dyDescent="0.25">
      <c r="E558" s="642"/>
    </row>
    <row r="559" spans="5:5" ht="15" customHeight="1" x14ac:dyDescent="0.25">
      <c r="E559" s="642"/>
    </row>
    <row r="560" spans="5:5" ht="15" customHeight="1" x14ac:dyDescent="0.25">
      <c r="E560" s="642"/>
    </row>
    <row r="561" spans="5:5" ht="15" customHeight="1" x14ac:dyDescent="0.25">
      <c r="E561" s="642"/>
    </row>
    <row r="562" spans="5:5" ht="15" customHeight="1" x14ac:dyDescent="0.25">
      <c r="E562" s="642"/>
    </row>
    <row r="563" spans="5:5" ht="15" customHeight="1" x14ac:dyDescent="0.25">
      <c r="E563" s="642"/>
    </row>
    <row r="564" spans="5:5" ht="15" customHeight="1" x14ac:dyDescent="0.25">
      <c r="E564" s="642"/>
    </row>
    <row r="565" spans="5:5" ht="15" customHeight="1" x14ac:dyDescent="0.25">
      <c r="E565" s="642"/>
    </row>
    <row r="566" spans="5:5" ht="15" customHeight="1" x14ac:dyDescent="0.25">
      <c r="E566" s="642"/>
    </row>
    <row r="567" spans="5:5" ht="15" customHeight="1" x14ac:dyDescent="0.25">
      <c r="E567" s="642"/>
    </row>
    <row r="568" spans="5:5" ht="15" customHeight="1" x14ac:dyDescent="0.25">
      <c r="E568" s="642"/>
    </row>
    <row r="569" spans="5:5" ht="15" customHeight="1" x14ac:dyDescent="0.25">
      <c r="E569" s="642"/>
    </row>
    <row r="570" spans="5:5" ht="15" customHeight="1" x14ac:dyDescent="0.25">
      <c r="E570" s="642"/>
    </row>
    <row r="571" spans="5:5" ht="15" customHeight="1" x14ac:dyDescent="0.25">
      <c r="E571" s="642"/>
    </row>
    <row r="572" spans="5:5" ht="15" customHeight="1" x14ac:dyDescent="0.25">
      <c r="E572" s="642"/>
    </row>
    <row r="573" spans="5:5" ht="15" customHeight="1" x14ac:dyDescent="0.25">
      <c r="E573" s="642"/>
    </row>
    <row r="574" spans="5:5" ht="15" customHeight="1" x14ac:dyDescent="0.25">
      <c r="E574" s="642"/>
    </row>
    <row r="575" spans="5:5" ht="15" customHeight="1" x14ac:dyDescent="0.25">
      <c r="E575" s="642"/>
    </row>
    <row r="576" spans="5:5" ht="15" customHeight="1" x14ac:dyDescent="0.25">
      <c r="E576" s="642"/>
    </row>
    <row r="577" spans="5:5" ht="15" customHeight="1" x14ac:dyDescent="0.25">
      <c r="E577" s="642"/>
    </row>
    <row r="578" spans="5:5" ht="15" customHeight="1" x14ac:dyDescent="0.25">
      <c r="E578" s="642"/>
    </row>
    <row r="579" spans="5:5" ht="15" customHeight="1" x14ac:dyDescent="0.25">
      <c r="E579" s="642"/>
    </row>
    <row r="580" spans="5:5" ht="15" customHeight="1" x14ac:dyDescent="0.25">
      <c r="E580" s="642"/>
    </row>
    <row r="581" spans="5:5" ht="15" customHeight="1" x14ac:dyDescent="0.25">
      <c r="E581" s="642"/>
    </row>
    <row r="582" spans="5:5" ht="15" customHeight="1" x14ac:dyDescent="0.25">
      <c r="E582" s="642"/>
    </row>
    <row r="583" spans="5:5" ht="15" customHeight="1" x14ac:dyDescent="0.25">
      <c r="E583" s="642"/>
    </row>
    <row r="584" spans="5:5" ht="15" customHeight="1" x14ac:dyDescent="0.25">
      <c r="E584" s="642"/>
    </row>
    <row r="585" spans="5:5" ht="15" customHeight="1" x14ac:dyDescent="0.25">
      <c r="E585" s="642"/>
    </row>
    <row r="586" spans="5:5" ht="15" customHeight="1" x14ac:dyDescent="0.25">
      <c r="E586" s="642"/>
    </row>
    <row r="587" spans="5:5" ht="15" customHeight="1" x14ac:dyDescent="0.25">
      <c r="E587" s="642"/>
    </row>
    <row r="588" spans="5:5" ht="15" customHeight="1" x14ac:dyDescent="0.25">
      <c r="E588" s="642"/>
    </row>
    <row r="589" spans="5:5" ht="15" customHeight="1" x14ac:dyDescent="0.25">
      <c r="E589" s="642"/>
    </row>
    <row r="590" spans="5:5" ht="15" customHeight="1" x14ac:dyDescent="0.25">
      <c r="E590" s="642"/>
    </row>
    <row r="591" spans="5:5" ht="15" customHeight="1" x14ac:dyDescent="0.25">
      <c r="E591" s="642"/>
    </row>
    <row r="592" spans="5:5" ht="15" customHeight="1" x14ac:dyDescent="0.25">
      <c r="E592" s="642"/>
    </row>
    <row r="593" spans="5:5" ht="15" customHeight="1" x14ac:dyDescent="0.25">
      <c r="E593" s="642"/>
    </row>
    <row r="594" spans="5:5" ht="15" customHeight="1" x14ac:dyDescent="0.25">
      <c r="E594" s="642"/>
    </row>
    <row r="595" spans="5:5" ht="15" customHeight="1" x14ac:dyDescent="0.25">
      <c r="E595" s="642"/>
    </row>
    <row r="596" spans="5:5" ht="15" customHeight="1" x14ac:dyDescent="0.25">
      <c r="E596" s="642"/>
    </row>
    <row r="597" spans="5:5" ht="15" customHeight="1" x14ac:dyDescent="0.25">
      <c r="E597" s="642"/>
    </row>
    <row r="598" spans="5:5" ht="15" customHeight="1" x14ac:dyDescent="0.25">
      <c r="E598" s="642"/>
    </row>
    <row r="599" spans="5:5" ht="15" customHeight="1" x14ac:dyDescent="0.25">
      <c r="E599" s="642"/>
    </row>
    <row r="600" spans="5:5" ht="15" customHeight="1" x14ac:dyDescent="0.25">
      <c r="E600" s="642"/>
    </row>
    <row r="601" spans="5:5" ht="15" customHeight="1" x14ac:dyDescent="0.25">
      <c r="E601" s="642"/>
    </row>
    <row r="602" spans="5:5" ht="15" customHeight="1" x14ac:dyDescent="0.25">
      <c r="E602" s="642"/>
    </row>
    <row r="603" spans="5:5" ht="15" customHeight="1" x14ac:dyDescent="0.25">
      <c r="E603" s="642"/>
    </row>
    <row r="604" spans="5:5" ht="15" customHeight="1" x14ac:dyDescent="0.25">
      <c r="E604" s="642"/>
    </row>
    <row r="605" spans="5:5" ht="15" customHeight="1" x14ac:dyDescent="0.25">
      <c r="E605" s="642"/>
    </row>
    <row r="606" spans="5:5" ht="15" customHeight="1" x14ac:dyDescent="0.25">
      <c r="E606" s="642"/>
    </row>
    <row r="607" spans="5:5" ht="15" customHeight="1" x14ac:dyDescent="0.25">
      <c r="E607" s="642"/>
    </row>
    <row r="608" spans="5:5" ht="15" customHeight="1" x14ac:dyDescent="0.25">
      <c r="E608" s="642"/>
    </row>
    <row r="609" spans="5:5" ht="15" customHeight="1" x14ac:dyDescent="0.25">
      <c r="E609" s="642"/>
    </row>
    <row r="610" spans="5:5" ht="15" customHeight="1" x14ac:dyDescent="0.25">
      <c r="E610" s="642"/>
    </row>
    <row r="611" spans="5:5" ht="15" customHeight="1" x14ac:dyDescent="0.25">
      <c r="E611" s="642"/>
    </row>
    <row r="612" spans="5:5" ht="15" customHeight="1" x14ac:dyDescent="0.25">
      <c r="E612" s="642"/>
    </row>
    <row r="613" spans="5:5" ht="15" customHeight="1" x14ac:dyDescent="0.25">
      <c r="E613" s="642"/>
    </row>
    <row r="614" spans="5:5" ht="15" customHeight="1" x14ac:dyDescent="0.25">
      <c r="E614" s="642"/>
    </row>
    <row r="615" spans="5:5" ht="15" customHeight="1" x14ac:dyDescent="0.25">
      <c r="E615" s="642"/>
    </row>
    <row r="616" spans="5:5" ht="15" customHeight="1" x14ac:dyDescent="0.25">
      <c r="E616" s="642"/>
    </row>
    <row r="617" spans="5:5" ht="15" customHeight="1" x14ac:dyDescent="0.25">
      <c r="E617" s="642"/>
    </row>
    <row r="618" spans="5:5" ht="15" customHeight="1" x14ac:dyDescent="0.25">
      <c r="E618" s="642"/>
    </row>
    <row r="619" spans="5:5" ht="15" customHeight="1" x14ac:dyDescent="0.25">
      <c r="E619" s="642"/>
    </row>
    <row r="620" spans="5:5" ht="15" customHeight="1" x14ac:dyDescent="0.25">
      <c r="E620" s="642"/>
    </row>
    <row r="621" spans="5:5" ht="15" customHeight="1" x14ac:dyDescent="0.25">
      <c r="E621" s="642"/>
    </row>
    <row r="622" spans="5:5" ht="15" customHeight="1" x14ac:dyDescent="0.25">
      <c r="E622" s="642"/>
    </row>
    <row r="623" spans="5:5" ht="15" customHeight="1" x14ac:dyDescent="0.25">
      <c r="E623" s="642"/>
    </row>
    <row r="624" spans="5:5" ht="15" customHeight="1" x14ac:dyDescent="0.25">
      <c r="E624" s="642"/>
    </row>
    <row r="625" spans="5:5" ht="15" customHeight="1" x14ac:dyDescent="0.25">
      <c r="E625" s="642"/>
    </row>
    <row r="626" spans="5:5" ht="15" customHeight="1" x14ac:dyDescent="0.25">
      <c r="E626" s="642"/>
    </row>
    <row r="627" spans="5:5" ht="15" customHeight="1" x14ac:dyDescent="0.25">
      <c r="E627" s="642"/>
    </row>
    <row r="628" spans="5:5" ht="15" customHeight="1" x14ac:dyDescent="0.25">
      <c r="E628" s="642"/>
    </row>
    <row r="629" spans="5:5" ht="15" customHeight="1" x14ac:dyDescent="0.25">
      <c r="E629" s="642"/>
    </row>
    <row r="630" spans="5:5" ht="15" customHeight="1" x14ac:dyDescent="0.25">
      <c r="E630" s="642"/>
    </row>
    <row r="631" spans="5:5" ht="15" customHeight="1" x14ac:dyDescent="0.25">
      <c r="E631" s="642"/>
    </row>
    <row r="632" spans="5:5" ht="15" customHeight="1" x14ac:dyDescent="0.25">
      <c r="E632" s="642"/>
    </row>
    <row r="633" spans="5:5" ht="15" customHeight="1" x14ac:dyDescent="0.25">
      <c r="E633" s="642"/>
    </row>
    <row r="634" spans="5:5" ht="15" customHeight="1" x14ac:dyDescent="0.25">
      <c r="E634" s="642"/>
    </row>
    <row r="635" spans="5:5" ht="15" customHeight="1" x14ac:dyDescent="0.25">
      <c r="E635" s="642"/>
    </row>
    <row r="636" spans="5:5" ht="15" customHeight="1" x14ac:dyDescent="0.25">
      <c r="E636" s="642"/>
    </row>
    <row r="637" spans="5:5" ht="15" customHeight="1" x14ac:dyDescent="0.25">
      <c r="E637" s="642"/>
    </row>
    <row r="638" spans="5:5" ht="15" customHeight="1" x14ac:dyDescent="0.25">
      <c r="E638" s="642"/>
    </row>
    <row r="639" spans="5:5" ht="15" customHeight="1" x14ac:dyDescent="0.25">
      <c r="E639" s="642"/>
    </row>
    <row r="640" spans="5:5" ht="15" customHeight="1" x14ac:dyDescent="0.25">
      <c r="E640" s="642"/>
    </row>
    <row r="641" spans="5:5" ht="15" customHeight="1" x14ac:dyDescent="0.25">
      <c r="E641" s="642"/>
    </row>
    <row r="642" spans="5:5" ht="15" customHeight="1" x14ac:dyDescent="0.25">
      <c r="E642" s="642"/>
    </row>
    <row r="643" spans="5:5" ht="15" customHeight="1" x14ac:dyDescent="0.25">
      <c r="E643" s="642"/>
    </row>
    <row r="644" spans="5:5" ht="15" customHeight="1" x14ac:dyDescent="0.25">
      <c r="E644" s="642"/>
    </row>
    <row r="645" spans="5:5" ht="15" customHeight="1" x14ac:dyDescent="0.25">
      <c r="E645" s="642"/>
    </row>
    <row r="646" spans="5:5" ht="15" customHeight="1" x14ac:dyDescent="0.25">
      <c r="E646" s="642"/>
    </row>
    <row r="647" spans="5:5" ht="15" customHeight="1" x14ac:dyDescent="0.25">
      <c r="E647" s="642"/>
    </row>
    <row r="648" spans="5:5" ht="15" customHeight="1" x14ac:dyDescent="0.25">
      <c r="E648" s="642"/>
    </row>
    <row r="649" spans="5:5" ht="15" customHeight="1" x14ac:dyDescent="0.25">
      <c r="E649" s="642"/>
    </row>
    <row r="650" spans="5:5" ht="15" customHeight="1" x14ac:dyDescent="0.25">
      <c r="E650" s="642"/>
    </row>
    <row r="651" spans="5:5" ht="15" customHeight="1" x14ac:dyDescent="0.25">
      <c r="E651" s="642"/>
    </row>
    <row r="652" spans="5:5" ht="15" customHeight="1" x14ac:dyDescent="0.25">
      <c r="E652" s="642"/>
    </row>
    <row r="653" spans="5:5" ht="15" customHeight="1" x14ac:dyDescent="0.25">
      <c r="E653" s="642"/>
    </row>
    <row r="654" spans="5:5" ht="15" customHeight="1" x14ac:dyDescent="0.25">
      <c r="E654" s="642"/>
    </row>
    <row r="655" spans="5:5" ht="15" customHeight="1" x14ac:dyDescent="0.25">
      <c r="E655" s="642"/>
    </row>
    <row r="656" spans="5:5" ht="15" customHeight="1" x14ac:dyDescent="0.25">
      <c r="E656" s="642"/>
    </row>
    <row r="657" spans="5:5" ht="15" customHeight="1" x14ac:dyDescent="0.25">
      <c r="E657" s="642"/>
    </row>
    <row r="658" spans="5:5" ht="15" customHeight="1" x14ac:dyDescent="0.25">
      <c r="E658" s="642"/>
    </row>
    <row r="659" spans="5:5" ht="15" customHeight="1" x14ac:dyDescent="0.25">
      <c r="E659" s="642"/>
    </row>
    <row r="660" spans="5:5" ht="15" customHeight="1" x14ac:dyDescent="0.25">
      <c r="E660" s="642"/>
    </row>
    <row r="661" spans="5:5" ht="15" customHeight="1" x14ac:dyDescent="0.25">
      <c r="E661" s="642"/>
    </row>
    <row r="662" spans="5:5" ht="15" customHeight="1" x14ac:dyDescent="0.25">
      <c r="E662" s="642"/>
    </row>
    <row r="663" spans="5:5" ht="15" customHeight="1" x14ac:dyDescent="0.25">
      <c r="E663" s="642"/>
    </row>
    <row r="664" spans="5:5" ht="15" customHeight="1" x14ac:dyDescent="0.25">
      <c r="E664" s="642"/>
    </row>
    <row r="665" spans="5:5" ht="15" customHeight="1" x14ac:dyDescent="0.25">
      <c r="E665" s="642"/>
    </row>
    <row r="666" spans="5:5" ht="15" customHeight="1" x14ac:dyDescent="0.25">
      <c r="E666" s="642"/>
    </row>
    <row r="667" spans="5:5" ht="15" customHeight="1" x14ac:dyDescent="0.25">
      <c r="E667" s="642"/>
    </row>
    <row r="668" spans="5:5" ht="15" customHeight="1" x14ac:dyDescent="0.25">
      <c r="E668" s="642"/>
    </row>
    <row r="669" spans="5:5" ht="15" customHeight="1" x14ac:dyDescent="0.25">
      <c r="E669" s="642"/>
    </row>
    <row r="670" spans="5:5" ht="15" customHeight="1" x14ac:dyDescent="0.25">
      <c r="E670" s="642"/>
    </row>
    <row r="671" spans="5:5" ht="15" customHeight="1" x14ac:dyDescent="0.25">
      <c r="E671" s="642"/>
    </row>
    <row r="672" spans="5:5" ht="15" customHeight="1" x14ac:dyDescent="0.25">
      <c r="E672" s="642"/>
    </row>
    <row r="673" spans="5:5" ht="15" customHeight="1" x14ac:dyDescent="0.25">
      <c r="E673" s="642"/>
    </row>
    <row r="674" spans="5:5" ht="15" customHeight="1" x14ac:dyDescent="0.25">
      <c r="E674" s="642"/>
    </row>
    <row r="675" spans="5:5" ht="15" customHeight="1" x14ac:dyDescent="0.25">
      <c r="E675" s="642"/>
    </row>
    <row r="676" spans="5:5" ht="15" customHeight="1" x14ac:dyDescent="0.25">
      <c r="E676" s="642"/>
    </row>
    <row r="677" spans="5:5" ht="15" customHeight="1" x14ac:dyDescent="0.25">
      <c r="E677" s="642"/>
    </row>
    <row r="678" spans="5:5" ht="15" customHeight="1" x14ac:dyDescent="0.25">
      <c r="E678" s="642"/>
    </row>
    <row r="679" spans="5:5" ht="15" customHeight="1" x14ac:dyDescent="0.25">
      <c r="E679" s="642"/>
    </row>
    <row r="680" spans="5:5" ht="15" customHeight="1" x14ac:dyDescent="0.25">
      <c r="E680" s="642"/>
    </row>
    <row r="681" spans="5:5" ht="15" customHeight="1" x14ac:dyDescent="0.25">
      <c r="E681" s="642"/>
    </row>
    <row r="682" spans="5:5" ht="15" customHeight="1" x14ac:dyDescent="0.25">
      <c r="E682" s="642"/>
    </row>
    <row r="683" spans="5:5" ht="15" customHeight="1" x14ac:dyDescent="0.25">
      <c r="E683" s="642"/>
    </row>
    <row r="684" spans="5:5" ht="15" customHeight="1" x14ac:dyDescent="0.25">
      <c r="E684" s="642"/>
    </row>
    <row r="685" spans="5:5" ht="15" customHeight="1" x14ac:dyDescent="0.25">
      <c r="E685" s="642"/>
    </row>
    <row r="686" spans="5:5" ht="15" customHeight="1" x14ac:dyDescent="0.25">
      <c r="E686" s="642"/>
    </row>
    <row r="687" spans="5:5" ht="15" customHeight="1" x14ac:dyDescent="0.25">
      <c r="E687" s="642"/>
    </row>
    <row r="688" spans="5:5" ht="15" customHeight="1" x14ac:dyDescent="0.25">
      <c r="E688" s="642"/>
    </row>
    <row r="689" spans="5:5" ht="15" customHeight="1" x14ac:dyDescent="0.25">
      <c r="E689" s="642"/>
    </row>
    <row r="690" spans="5:5" ht="15" customHeight="1" x14ac:dyDescent="0.25">
      <c r="E690" s="642"/>
    </row>
    <row r="691" spans="5:5" ht="15" customHeight="1" x14ac:dyDescent="0.25">
      <c r="E691" s="642"/>
    </row>
    <row r="692" spans="5:5" ht="15" customHeight="1" x14ac:dyDescent="0.25">
      <c r="E692" s="642"/>
    </row>
    <row r="693" spans="5:5" ht="15" customHeight="1" x14ac:dyDescent="0.25">
      <c r="E693" s="642"/>
    </row>
    <row r="694" spans="5:5" ht="15" customHeight="1" x14ac:dyDescent="0.25">
      <c r="E694" s="642"/>
    </row>
    <row r="695" spans="5:5" ht="15" customHeight="1" x14ac:dyDescent="0.25">
      <c r="E695" s="642"/>
    </row>
    <row r="696" spans="5:5" ht="15" customHeight="1" x14ac:dyDescent="0.25">
      <c r="E696" s="642"/>
    </row>
    <row r="697" spans="5:5" ht="15" customHeight="1" x14ac:dyDescent="0.25">
      <c r="E697" s="642"/>
    </row>
    <row r="698" spans="5:5" ht="15" customHeight="1" x14ac:dyDescent="0.25">
      <c r="E698" s="642"/>
    </row>
    <row r="699" spans="5:5" ht="15" customHeight="1" x14ac:dyDescent="0.25">
      <c r="E699" s="642"/>
    </row>
    <row r="700" spans="5:5" ht="15" customHeight="1" x14ac:dyDescent="0.25">
      <c r="E700" s="642"/>
    </row>
    <row r="701" spans="5:5" ht="15" customHeight="1" x14ac:dyDescent="0.25">
      <c r="E701" s="642"/>
    </row>
    <row r="702" spans="5:5" ht="15" customHeight="1" x14ac:dyDescent="0.25">
      <c r="E702" s="642"/>
    </row>
    <row r="703" spans="5:5" ht="15" customHeight="1" x14ac:dyDescent="0.25">
      <c r="E703" s="642"/>
    </row>
    <row r="704" spans="5:5" ht="15" customHeight="1" x14ac:dyDescent="0.25">
      <c r="E704" s="642"/>
    </row>
    <row r="705" spans="5:5" ht="15" customHeight="1" x14ac:dyDescent="0.25">
      <c r="E705" s="642"/>
    </row>
    <row r="706" spans="5:5" ht="15" customHeight="1" x14ac:dyDescent="0.25">
      <c r="E706" s="642"/>
    </row>
    <row r="707" spans="5:5" ht="15" customHeight="1" x14ac:dyDescent="0.25">
      <c r="E707" s="642"/>
    </row>
    <row r="708" spans="5:5" ht="15" customHeight="1" x14ac:dyDescent="0.25">
      <c r="E708" s="642"/>
    </row>
    <row r="709" spans="5:5" ht="15" customHeight="1" x14ac:dyDescent="0.25">
      <c r="E709" s="642"/>
    </row>
    <row r="710" spans="5:5" ht="15" customHeight="1" x14ac:dyDescent="0.25">
      <c r="E710" s="642"/>
    </row>
    <row r="711" spans="5:5" ht="15" customHeight="1" x14ac:dyDescent="0.25">
      <c r="E711" s="642"/>
    </row>
    <row r="712" spans="5:5" ht="15" customHeight="1" x14ac:dyDescent="0.25">
      <c r="E712" s="642"/>
    </row>
    <row r="713" spans="5:5" ht="15" customHeight="1" x14ac:dyDescent="0.25">
      <c r="E713" s="642"/>
    </row>
    <row r="714" spans="5:5" ht="15" customHeight="1" x14ac:dyDescent="0.25">
      <c r="E714" s="642"/>
    </row>
    <row r="715" spans="5:5" ht="15" customHeight="1" x14ac:dyDescent="0.25">
      <c r="E715" s="642"/>
    </row>
    <row r="716" spans="5:5" ht="15" customHeight="1" x14ac:dyDescent="0.25">
      <c r="E716" s="642"/>
    </row>
    <row r="717" spans="5:5" ht="15" customHeight="1" x14ac:dyDescent="0.25">
      <c r="E717" s="642"/>
    </row>
    <row r="718" spans="5:5" ht="15" customHeight="1" x14ac:dyDescent="0.25">
      <c r="E718" s="642"/>
    </row>
    <row r="719" spans="5:5" ht="15" customHeight="1" x14ac:dyDescent="0.25">
      <c r="E719" s="642"/>
    </row>
    <row r="720" spans="5:5" ht="15" customHeight="1" x14ac:dyDescent="0.25">
      <c r="E720" s="642"/>
    </row>
    <row r="721" spans="5:5" ht="15" customHeight="1" x14ac:dyDescent="0.25">
      <c r="E721" s="642"/>
    </row>
    <row r="722" spans="5:5" ht="15" customHeight="1" x14ac:dyDescent="0.25">
      <c r="E722" s="642"/>
    </row>
    <row r="723" spans="5:5" ht="15" customHeight="1" x14ac:dyDescent="0.25">
      <c r="E723" s="642"/>
    </row>
    <row r="724" spans="5:5" ht="15" customHeight="1" x14ac:dyDescent="0.25">
      <c r="E724" s="642"/>
    </row>
    <row r="725" spans="5:5" ht="15" customHeight="1" x14ac:dyDescent="0.25">
      <c r="E725" s="642"/>
    </row>
    <row r="726" spans="5:5" ht="15" customHeight="1" x14ac:dyDescent="0.25">
      <c r="E726" s="642"/>
    </row>
    <row r="727" spans="5:5" ht="15" customHeight="1" x14ac:dyDescent="0.25">
      <c r="E727" s="642"/>
    </row>
    <row r="728" spans="5:5" ht="15" customHeight="1" x14ac:dyDescent="0.25">
      <c r="E728" s="642"/>
    </row>
    <row r="729" spans="5:5" ht="15" customHeight="1" x14ac:dyDescent="0.25">
      <c r="E729" s="642"/>
    </row>
    <row r="730" spans="5:5" ht="15" customHeight="1" x14ac:dyDescent="0.25">
      <c r="E730" s="642"/>
    </row>
    <row r="731" spans="5:5" ht="15" customHeight="1" x14ac:dyDescent="0.25">
      <c r="E731" s="642"/>
    </row>
    <row r="732" spans="5:5" ht="15" customHeight="1" x14ac:dyDescent="0.25">
      <c r="E732" s="642"/>
    </row>
    <row r="733" spans="5:5" ht="15" customHeight="1" x14ac:dyDescent="0.25">
      <c r="E733" s="642"/>
    </row>
    <row r="734" spans="5:5" ht="15" customHeight="1" x14ac:dyDescent="0.25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86"/>
  <sheetViews>
    <sheetView showGridLines="0" tabSelected="1" zoomScale="60" zoomScaleNormal="60" workbookViewId="0">
      <pane ySplit="2" topLeftCell="A1337" activePane="bottomLeft" state="frozen"/>
      <selection pane="bottomLeft" activeCell="G1362" sqref="G1362"/>
    </sheetView>
  </sheetViews>
  <sheetFormatPr defaultRowHeight="15" customHeight="1" x14ac:dyDescent="0.25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 x14ac:dyDescent="0.25">
      <c r="B2" s="1020" t="s">
        <v>3908</v>
      </c>
      <c r="C2" s="1019" t="s">
        <v>3909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3929</v>
      </c>
      <c r="T2" s="1130" t="s">
        <v>2737</v>
      </c>
      <c r="U2" s="1027"/>
    </row>
    <row r="3" spans="2:22" ht="15" customHeight="1" x14ac:dyDescent="0.25">
      <c r="B3" s="13" t="s">
        <v>48</v>
      </c>
      <c r="C3" s="839" t="s">
        <v>3515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8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 x14ac:dyDescent="0.25">
      <c r="B4" s="13" t="s">
        <v>48</v>
      </c>
      <c r="C4" s="839" t="s">
        <v>3515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8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 x14ac:dyDescent="0.25">
      <c r="B5" s="646" t="s">
        <v>47</v>
      </c>
      <c r="C5" s="839" t="s">
        <v>3515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8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 x14ac:dyDescent="0.25">
      <c r="B6" s="13" t="s">
        <v>46</v>
      </c>
      <c r="C6" s="839" t="s">
        <v>3515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178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 x14ac:dyDescent="0.25">
      <c r="B7" s="13" t="s">
        <v>46</v>
      </c>
      <c r="C7" s="839" t="s">
        <v>3515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8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 x14ac:dyDescent="0.25">
      <c r="B8" s="13" t="s">
        <v>45</v>
      </c>
      <c r="C8" s="839" t="s">
        <v>3515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8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 x14ac:dyDescent="0.25">
      <c r="B9" s="13" t="s">
        <v>44</v>
      </c>
      <c r="C9" s="839" t="s">
        <v>3515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178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 x14ac:dyDescent="0.25">
      <c r="B10" s="13" t="s">
        <v>43</v>
      </c>
      <c r="C10" s="839" t="s">
        <v>3515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8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 x14ac:dyDescent="0.25">
      <c r="B11" s="13" t="s">
        <v>42</v>
      </c>
      <c r="C11" s="839" t="s">
        <v>3515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8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 x14ac:dyDescent="0.25">
      <c r="B12" s="13" t="s">
        <v>41</v>
      </c>
      <c r="C12" s="839" t="s">
        <v>3515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8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 x14ac:dyDescent="0.25">
      <c r="B13" s="13" t="s">
        <v>40</v>
      </c>
      <c r="C13" s="839" t="s">
        <v>3515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8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 x14ac:dyDescent="0.25">
      <c r="B14" s="13" t="s">
        <v>39</v>
      </c>
      <c r="C14" s="839" t="s">
        <v>3515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8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 x14ac:dyDescent="0.25">
      <c r="B15" s="13" t="s">
        <v>39</v>
      </c>
      <c r="C15" s="839" t="s">
        <v>3515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8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 x14ac:dyDescent="0.25">
      <c r="B16" s="13" t="s">
        <v>38</v>
      </c>
      <c r="C16" s="839" t="s">
        <v>3515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8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 x14ac:dyDescent="0.25">
      <c r="B17" s="13" t="s">
        <v>37</v>
      </c>
      <c r="C17" s="839" t="s">
        <v>3515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8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 x14ac:dyDescent="0.25">
      <c r="B18" s="13" t="s">
        <v>36</v>
      </c>
      <c r="C18" s="839" t="s">
        <v>3515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8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 x14ac:dyDescent="0.25">
      <c r="B19" s="13" t="s">
        <v>36</v>
      </c>
      <c r="C19" s="839" t="s">
        <v>3515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8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 x14ac:dyDescent="0.25">
      <c r="B20" s="13" t="s">
        <v>35</v>
      </c>
      <c r="C20" s="839" t="s">
        <v>3515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8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 x14ac:dyDescent="0.25">
      <c r="B21" s="13" t="s">
        <v>34</v>
      </c>
      <c r="C21" s="839" t="s">
        <v>3515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8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 x14ac:dyDescent="0.25">
      <c r="B22" s="13" t="s">
        <v>33</v>
      </c>
      <c r="C22" s="839" t="s">
        <v>3515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8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 x14ac:dyDescent="0.25">
      <c r="B23" s="13" t="s">
        <v>32</v>
      </c>
      <c r="C23" s="839" t="s">
        <v>3515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178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 x14ac:dyDescent="0.25">
      <c r="B24" s="13" t="s">
        <v>31</v>
      </c>
      <c r="C24" s="839" t="s">
        <v>3515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8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 x14ac:dyDescent="0.25">
      <c r="B25" s="13" t="s">
        <v>30</v>
      </c>
      <c r="C25" s="839" t="s">
        <v>3515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8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 x14ac:dyDescent="0.25">
      <c r="B26" s="13" t="s">
        <v>30</v>
      </c>
      <c r="C26" s="839" t="s">
        <v>3515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8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 x14ac:dyDescent="0.25">
      <c r="B27" s="13" t="s">
        <v>29</v>
      </c>
      <c r="C27" s="839" t="s">
        <v>3515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8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 x14ac:dyDescent="0.25">
      <c r="B28" s="13" t="s">
        <v>28</v>
      </c>
      <c r="C28" s="839" t="s">
        <v>3515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8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 x14ac:dyDescent="0.25">
      <c r="B29" s="13" t="s">
        <v>27</v>
      </c>
      <c r="C29" s="839" t="s">
        <v>3515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8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 x14ac:dyDescent="0.25">
      <c r="B30" s="13" t="s">
        <v>26</v>
      </c>
      <c r="C30" s="839" t="s">
        <v>3515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8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 x14ac:dyDescent="0.25">
      <c r="B31" s="13" t="s">
        <v>26</v>
      </c>
      <c r="C31" s="839" t="s">
        <v>3515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8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 x14ac:dyDescent="0.25">
      <c r="B32" s="13" t="s">
        <v>25</v>
      </c>
      <c r="C32" s="839" t="s">
        <v>3515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8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 x14ac:dyDescent="0.25">
      <c r="B33" s="13" t="s">
        <v>24</v>
      </c>
      <c r="C33" s="839" t="s">
        <v>3515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8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 x14ac:dyDescent="0.25">
      <c r="B34" s="13" t="s">
        <v>23</v>
      </c>
      <c r="C34" s="839" t="s">
        <v>3515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8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 x14ac:dyDescent="0.25">
      <c r="B35" s="13" t="s">
        <v>22</v>
      </c>
      <c r="C35" s="839" t="s">
        <v>3515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8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 x14ac:dyDescent="0.25">
      <c r="B36" s="13" t="s">
        <v>21</v>
      </c>
      <c r="C36" s="839" t="s">
        <v>3515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8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 x14ac:dyDescent="0.25">
      <c r="B37" s="13" t="s">
        <v>20</v>
      </c>
      <c r="C37" s="839" t="s">
        <v>3515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8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 x14ac:dyDescent="0.25">
      <c r="B38" s="13" t="s">
        <v>19</v>
      </c>
      <c r="C38" s="839" t="s">
        <v>3515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8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 x14ac:dyDescent="0.25">
      <c r="B39" s="13" t="s">
        <v>19</v>
      </c>
      <c r="C39" s="839" t="s">
        <v>3515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8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 x14ac:dyDescent="0.25">
      <c r="B40" s="13" t="s">
        <v>18</v>
      </c>
      <c r="C40" s="839" t="s">
        <v>3515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8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 x14ac:dyDescent="0.25">
      <c r="B41" s="13" t="s">
        <v>17</v>
      </c>
      <c r="C41" s="839" t="s">
        <v>3515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8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 x14ac:dyDescent="0.25">
      <c r="B42" s="13" t="s">
        <v>53</v>
      </c>
      <c r="C42" s="839" t="s">
        <v>3515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8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 x14ac:dyDescent="0.25">
      <c r="B43" s="13" t="s">
        <v>52</v>
      </c>
      <c r="C43" s="839" t="s">
        <v>3515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8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 x14ac:dyDescent="0.25">
      <c r="B44" s="13" t="s">
        <v>51</v>
      </c>
      <c r="C44" s="839" t="s">
        <v>3515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8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 x14ac:dyDescent="0.25">
      <c r="B45" s="13" t="s">
        <v>50</v>
      </c>
      <c r="C45" s="839" t="s">
        <v>3515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8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 x14ac:dyDescent="0.25">
      <c r="B46" s="13" t="s">
        <v>49</v>
      </c>
      <c r="C46" s="839" t="s">
        <v>3515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8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 x14ac:dyDescent="0.25">
      <c r="B47" s="13" t="s">
        <v>71</v>
      </c>
      <c r="C47" s="839" t="s">
        <v>3515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8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 x14ac:dyDescent="0.25">
      <c r="B48" s="13" t="s">
        <v>70</v>
      </c>
      <c r="C48" s="839" t="s">
        <v>3515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8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 x14ac:dyDescent="0.25">
      <c r="B49" s="13" t="s">
        <v>69</v>
      </c>
      <c r="C49" s="839" t="s">
        <v>3515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8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 x14ac:dyDescent="0.25">
      <c r="B50" s="13" t="s">
        <v>68</v>
      </c>
      <c r="C50" s="839" t="s">
        <v>3515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8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 x14ac:dyDescent="0.25">
      <c r="B51" s="13" t="s">
        <v>67</v>
      </c>
      <c r="C51" s="839" t="s">
        <v>3515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8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 x14ac:dyDescent="0.25">
      <c r="B52" s="13" t="s">
        <v>66</v>
      </c>
      <c r="C52" s="839" t="s">
        <v>3515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8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 x14ac:dyDescent="0.25">
      <c r="B53" s="13" t="s">
        <v>65</v>
      </c>
      <c r="C53" s="839" t="s">
        <v>3515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8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 x14ac:dyDescent="0.25">
      <c r="B54" s="13" t="s">
        <v>64</v>
      </c>
      <c r="C54" s="839" t="s">
        <v>3515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8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 x14ac:dyDescent="0.25">
      <c r="B55" s="13" t="s">
        <v>63</v>
      </c>
      <c r="C55" s="839" t="s">
        <v>3515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8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 x14ac:dyDescent="0.25">
      <c r="B56" s="13" t="s">
        <v>62</v>
      </c>
      <c r="C56" s="839" t="s">
        <v>3515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9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 x14ac:dyDescent="0.25">
      <c r="B57" s="13" t="s">
        <v>61</v>
      </c>
      <c r="C57" s="839" t="s">
        <v>3515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8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 x14ac:dyDescent="0.25">
      <c r="B58" s="13" t="s">
        <v>60</v>
      </c>
      <c r="C58" s="839" t="s">
        <v>3515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8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 x14ac:dyDescent="0.25">
      <c r="B59" s="13" t="s">
        <v>59</v>
      </c>
      <c r="C59" s="839" t="s">
        <v>3515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8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 x14ac:dyDescent="0.25">
      <c r="B60" s="13" t="s">
        <v>59</v>
      </c>
      <c r="C60" s="839" t="s">
        <v>3515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9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 x14ac:dyDescent="0.25">
      <c r="B61" s="13" t="s">
        <v>58</v>
      </c>
      <c r="C61" s="839" t="s">
        <v>3515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80" t="s">
        <v>4321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 x14ac:dyDescent="0.25">
      <c r="B62" s="13" t="s">
        <v>57</v>
      </c>
      <c r="C62" s="839" t="s">
        <v>3515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8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 x14ac:dyDescent="0.25">
      <c r="B63" s="13" t="s">
        <v>56</v>
      </c>
      <c r="C63" s="839" t="s">
        <v>3515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8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 x14ac:dyDescent="0.25">
      <c r="B64" s="13" t="s">
        <v>55</v>
      </c>
      <c r="C64" s="839" t="s">
        <v>3515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8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 x14ac:dyDescent="0.25">
      <c r="B65" s="13" t="s">
        <v>54</v>
      </c>
      <c r="C65" s="839" t="s">
        <v>3515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178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 x14ac:dyDescent="0.25">
      <c r="B66" s="13" t="s">
        <v>107</v>
      </c>
      <c r="C66" s="839" t="s">
        <v>3515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8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 x14ac:dyDescent="0.25">
      <c r="B67" s="13" t="s">
        <v>106</v>
      </c>
      <c r="C67" s="839" t="s">
        <v>3515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8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 x14ac:dyDescent="0.25">
      <c r="B68" s="13" t="s">
        <v>105</v>
      </c>
      <c r="C68" s="839" t="s">
        <v>3515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8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 x14ac:dyDescent="0.25">
      <c r="B69" s="13" t="s">
        <v>104</v>
      </c>
      <c r="C69" s="839" t="s">
        <v>3515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8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 x14ac:dyDescent="0.25">
      <c r="B70" s="13" t="s">
        <v>104</v>
      </c>
      <c r="C70" s="839" t="s">
        <v>3515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9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 x14ac:dyDescent="0.25">
      <c r="B71" s="13" t="s">
        <v>149</v>
      </c>
      <c r="C71" s="839" t="s">
        <v>3515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8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 x14ac:dyDescent="0.25">
      <c r="B72" s="13" t="s">
        <v>148</v>
      </c>
      <c r="C72" s="839" t="s">
        <v>3515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8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 x14ac:dyDescent="0.25">
      <c r="B73" s="13" t="s">
        <v>147</v>
      </c>
      <c r="C73" s="839" t="s">
        <v>3515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8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 x14ac:dyDescent="0.25">
      <c r="B74" s="13" t="s">
        <v>146</v>
      </c>
      <c r="C74" s="839" t="s">
        <v>3515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8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 x14ac:dyDescent="0.25">
      <c r="B75" s="13" t="s">
        <v>145</v>
      </c>
      <c r="C75" s="839" t="s">
        <v>3515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8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 x14ac:dyDescent="0.25">
      <c r="B76" s="13" t="s">
        <v>144</v>
      </c>
      <c r="C76" s="839" t="s">
        <v>3515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8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 x14ac:dyDescent="0.25">
      <c r="B77" s="13" t="s">
        <v>143</v>
      </c>
      <c r="C77" s="839" t="s">
        <v>3515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8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 x14ac:dyDescent="0.25">
      <c r="B78" s="13" t="s">
        <v>142</v>
      </c>
      <c r="C78" s="839" t="s">
        <v>3515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8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 x14ac:dyDescent="0.25">
      <c r="B79" s="13" t="s">
        <v>141</v>
      </c>
      <c r="C79" s="839" t="s">
        <v>3515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8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 x14ac:dyDescent="0.25">
      <c r="B80" s="13" t="s">
        <v>140</v>
      </c>
      <c r="C80" s="839" t="s">
        <v>3515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8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 x14ac:dyDescent="0.25">
      <c r="B81" s="13" t="s">
        <v>139</v>
      </c>
      <c r="C81" s="839" t="s">
        <v>3515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8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 x14ac:dyDescent="0.25">
      <c r="B82" s="13" t="s">
        <v>138</v>
      </c>
      <c r="C82" s="839" t="s">
        <v>3515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8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 x14ac:dyDescent="0.25">
      <c r="B83" s="13" t="s">
        <v>138</v>
      </c>
      <c r="C83" s="839" t="s">
        <v>3515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8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 x14ac:dyDescent="0.25">
      <c r="B84" s="13" t="s">
        <v>137</v>
      </c>
      <c r="C84" s="839" t="s">
        <v>3515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80" t="s">
        <v>4321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 x14ac:dyDescent="0.25">
      <c r="B85" s="13" t="s">
        <v>136</v>
      </c>
      <c r="C85" s="839" t="s">
        <v>3515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8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 x14ac:dyDescent="0.25">
      <c r="B86" s="13" t="s">
        <v>135</v>
      </c>
      <c r="C86" s="839" t="s">
        <v>3515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8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 x14ac:dyDescent="0.25">
      <c r="B87" s="13" t="s">
        <v>134</v>
      </c>
      <c r="C87" s="839" t="s">
        <v>3515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9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 x14ac:dyDescent="0.25">
      <c r="B88" s="13" t="s">
        <v>133</v>
      </c>
      <c r="C88" s="839" t="s">
        <v>3515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8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 x14ac:dyDescent="0.25">
      <c r="B89" s="13" t="s">
        <v>132</v>
      </c>
      <c r="C89" s="839" t="s">
        <v>3515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8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 x14ac:dyDescent="0.25">
      <c r="B90" s="13" t="s">
        <v>131</v>
      </c>
      <c r="C90" s="839" t="s">
        <v>3515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8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 x14ac:dyDescent="0.25">
      <c r="B91" s="13" t="s">
        <v>130</v>
      </c>
      <c r="C91" s="839" t="s">
        <v>3515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8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 x14ac:dyDescent="0.25">
      <c r="B92" s="13" t="s">
        <v>129</v>
      </c>
      <c r="C92" s="839" t="s">
        <v>3515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8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 x14ac:dyDescent="0.25">
      <c r="B93" s="13" t="s">
        <v>128</v>
      </c>
      <c r="C93" s="839" t="s">
        <v>3515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178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 x14ac:dyDescent="0.25">
      <c r="B94" s="13" t="s">
        <v>127</v>
      </c>
      <c r="C94" s="839" t="s">
        <v>3515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9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 x14ac:dyDescent="0.25">
      <c r="B95" s="13" t="s">
        <v>126</v>
      </c>
      <c r="C95" s="839" t="s">
        <v>3515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8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 x14ac:dyDescent="0.25">
      <c r="B96" s="13" t="s">
        <v>125</v>
      </c>
      <c r="C96" s="839" t="s">
        <v>3515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8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 x14ac:dyDescent="0.25">
      <c r="B97" s="13" t="s">
        <v>124</v>
      </c>
      <c r="C97" s="839" t="s">
        <v>3515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9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 x14ac:dyDescent="0.25">
      <c r="B98" s="13" t="s">
        <v>123</v>
      </c>
      <c r="C98" s="839" t="s">
        <v>3515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9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 x14ac:dyDescent="0.25">
      <c r="B99" s="13" t="s">
        <v>123</v>
      </c>
      <c r="C99" s="839" t="s">
        <v>3515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9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 x14ac:dyDescent="0.25">
      <c r="B100" s="13" t="s">
        <v>122</v>
      </c>
      <c r="C100" s="839" t="s">
        <v>3515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8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 x14ac:dyDescent="0.25">
      <c r="B101" s="13" t="s">
        <v>122</v>
      </c>
      <c r="C101" s="839" t="s">
        <v>3515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8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 x14ac:dyDescent="0.25">
      <c r="B102" s="13" t="s">
        <v>121</v>
      </c>
      <c r="C102" s="839" t="s">
        <v>3515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8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 x14ac:dyDescent="0.25">
      <c r="B103" s="13" t="s">
        <v>120</v>
      </c>
      <c r="C103" s="839" t="s">
        <v>3515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8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 x14ac:dyDescent="0.25">
      <c r="B104" s="13" t="s">
        <v>120</v>
      </c>
      <c r="C104" s="839" t="s">
        <v>3515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8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 x14ac:dyDescent="0.25">
      <c r="B105" s="13" t="s">
        <v>119</v>
      </c>
      <c r="C105" s="839" t="s">
        <v>3515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9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 x14ac:dyDescent="0.25">
      <c r="B106" s="13" t="s">
        <v>119</v>
      </c>
      <c r="C106" s="839" t="s">
        <v>3515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9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 x14ac:dyDescent="0.25">
      <c r="B107" s="13" t="s">
        <v>118</v>
      </c>
      <c r="C107" s="839" t="s">
        <v>3515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8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 x14ac:dyDescent="0.25">
      <c r="B108" s="13" t="s">
        <v>117</v>
      </c>
      <c r="C108" s="839" t="s">
        <v>3515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8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 x14ac:dyDescent="0.25">
      <c r="B109" s="13" t="s">
        <v>117</v>
      </c>
      <c r="C109" s="839" t="s">
        <v>3515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8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 x14ac:dyDescent="0.25">
      <c r="B110" s="13" t="s">
        <v>116</v>
      </c>
      <c r="C110" s="839" t="s">
        <v>3515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8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 x14ac:dyDescent="0.25">
      <c r="B111" s="13" t="s">
        <v>115</v>
      </c>
      <c r="C111" s="839" t="s">
        <v>3515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8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 x14ac:dyDescent="0.25">
      <c r="B112" s="13" t="s">
        <v>115</v>
      </c>
      <c r="C112" s="839" t="s">
        <v>3515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8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 x14ac:dyDescent="0.25">
      <c r="B113" s="13" t="s">
        <v>114</v>
      </c>
      <c r="C113" s="839" t="s">
        <v>3515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8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 x14ac:dyDescent="0.25">
      <c r="B114" s="13" t="s">
        <v>113</v>
      </c>
      <c r="C114" s="839" t="s">
        <v>3515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8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 x14ac:dyDescent="0.25">
      <c r="B115" s="13" t="s">
        <v>113</v>
      </c>
      <c r="C115" s="839" t="s">
        <v>3515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8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 x14ac:dyDescent="0.25">
      <c r="B116" s="13" t="s">
        <v>112</v>
      </c>
      <c r="C116" s="839" t="s">
        <v>3515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9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1360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 x14ac:dyDescent="0.25">
      <c r="B117" s="13" t="s">
        <v>112</v>
      </c>
      <c r="C117" s="839" t="s">
        <v>3515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9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1360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 x14ac:dyDescent="0.25">
      <c r="B118" s="13" t="s">
        <v>111</v>
      </c>
      <c r="C118" s="839" t="s">
        <v>3515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8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 x14ac:dyDescent="0.25">
      <c r="B119" s="13" t="s">
        <v>172</v>
      </c>
      <c r="C119" s="839" t="s">
        <v>3515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8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 x14ac:dyDescent="0.25">
      <c r="B120" s="13" t="s">
        <v>171</v>
      </c>
      <c r="C120" s="839" t="s">
        <v>3515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8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 x14ac:dyDescent="0.25">
      <c r="B121" s="13" t="s">
        <v>170</v>
      </c>
      <c r="C121" s="839" t="s">
        <v>3515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8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 x14ac:dyDescent="0.25">
      <c r="B122" s="13" t="s">
        <v>169</v>
      </c>
      <c r="C122" s="839" t="s">
        <v>3515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8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 x14ac:dyDescent="0.25">
      <c r="B123" s="13" t="s">
        <v>168</v>
      </c>
      <c r="C123" s="839" t="s">
        <v>3515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8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 x14ac:dyDescent="0.25">
      <c r="B124" s="13" t="s">
        <v>167</v>
      </c>
      <c r="C124" s="839" t="s">
        <v>3515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8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 x14ac:dyDescent="0.25">
      <c r="B125" s="13" t="s">
        <v>166</v>
      </c>
      <c r="C125" s="839" t="s">
        <v>3515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8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 x14ac:dyDescent="0.25">
      <c r="B126" s="13" t="s">
        <v>166</v>
      </c>
      <c r="C126" s="839" t="s">
        <v>3515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8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 x14ac:dyDescent="0.25">
      <c r="B127" s="13" t="s">
        <v>165</v>
      </c>
      <c r="C127" s="839" t="s">
        <v>3515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8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 x14ac:dyDescent="0.25">
      <c r="B128" s="13" t="s">
        <v>164</v>
      </c>
      <c r="C128" s="839" t="s">
        <v>3515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8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 x14ac:dyDescent="0.25">
      <c r="B129" s="13" t="s">
        <v>163</v>
      </c>
      <c r="C129" s="839" t="s">
        <v>3515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8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 x14ac:dyDescent="0.25">
      <c r="B130" s="13" t="s">
        <v>162</v>
      </c>
      <c r="C130" s="839" t="s">
        <v>3515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8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 x14ac:dyDescent="0.25">
      <c r="B131" s="13" t="s">
        <v>161</v>
      </c>
      <c r="C131" s="839" t="s">
        <v>3515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8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 x14ac:dyDescent="0.25">
      <c r="B132" s="13" t="s">
        <v>160</v>
      </c>
      <c r="C132" s="839" t="s">
        <v>3515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8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 x14ac:dyDescent="0.25">
      <c r="B133" s="13" t="s">
        <v>160</v>
      </c>
      <c r="C133" s="839" t="s">
        <v>3515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8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 x14ac:dyDescent="0.25">
      <c r="B134" s="13" t="s">
        <v>159</v>
      </c>
      <c r="C134" s="839" t="s">
        <v>3515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9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 x14ac:dyDescent="0.25">
      <c r="B135" s="13" t="s">
        <v>158</v>
      </c>
      <c r="C135" s="839" t="s">
        <v>3515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9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 x14ac:dyDescent="0.25">
      <c r="B136" s="13" t="s">
        <v>178</v>
      </c>
      <c r="C136" s="839" t="s">
        <v>3515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9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 x14ac:dyDescent="0.25">
      <c r="B137" s="13" t="s">
        <v>177</v>
      </c>
      <c r="C137" s="839" t="s">
        <v>3515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4" t="s">
        <v>3370</v>
      </c>
      <c r="I137" s="1181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254" t="s">
        <v>1209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 x14ac:dyDescent="0.25">
      <c r="B138" s="13" t="s">
        <v>176</v>
      </c>
      <c r="C138" s="839" t="s">
        <v>3515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8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 x14ac:dyDescent="0.25">
      <c r="B139" s="13" t="s">
        <v>176</v>
      </c>
      <c r="C139" s="839" t="s">
        <v>3515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8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 x14ac:dyDescent="0.25">
      <c r="B140" s="13" t="s">
        <v>175</v>
      </c>
      <c r="C140" s="839" t="s">
        <v>3515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8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 x14ac:dyDescent="0.25">
      <c r="B141" s="13" t="s">
        <v>174</v>
      </c>
      <c r="C141" s="839" t="s">
        <v>3515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8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 x14ac:dyDescent="0.25">
      <c r="B142" s="13" t="s">
        <v>174</v>
      </c>
      <c r="C142" s="839" t="s">
        <v>3515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8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 x14ac:dyDescent="0.25">
      <c r="B143" s="13" t="s">
        <v>173</v>
      </c>
      <c r="C143" s="839" t="s">
        <v>3515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8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 x14ac:dyDescent="0.25">
      <c r="B144" s="13" t="s">
        <v>190</v>
      </c>
      <c r="C144" s="839" t="s">
        <v>3515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178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 x14ac:dyDescent="0.25">
      <c r="B145" s="13" t="s">
        <v>189</v>
      </c>
      <c r="C145" s="839" t="s">
        <v>3515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178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 x14ac:dyDescent="0.25">
      <c r="B146" s="13" t="s">
        <v>188</v>
      </c>
      <c r="C146" s="839" t="s">
        <v>3515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8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 x14ac:dyDescent="0.25">
      <c r="B147" s="13" t="s">
        <v>187</v>
      </c>
      <c r="C147" s="839" t="s">
        <v>3515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8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 x14ac:dyDescent="0.25">
      <c r="B148" s="13" t="s">
        <v>186</v>
      </c>
      <c r="C148" s="839" t="s">
        <v>3515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9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 x14ac:dyDescent="0.25">
      <c r="B149" s="13" t="s">
        <v>186</v>
      </c>
      <c r="C149" s="839" t="s">
        <v>3515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9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 x14ac:dyDescent="0.25">
      <c r="B150" s="13" t="s">
        <v>185</v>
      </c>
      <c r="C150" s="839" t="s">
        <v>3515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9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 x14ac:dyDescent="0.25">
      <c r="B151" s="13" t="s">
        <v>184</v>
      </c>
      <c r="C151" s="839" t="s">
        <v>3515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9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 x14ac:dyDescent="0.25">
      <c r="B152" s="13" t="s">
        <v>199</v>
      </c>
      <c r="C152" s="839" t="s">
        <v>3515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8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 x14ac:dyDescent="0.25">
      <c r="B153" s="13" t="s">
        <v>198</v>
      </c>
      <c r="C153" s="839" t="s">
        <v>3515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8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 x14ac:dyDescent="0.25">
      <c r="B154" s="13" t="s">
        <v>197</v>
      </c>
      <c r="C154" s="839" t="s">
        <v>3515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8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 x14ac:dyDescent="0.25">
      <c r="B155" s="13" t="s">
        <v>196</v>
      </c>
      <c r="C155" s="839" t="s">
        <v>3515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8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 x14ac:dyDescent="0.25">
      <c r="B156" s="13" t="s">
        <v>196</v>
      </c>
      <c r="C156" s="839" t="s">
        <v>3515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8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 x14ac:dyDescent="0.25">
      <c r="B157" s="13" t="s">
        <v>245</v>
      </c>
      <c r="C157" s="839" t="s">
        <v>3515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8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 x14ac:dyDescent="0.25">
      <c r="B158" s="13" t="s">
        <v>244</v>
      </c>
      <c r="C158" s="839" t="s">
        <v>3515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8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 x14ac:dyDescent="0.25">
      <c r="B159" s="13" t="s">
        <v>195</v>
      </c>
      <c r="C159" s="839" t="s">
        <v>3515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8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 x14ac:dyDescent="0.25">
      <c r="B160" s="13" t="s">
        <v>195</v>
      </c>
      <c r="C160" s="839" t="s">
        <v>3515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8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 x14ac:dyDescent="0.25">
      <c r="B161" s="13" t="s">
        <v>243</v>
      </c>
      <c r="C161" s="839" t="s">
        <v>3515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8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 x14ac:dyDescent="0.25">
      <c r="B162" s="13" t="s">
        <v>242</v>
      </c>
      <c r="C162" s="839" t="s">
        <v>3515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180" t="s">
        <v>4321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 x14ac:dyDescent="0.25">
      <c r="B163" s="13" t="s">
        <v>241</v>
      </c>
      <c r="C163" s="839" t="s">
        <v>3515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8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 x14ac:dyDescent="0.25">
      <c r="B164" s="13" t="s">
        <v>240</v>
      </c>
      <c r="C164" s="839" t="s">
        <v>3515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8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 x14ac:dyDescent="0.25">
      <c r="B165" s="13" t="s">
        <v>239</v>
      </c>
      <c r="C165" s="839" t="s">
        <v>3515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8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 x14ac:dyDescent="0.25">
      <c r="B166" s="13" t="s">
        <v>238</v>
      </c>
      <c r="C166" s="839" t="s">
        <v>3515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9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 x14ac:dyDescent="0.25">
      <c r="B167" s="13" t="s">
        <v>237</v>
      </c>
      <c r="C167" s="839" t="s">
        <v>3515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8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 x14ac:dyDescent="0.25">
      <c r="B168" s="13" t="s">
        <v>236</v>
      </c>
      <c r="C168" s="839" t="s">
        <v>3515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9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 x14ac:dyDescent="0.25">
      <c r="B169" s="13" t="s">
        <v>235</v>
      </c>
      <c r="C169" s="839" t="s">
        <v>3515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9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 x14ac:dyDescent="0.25">
      <c r="B170" s="13" t="s">
        <v>235</v>
      </c>
      <c r="C170" s="839" t="s">
        <v>3515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9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 x14ac:dyDescent="0.25">
      <c r="B171" s="13" t="s">
        <v>234</v>
      </c>
      <c r="C171" s="839" t="s">
        <v>3515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9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 x14ac:dyDescent="0.25">
      <c r="B172" s="13" t="s">
        <v>233</v>
      </c>
      <c r="C172" s="839" t="s">
        <v>3515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8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 x14ac:dyDescent="0.25">
      <c r="B173" s="13" t="s">
        <v>232</v>
      </c>
      <c r="C173" s="839" t="s">
        <v>3515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8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 x14ac:dyDescent="0.25">
      <c r="B174" s="13" t="s">
        <v>231</v>
      </c>
      <c r="C174" s="839" t="s">
        <v>3515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8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 x14ac:dyDescent="0.25">
      <c r="B175" s="13" t="s">
        <v>230</v>
      </c>
      <c r="C175" s="839" t="s">
        <v>3515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8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 x14ac:dyDescent="0.25">
      <c r="B176" s="13" t="s">
        <v>229</v>
      </c>
      <c r="C176" s="839" t="s">
        <v>3515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8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 x14ac:dyDescent="0.25">
      <c r="B177" s="13" t="s">
        <v>228</v>
      </c>
      <c r="C177" s="839" t="s">
        <v>3515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8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 x14ac:dyDescent="0.25">
      <c r="B178" s="13" t="s">
        <v>227</v>
      </c>
      <c r="C178" s="839" t="s">
        <v>3515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8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 x14ac:dyDescent="0.25">
      <c r="B179" s="13" t="s">
        <v>226</v>
      </c>
      <c r="C179" s="839" t="s">
        <v>3515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8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 x14ac:dyDescent="0.25">
      <c r="B180" s="13" t="s">
        <v>225</v>
      </c>
      <c r="C180" s="839" t="s">
        <v>3515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8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 x14ac:dyDescent="0.25">
      <c r="B181" s="13" t="s">
        <v>224</v>
      </c>
      <c r="C181" s="839" t="s">
        <v>3515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8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 x14ac:dyDescent="0.25">
      <c r="B182" s="13" t="s">
        <v>223</v>
      </c>
      <c r="C182" s="839" t="s">
        <v>3515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8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 x14ac:dyDescent="0.25">
      <c r="B183" s="13" t="s">
        <v>222</v>
      </c>
      <c r="C183" s="839" t="s">
        <v>3515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8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 x14ac:dyDescent="0.25">
      <c r="B184" s="13" t="s">
        <v>221</v>
      </c>
      <c r="C184" s="839" t="s">
        <v>3515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8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 x14ac:dyDescent="0.25">
      <c r="B185" s="13" t="s">
        <v>220</v>
      </c>
      <c r="C185" s="839" t="s">
        <v>3515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80" t="s">
        <v>4321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 x14ac:dyDescent="0.25">
      <c r="B186" s="13" t="s">
        <v>219</v>
      </c>
      <c r="C186" s="839" t="s">
        <v>3515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8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 x14ac:dyDescent="0.25">
      <c r="B187" s="13" t="s">
        <v>218</v>
      </c>
      <c r="C187" s="839" t="s">
        <v>3515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9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 x14ac:dyDescent="0.25">
      <c r="B188" s="13" t="s">
        <v>218</v>
      </c>
      <c r="C188" s="839" t="s">
        <v>3515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80" t="s">
        <v>4321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 x14ac:dyDescent="0.25">
      <c r="B189" s="13" t="s">
        <v>217</v>
      </c>
      <c r="C189" s="839" t="s">
        <v>3515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8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 x14ac:dyDescent="0.25">
      <c r="B190" s="13" t="s">
        <v>217</v>
      </c>
      <c r="C190" s="839" t="s">
        <v>3515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8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 x14ac:dyDescent="0.25">
      <c r="B191" s="13" t="s">
        <v>216</v>
      </c>
      <c r="C191" s="839" t="s">
        <v>3515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8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 x14ac:dyDescent="0.25">
      <c r="B192" s="13" t="s">
        <v>215</v>
      </c>
      <c r="C192" s="839" t="s">
        <v>3515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8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 x14ac:dyDescent="0.25">
      <c r="B193" s="13" t="s">
        <v>214</v>
      </c>
      <c r="C193" s="839" t="s">
        <v>3515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8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 x14ac:dyDescent="0.25">
      <c r="B194" s="13" t="s">
        <v>213</v>
      </c>
      <c r="C194" s="839" t="s">
        <v>3515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8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 x14ac:dyDescent="0.25">
      <c r="B195" s="13" t="s">
        <v>212</v>
      </c>
      <c r="C195" s="839" t="s">
        <v>3515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9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 x14ac:dyDescent="0.25">
      <c r="B196" s="13" t="s">
        <v>211</v>
      </c>
      <c r="C196" s="839" t="s">
        <v>3515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8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 x14ac:dyDescent="0.25">
      <c r="B197" s="13" t="s">
        <v>210</v>
      </c>
      <c r="C197" s="839" t="s">
        <v>3515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80" t="s">
        <v>4321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 x14ac:dyDescent="0.25">
      <c r="B198" s="13" t="s">
        <v>209</v>
      </c>
      <c r="C198" s="839" t="s">
        <v>3515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8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 x14ac:dyDescent="0.25">
      <c r="B199" s="13" t="s">
        <v>208</v>
      </c>
      <c r="C199" s="839" t="s">
        <v>3515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8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 x14ac:dyDescent="0.25">
      <c r="B200" s="13" t="s">
        <v>207</v>
      </c>
      <c r="C200" s="839" t="s">
        <v>3515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8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 x14ac:dyDescent="0.25">
      <c r="B201" s="13" t="s">
        <v>206</v>
      </c>
      <c r="C201" s="839" t="s">
        <v>3515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8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 x14ac:dyDescent="0.25">
      <c r="B202" s="13" t="s">
        <v>205</v>
      </c>
      <c r="C202" s="839" t="s">
        <v>3515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9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 x14ac:dyDescent="0.25">
      <c r="B203" s="13" t="s">
        <v>292</v>
      </c>
      <c r="C203" s="839" t="s">
        <v>3515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8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 x14ac:dyDescent="0.25">
      <c r="B204" s="13" t="s">
        <v>291</v>
      </c>
      <c r="C204" s="839" t="s">
        <v>3515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8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 x14ac:dyDescent="0.25">
      <c r="B205" s="13" t="s">
        <v>290</v>
      </c>
      <c r="C205" s="839" t="s">
        <v>3515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8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 x14ac:dyDescent="0.25">
      <c r="B206" s="13" t="s">
        <v>289</v>
      </c>
      <c r="C206" s="839" t="s">
        <v>3515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8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 x14ac:dyDescent="0.25">
      <c r="B207" s="13" t="s">
        <v>288</v>
      </c>
      <c r="C207" s="839" t="s">
        <v>3515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8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 x14ac:dyDescent="0.25">
      <c r="B208" s="13" t="s">
        <v>287</v>
      </c>
      <c r="C208" s="839" t="s">
        <v>3515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8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 x14ac:dyDescent="0.25">
      <c r="B209" s="13" t="s">
        <v>305</v>
      </c>
      <c r="C209" s="839" t="s">
        <v>3515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8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 x14ac:dyDescent="0.25">
      <c r="B210" s="13" t="s">
        <v>304</v>
      </c>
      <c r="C210" s="839" t="s">
        <v>3515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8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 x14ac:dyDescent="0.25">
      <c r="B211" s="13" t="s">
        <v>303</v>
      </c>
      <c r="C211" s="839" t="s">
        <v>3515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8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 x14ac:dyDescent="0.25">
      <c r="B212" s="13" t="s">
        <v>302</v>
      </c>
      <c r="C212" s="839" t="s">
        <v>3515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8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 x14ac:dyDescent="0.25">
      <c r="B213" s="13" t="s">
        <v>301</v>
      </c>
      <c r="C213" s="839" t="s">
        <v>3515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8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 x14ac:dyDescent="0.25">
      <c r="B214" s="13" t="s">
        <v>300</v>
      </c>
      <c r="C214" s="839" t="s">
        <v>3515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8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 x14ac:dyDescent="0.25">
      <c r="B215" s="13" t="s">
        <v>299</v>
      </c>
      <c r="C215" s="839" t="s">
        <v>3515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8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 x14ac:dyDescent="0.25">
      <c r="B216" s="13" t="s">
        <v>298</v>
      </c>
      <c r="C216" s="839" t="s">
        <v>3515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8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 x14ac:dyDescent="0.25">
      <c r="B217" s="13" t="s">
        <v>313</v>
      </c>
      <c r="C217" s="839" t="s">
        <v>3515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8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 x14ac:dyDescent="0.25">
      <c r="B218" s="13" t="s">
        <v>312</v>
      </c>
      <c r="C218" s="839" t="s">
        <v>3515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8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 x14ac:dyDescent="0.25">
      <c r="B219" s="13" t="s">
        <v>311</v>
      </c>
      <c r="C219" s="839" t="s">
        <v>3515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8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 x14ac:dyDescent="0.25">
      <c r="B220" s="13" t="s">
        <v>310</v>
      </c>
      <c r="C220" s="839" t="s">
        <v>3515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8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 x14ac:dyDescent="0.25">
      <c r="B221" s="13" t="s">
        <v>309</v>
      </c>
      <c r="C221" s="839" t="s">
        <v>3515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9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 x14ac:dyDescent="0.25">
      <c r="B222" s="13" t="s">
        <v>309</v>
      </c>
      <c r="C222" s="839" t="s">
        <v>3515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8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 x14ac:dyDescent="0.25">
      <c r="B223" s="13" t="s">
        <v>308</v>
      </c>
      <c r="C223" s="839" t="s">
        <v>3515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8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 x14ac:dyDescent="0.25">
      <c r="B224" s="13" t="s">
        <v>307</v>
      </c>
      <c r="C224" s="839" t="s">
        <v>3515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8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 x14ac:dyDescent="0.25">
      <c r="B225" s="13" t="s">
        <v>306</v>
      </c>
      <c r="C225" s="839" t="s">
        <v>3515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80" t="s">
        <v>4321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 x14ac:dyDescent="0.25">
      <c r="B226" s="13" t="s">
        <v>348</v>
      </c>
      <c r="C226" s="839" t="s">
        <v>3515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8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 x14ac:dyDescent="0.25">
      <c r="B227" s="13" t="s">
        <v>347</v>
      </c>
      <c r="C227" s="839" t="s">
        <v>3515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8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 x14ac:dyDescent="0.25">
      <c r="B228" s="13" t="s">
        <v>346</v>
      </c>
      <c r="C228" s="839" t="s">
        <v>3515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8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 x14ac:dyDescent="0.25">
      <c r="B229" s="13" t="s">
        <v>346</v>
      </c>
      <c r="C229" s="839" t="s">
        <v>3515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8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 x14ac:dyDescent="0.25">
      <c r="B230" s="13" t="s">
        <v>345</v>
      </c>
      <c r="C230" s="839" t="s">
        <v>3515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8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 x14ac:dyDescent="0.25">
      <c r="B231" s="13" t="s">
        <v>344</v>
      </c>
      <c r="C231" s="839" t="s">
        <v>3515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8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 x14ac:dyDescent="0.25">
      <c r="B232" s="13" t="s">
        <v>343</v>
      </c>
      <c r="C232" s="839" t="s">
        <v>3515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8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 x14ac:dyDescent="0.25">
      <c r="B233" s="13" t="s">
        <v>342</v>
      </c>
      <c r="C233" s="839" t="s">
        <v>3515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8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 x14ac:dyDescent="0.25">
      <c r="B234" s="13" t="s">
        <v>341</v>
      </c>
      <c r="C234" s="839" t="s">
        <v>3515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8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 x14ac:dyDescent="0.25">
      <c r="B235" s="13" t="s">
        <v>340</v>
      </c>
      <c r="C235" s="839" t="s">
        <v>3515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8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 x14ac:dyDescent="0.25">
      <c r="B236" s="13" t="s">
        <v>339</v>
      </c>
      <c r="C236" s="839" t="s">
        <v>3515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8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 x14ac:dyDescent="0.25">
      <c r="B237" s="13" t="s">
        <v>338</v>
      </c>
      <c r="C237" s="839" t="s">
        <v>3515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8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 x14ac:dyDescent="0.25">
      <c r="B238" s="13" t="s">
        <v>337</v>
      </c>
      <c r="C238" s="839" t="s">
        <v>3515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8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 x14ac:dyDescent="0.25">
      <c r="B239" s="13" t="s">
        <v>336</v>
      </c>
      <c r="C239" s="839" t="s">
        <v>3515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8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 x14ac:dyDescent="0.25">
      <c r="B240" s="13" t="s">
        <v>335</v>
      </c>
      <c r="C240" s="839" t="s">
        <v>3515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8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 x14ac:dyDescent="0.25">
      <c r="B241" s="13" t="s">
        <v>334</v>
      </c>
      <c r="C241" s="839" t="s">
        <v>3515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8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 x14ac:dyDescent="0.25">
      <c r="B242" s="13" t="s">
        <v>333</v>
      </c>
      <c r="C242" s="839" t="s">
        <v>3515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8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 x14ac:dyDescent="0.25">
      <c r="B243" s="13" t="s">
        <v>332</v>
      </c>
      <c r="C243" s="839" t="s">
        <v>3515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9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 x14ac:dyDescent="0.25">
      <c r="B244" s="13" t="s">
        <v>331</v>
      </c>
      <c r="C244" s="839" t="s">
        <v>3515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8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 x14ac:dyDescent="0.25">
      <c r="B245" s="13" t="s">
        <v>330</v>
      </c>
      <c r="C245" s="839" t="s">
        <v>3515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8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 x14ac:dyDescent="0.25">
      <c r="B246" s="13" t="s">
        <v>330</v>
      </c>
      <c r="C246" s="839" t="s">
        <v>3515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8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 x14ac:dyDescent="0.25">
      <c r="B247" s="13" t="s">
        <v>329</v>
      </c>
      <c r="C247" s="839" t="s">
        <v>3515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8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 x14ac:dyDescent="0.25">
      <c r="B248" s="13" t="s">
        <v>328</v>
      </c>
      <c r="C248" s="839" t="s">
        <v>3515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8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 x14ac:dyDescent="0.25">
      <c r="B249" s="13" t="s">
        <v>327</v>
      </c>
      <c r="C249" s="839" t="s">
        <v>3515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8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 x14ac:dyDescent="0.25">
      <c r="B250" s="13" t="s">
        <v>326</v>
      </c>
      <c r="C250" s="839" t="s">
        <v>3515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9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 x14ac:dyDescent="0.25">
      <c r="B251" s="13" t="s">
        <v>325</v>
      </c>
      <c r="C251" s="839" t="s">
        <v>3515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8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 x14ac:dyDescent="0.25">
      <c r="B252" s="13" t="s">
        <v>324</v>
      </c>
      <c r="C252" s="839" t="s">
        <v>3515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8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 x14ac:dyDescent="0.25">
      <c r="B253" s="13" t="s">
        <v>323</v>
      </c>
      <c r="C253" s="839" t="s">
        <v>3515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9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 x14ac:dyDescent="0.25">
      <c r="B254" s="13" t="s">
        <v>322</v>
      </c>
      <c r="C254" s="839" t="s">
        <v>3515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8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 x14ac:dyDescent="0.25">
      <c r="B255" s="13" t="s">
        <v>321</v>
      </c>
      <c r="C255" s="839" t="s">
        <v>3515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8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 x14ac:dyDescent="0.25">
      <c r="B256" s="13" t="s">
        <v>320</v>
      </c>
      <c r="C256" s="839" t="s">
        <v>3515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8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 x14ac:dyDescent="0.25">
      <c r="B257" s="13" t="s">
        <v>319</v>
      </c>
      <c r="C257" s="839" t="s">
        <v>3515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8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 x14ac:dyDescent="0.25">
      <c r="B258" s="13" t="s">
        <v>319</v>
      </c>
      <c r="C258" s="839" t="s">
        <v>3515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8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 x14ac:dyDescent="0.25">
      <c r="B259" s="13" t="s">
        <v>318</v>
      </c>
      <c r="C259" s="839" t="s">
        <v>3515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8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 x14ac:dyDescent="0.25">
      <c r="B260" s="13" t="s">
        <v>317</v>
      </c>
      <c r="C260" s="839" t="s">
        <v>3515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179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 x14ac:dyDescent="0.25">
      <c r="B261" s="13" t="s">
        <v>317</v>
      </c>
      <c r="C261" s="839" t="s">
        <v>3515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80" t="s">
        <v>4321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 x14ac:dyDescent="0.25">
      <c r="B262" s="13" t="s">
        <v>365</v>
      </c>
      <c r="C262" s="839" t="s">
        <v>3515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8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 x14ac:dyDescent="0.25">
      <c r="B263" s="13" t="s">
        <v>365</v>
      </c>
      <c r="C263" s="839" t="s">
        <v>3515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8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 x14ac:dyDescent="0.25">
      <c r="B264" s="13" t="s">
        <v>364</v>
      </c>
      <c r="C264" s="839" t="s">
        <v>3515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8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 x14ac:dyDescent="0.25">
      <c r="B265" s="13" t="s">
        <v>363</v>
      </c>
      <c r="C265" s="839" t="s">
        <v>3515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8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 x14ac:dyDescent="0.25">
      <c r="B266" s="13" t="s">
        <v>362</v>
      </c>
      <c r="C266" s="839" t="s">
        <v>3515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8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 x14ac:dyDescent="0.25">
      <c r="B267" s="13" t="s">
        <v>361</v>
      </c>
      <c r="C267" s="839" t="s">
        <v>3515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9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 x14ac:dyDescent="0.25">
      <c r="B268" s="13" t="s">
        <v>360</v>
      </c>
      <c r="C268" s="839" t="s">
        <v>3515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9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 x14ac:dyDescent="0.25">
      <c r="B269" s="13" t="s">
        <v>359</v>
      </c>
      <c r="C269" s="839" t="s">
        <v>3515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8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 x14ac:dyDescent="0.25">
      <c r="B270" s="13" t="s">
        <v>358</v>
      </c>
      <c r="C270" s="839" t="s">
        <v>3515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8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 x14ac:dyDescent="0.25">
      <c r="B271" s="13" t="s">
        <v>357</v>
      </c>
      <c r="C271" s="839" t="s">
        <v>3515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8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 x14ac:dyDescent="0.25">
      <c r="B272" s="13" t="s">
        <v>356</v>
      </c>
      <c r="C272" s="839" t="s">
        <v>3515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9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 x14ac:dyDescent="0.25">
      <c r="B273" s="13" t="s">
        <v>355</v>
      </c>
      <c r="C273" s="839" t="s">
        <v>3515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9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 x14ac:dyDescent="0.25">
      <c r="B274" s="13" t="s">
        <v>354</v>
      </c>
      <c r="C274" s="839" t="s">
        <v>3515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8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 x14ac:dyDescent="0.25">
      <c r="B275" s="13" t="s">
        <v>353</v>
      </c>
      <c r="C275" s="839" t="s">
        <v>3515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8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 x14ac:dyDescent="0.25">
      <c r="B276" s="13" t="s">
        <v>352</v>
      </c>
      <c r="C276" s="839" t="s">
        <v>3515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8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 x14ac:dyDescent="0.25">
      <c r="B277" s="13" t="s">
        <v>367</v>
      </c>
      <c r="C277" s="839" t="s">
        <v>3515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8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 x14ac:dyDescent="0.25">
      <c r="B278" s="13" t="s">
        <v>366</v>
      </c>
      <c r="C278" s="839" t="s">
        <v>3515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8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 x14ac:dyDescent="0.25">
      <c r="B279" s="13" t="s">
        <v>371</v>
      </c>
      <c r="C279" s="839" t="s">
        <v>3515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8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 x14ac:dyDescent="0.25">
      <c r="B280" s="13" t="s">
        <v>371</v>
      </c>
      <c r="C280" s="839" t="s">
        <v>3515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9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 x14ac:dyDescent="0.25">
      <c r="B281" s="13" t="s">
        <v>370</v>
      </c>
      <c r="C281" s="839" t="s">
        <v>3515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8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 x14ac:dyDescent="0.25">
      <c r="B282" s="13" t="s">
        <v>369</v>
      </c>
      <c r="C282" s="839" t="s">
        <v>3515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8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 x14ac:dyDescent="0.25">
      <c r="B283" s="13" t="s">
        <v>368</v>
      </c>
      <c r="C283" s="839" t="s">
        <v>3515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8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 x14ac:dyDescent="0.25">
      <c r="B284" s="13" t="s">
        <v>368</v>
      </c>
      <c r="C284" s="839" t="s">
        <v>3515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9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 x14ac:dyDescent="0.25">
      <c r="B285" s="13" t="s">
        <v>377</v>
      </c>
      <c r="C285" s="839" t="s">
        <v>3515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9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 x14ac:dyDescent="0.25">
      <c r="B286" s="13" t="s">
        <v>376</v>
      </c>
      <c r="C286" s="839" t="s">
        <v>3515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8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 x14ac:dyDescent="0.25">
      <c r="B287" s="13" t="s">
        <v>375</v>
      </c>
      <c r="C287" s="839" t="s">
        <v>3515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8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 x14ac:dyDescent="0.25">
      <c r="B288" s="13" t="s">
        <v>374</v>
      </c>
      <c r="C288" s="839" t="s">
        <v>3515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8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 x14ac:dyDescent="0.25">
      <c r="B289" s="13" t="s">
        <v>373</v>
      </c>
      <c r="C289" s="839" t="s">
        <v>3515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9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 x14ac:dyDescent="0.25">
      <c r="B290" s="13" t="s">
        <v>372</v>
      </c>
      <c r="C290" s="839" t="s">
        <v>3515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8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 x14ac:dyDescent="0.25">
      <c r="B291" s="13" t="s">
        <v>378</v>
      </c>
      <c r="C291" s="839" t="s">
        <v>3515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8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 x14ac:dyDescent="0.25">
      <c r="B292" s="13" t="s">
        <v>261</v>
      </c>
      <c r="C292" s="839" t="s">
        <v>3515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80" t="s">
        <v>4321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 x14ac:dyDescent="0.25">
      <c r="B293" s="647" t="s">
        <v>386</v>
      </c>
      <c r="C293" s="839" t="s">
        <v>3515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8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 x14ac:dyDescent="0.25">
      <c r="B294" s="647" t="s">
        <v>386</v>
      </c>
      <c r="C294" s="839" t="s">
        <v>3515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182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 x14ac:dyDescent="0.25">
      <c r="B295" s="647" t="s">
        <v>386</v>
      </c>
      <c r="C295" s="839" t="s">
        <v>3515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178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 x14ac:dyDescent="0.25">
      <c r="B296" s="647" t="s">
        <v>386</v>
      </c>
      <c r="C296" s="839" t="s">
        <v>3515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182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 x14ac:dyDescent="0.25">
      <c r="B297" s="648" t="s">
        <v>430</v>
      </c>
      <c r="C297" s="839" t="s">
        <v>3515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8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 x14ac:dyDescent="0.25">
      <c r="B298" s="648" t="s">
        <v>430</v>
      </c>
      <c r="C298" s="839" t="s">
        <v>3515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8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 x14ac:dyDescent="0.25">
      <c r="B299" s="648" t="s">
        <v>429</v>
      </c>
      <c r="C299" s="839" t="s">
        <v>3515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8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 x14ac:dyDescent="0.25">
      <c r="B300" s="648" t="s">
        <v>428</v>
      </c>
      <c r="C300" s="839" t="s">
        <v>3515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8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 x14ac:dyDescent="0.25">
      <c r="B301" s="648" t="s">
        <v>427</v>
      </c>
      <c r="C301" s="839" t="s">
        <v>3515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80" t="s">
        <v>4321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 x14ac:dyDescent="0.25">
      <c r="B302" s="648" t="s">
        <v>426</v>
      </c>
      <c r="C302" s="839" t="s">
        <v>3515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8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 x14ac:dyDescent="0.25">
      <c r="B303" s="648" t="s">
        <v>426</v>
      </c>
      <c r="C303" s="839" t="s">
        <v>3515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80" t="s">
        <v>4321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 x14ac:dyDescent="0.25">
      <c r="B304" s="648" t="s">
        <v>425</v>
      </c>
      <c r="C304" s="839" t="s">
        <v>3515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80" t="s">
        <v>4321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 x14ac:dyDescent="0.25">
      <c r="B305" s="648" t="s">
        <v>424</v>
      </c>
      <c r="C305" s="839" t="s">
        <v>3515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8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 x14ac:dyDescent="0.25">
      <c r="B306" s="648" t="s">
        <v>424</v>
      </c>
      <c r="C306" s="839" t="s">
        <v>3515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80" t="s">
        <v>4321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 x14ac:dyDescent="0.25">
      <c r="B307" s="648" t="s">
        <v>423</v>
      </c>
      <c r="C307" s="839" t="s">
        <v>3515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80" t="s">
        <v>4321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 x14ac:dyDescent="0.25">
      <c r="B308" s="648" t="s">
        <v>422</v>
      </c>
      <c r="C308" s="839" t="s">
        <v>3515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80" t="s">
        <v>4321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 x14ac:dyDescent="0.25">
      <c r="B309" s="648" t="s">
        <v>421</v>
      </c>
      <c r="C309" s="839" t="s">
        <v>3515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8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 x14ac:dyDescent="0.25">
      <c r="B310" s="648" t="s">
        <v>420</v>
      </c>
      <c r="C310" s="839" t="s">
        <v>3515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3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 x14ac:dyDescent="0.25">
      <c r="B311" s="648" t="s">
        <v>420</v>
      </c>
      <c r="C311" s="839" t="s">
        <v>3515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80" t="s">
        <v>4321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 x14ac:dyDescent="0.25">
      <c r="B312" s="648" t="s">
        <v>420</v>
      </c>
      <c r="C312" s="839" t="s">
        <v>3515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9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 x14ac:dyDescent="0.25">
      <c r="B313" s="648" t="s">
        <v>419</v>
      </c>
      <c r="C313" s="839" t="s">
        <v>3515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8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 x14ac:dyDescent="0.25">
      <c r="B314" s="648" t="s">
        <v>418</v>
      </c>
      <c r="C314" s="839" t="s">
        <v>3515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3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 x14ac:dyDescent="0.25">
      <c r="B315" s="648" t="s">
        <v>417</v>
      </c>
      <c r="C315" s="839" t="s">
        <v>3515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8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 x14ac:dyDescent="0.25">
      <c r="B316" s="648" t="s">
        <v>416</v>
      </c>
      <c r="C316" s="839" t="s">
        <v>3515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8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 x14ac:dyDescent="0.25">
      <c r="B317" s="648" t="s">
        <v>415</v>
      </c>
      <c r="C317" s="839" t="s">
        <v>3515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9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 x14ac:dyDescent="0.25">
      <c r="B318" s="648" t="s">
        <v>415</v>
      </c>
      <c r="C318" s="839" t="s">
        <v>3515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8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 x14ac:dyDescent="0.25">
      <c r="B319" s="648" t="s">
        <v>415</v>
      </c>
      <c r="C319" s="839" t="s">
        <v>3515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9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 x14ac:dyDescent="0.25">
      <c r="B320" s="648" t="s">
        <v>415</v>
      </c>
      <c r="C320" s="839" t="s">
        <v>3515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8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 x14ac:dyDescent="0.25">
      <c r="B321" s="649" t="s">
        <v>444</v>
      </c>
      <c r="C321" s="839" t="s">
        <v>3515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3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 x14ac:dyDescent="0.25">
      <c r="B322" s="649" t="s">
        <v>443</v>
      </c>
      <c r="C322" s="839" t="s">
        <v>3515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8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 x14ac:dyDescent="0.25">
      <c r="B323" s="649" t="s">
        <v>442</v>
      </c>
      <c r="C323" s="839" t="s">
        <v>3515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8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 x14ac:dyDescent="0.25">
      <c r="B324" s="649" t="s">
        <v>442</v>
      </c>
      <c r="C324" s="839" t="s">
        <v>3515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178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 x14ac:dyDescent="0.25">
      <c r="B325" s="649" t="s">
        <v>441</v>
      </c>
      <c r="C325" s="839" t="s">
        <v>3515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8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 x14ac:dyDescent="0.25">
      <c r="B326" s="649" t="s">
        <v>440</v>
      </c>
      <c r="C326" s="839" t="s">
        <v>3515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8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 x14ac:dyDescent="0.25">
      <c r="B327" s="649" t="s">
        <v>439</v>
      </c>
      <c r="C327" s="839" t="s">
        <v>3515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8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 x14ac:dyDescent="0.25">
      <c r="B328" s="649" t="s">
        <v>439</v>
      </c>
      <c r="C328" s="839" t="s">
        <v>3515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8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 x14ac:dyDescent="0.25">
      <c r="B329" s="649" t="s">
        <v>439</v>
      </c>
      <c r="C329" s="839" t="s">
        <v>3515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3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 x14ac:dyDescent="0.25">
      <c r="B330" s="649" t="s">
        <v>438</v>
      </c>
      <c r="C330" s="839" t="s">
        <v>3515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8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 x14ac:dyDescent="0.25">
      <c r="B331" s="649" t="s">
        <v>437</v>
      </c>
      <c r="C331" s="839" t="s">
        <v>3515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9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 x14ac:dyDescent="0.25">
      <c r="B332" s="649" t="s">
        <v>437</v>
      </c>
      <c r="C332" s="839" t="s">
        <v>3515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80" t="s">
        <v>4321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 x14ac:dyDescent="0.25">
      <c r="B333" s="649" t="s">
        <v>436</v>
      </c>
      <c r="C333" s="839" t="s">
        <v>3515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8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 x14ac:dyDescent="0.25">
      <c r="B334" s="649" t="s">
        <v>435</v>
      </c>
      <c r="C334" s="839" t="s">
        <v>3515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8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 x14ac:dyDescent="0.25">
      <c r="B335" s="649" t="s">
        <v>434</v>
      </c>
      <c r="C335" s="839" t="s">
        <v>3515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9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 x14ac:dyDescent="0.25">
      <c r="B336" s="649" t="s">
        <v>434</v>
      </c>
      <c r="C336" s="839" t="s">
        <v>3515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178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 x14ac:dyDescent="0.25">
      <c r="B337" s="649" t="s">
        <v>431</v>
      </c>
      <c r="C337" s="839" t="s">
        <v>3515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8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 x14ac:dyDescent="0.25">
      <c r="B338" s="649" t="s">
        <v>433</v>
      </c>
      <c r="C338" s="839" t="s">
        <v>3515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9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 x14ac:dyDescent="0.25">
      <c r="B339" s="649" t="s">
        <v>432</v>
      </c>
      <c r="C339" s="839" t="s">
        <v>3515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9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 x14ac:dyDescent="0.25">
      <c r="B340" s="649" t="s">
        <v>431</v>
      </c>
      <c r="C340" s="839" t="s">
        <v>3515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80" t="s">
        <v>4321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 x14ac:dyDescent="0.25">
      <c r="B341" s="649" t="s">
        <v>431</v>
      </c>
      <c r="C341" s="839" t="s">
        <v>3515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9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 x14ac:dyDescent="0.25">
      <c r="B342" s="650" t="s">
        <v>450</v>
      </c>
      <c r="C342" s="839" t="s">
        <v>3515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8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 x14ac:dyDescent="0.25">
      <c r="B343" s="650" t="s">
        <v>449</v>
      </c>
      <c r="C343" s="839" t="s">
        <v>3515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8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 x14ac:dyDescent="0.25">
      <c r="B344" s="650" t="s">
        <v>448</v>
      </c>
      <c r="C344" s="839" t="s">
        <v>3515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8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 x14ac:dyDescent="0.25">
      <c r="B345" s="650" t="s">
        <v>447</v>
      </c>
      <c r="C345" s="839" t="s">
        <v>3515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8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 x14ac:dyDescent="0.25">
      <c r="B346" s="650" t="s">
        <v>446</v>
      </c>
      <c r="C346" s="839" t="s">
        <v>3515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8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 x14ac:dyDescent="0.25">
      <c r="B347" s="650" t="s">
        <v>445</v>
      </c>
      <c r="C347" s="839" t="s">
        <v>3515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8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 x14ac:dyDescent="0.25">
      <c r="B348" s="650" t="s">
        <v>445</v>
      </c>
      <c r="C348" s="839" t="s">
        <v>3515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8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 x14ac:dyDescent="0.25">
      <c r="B349" s="651" t="s">
        <v>457</v>
      </c>
      <c r="C349" s="839" t="s">
        <v>3515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8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 x14ac:dyDescent="0.25">
      <c r="B350" s="651" t="s">
        <v>456</v>
      </c>
      <c r="C350" s="839" t="s">
        <v>3515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4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 x14ac:dyDescent="0.25">
      <c r="B351" s="651" t="s">
        <v>455</v>
      </c>
      <c r="C351" s="839" t="s">
        <v>3515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3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 x14ac:dyDescent="0.25">
      <c r="B352" s="651" t="s">
        <v>454</v>
      </c>
      <c r="C352" s="839" t="s">
        <v>3515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3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 x14ac:dyDescent="0.25">
      <c r="B353" s="652" t="s">
        <v>462</v>
      </c>
      <c r="C353" s="839" t="s">
        <v>3515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4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 x14ac:dyDescent="0.25">
      <c r="B354" s="652" t="s">
        <v>462</v>
      </c>
      <c r="C354" s="839" t="s">
        <v>3515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8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 x14ac:dyDescent="0.25">
      <c r="B355" s="652" t="s">
        <v>461</v>
      </c>
      <c r="C355" s="839" t="s">
        <v>3515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80" t="s">
        <v>4321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 x14ac:dyDescent="0.25">
      <c r="B356" s="652" t="s">
        <v>461</v>
      </c>
      <c r="C356" s="839" t="s">
        <v>3515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9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 x14ac:dyDescent="0.25">
      <c r="B357" s="652" t="s">
        <v>461</v>
      </c>
      <c r="C357" s="839" t="s">
        <v>3515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4" t="s">
        <v>3370</v>
      </c>
      <c r="I357" s="1181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 x14ac:dyDescent="0.25">
      <c r="B358" s="652" t="s">
        <v>458</v>
      </c>
      <c r="C358" s="839" t="s">
        <v>3515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3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 x14ac:dyDescent="0.25">
      <c r="B359" s="652" t="s">
        <v>453</v>
      </c>
      <c r="C359" s="839" t="s">
        <v>3515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8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 x14ac:dyDescent="0.25">
      <c r="B360" s="652" t="s">
        <v>460</v>
      </c>
      <c r="C360" s="839" t="s">
        <v>3515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9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 x14ac:dyDescent="0.25">
      <c r="B361" s="652" t="s">
        <v>460</v>
      </c>
      <c r="C361" s="839" t="s">
        <v>3515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1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 x14ac:dyDescent="0.25">
      <c r="B362" s="652" t="s">
        <v>453</v>
      </c>
      <c r="C362" s="839" t="s">
        <v>3515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80" t="s">
        <v>4321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 x14ac:dyDescent="0.25">
      <c r="B363" s="652" t="s">
        <v>453</v>
      </c>
      <c r="C363" s="839" t="s">
        <v>3515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9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 x14ac:dyDescent="0.25">
      <c r="B364" s="652" t="s">
        <v>459</v>
      </c>
      <c r="C364" s="839" t="s">
        <v>3515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3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 x14ac:dyDescent="0.25">
      <c r="B365" s="653" t="s">
        <v>496</v>
      </c>
      <c r="C365" s="839" t="s">
        <v>3515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8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 x14ac:dyDescent="0.25">
      <c r="B366" s="653" t="s">
        <v>495</v>
      </c>
      <c r="C366" s="839" t="s">
        <v>3515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8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 x14ac:dyDescent="0.25">
      <c r="B367" s="653" t="s">
        <v>495</v>
      </c>
      <c r="C367" s="839" t="s">
        <v>3515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8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 x14ac:dyDescent="0.25">
      <c r="B368" s="653" t="s">
        <v>494</v>
      </c>
      <c r="C368" s="839" t="s">
        <v>3515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8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 x14ac:dyDescent="0.25">
      <c r="B369" s="653" t="s">
        <v>492</v>
      </c>
      <c r="C369" s="839" t="s">
        <v>3515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5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 x14ac:dyDescent="0.25">
      <c r="B370" s="653" t="s">
        <v>493</v>
      </c>
      <c r="C370" s="839" t="s">
        <v>3515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3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 x14ac:dyDescent="0.25">
      <c r="B371" s="653" t="s">
        <v>492</v>
      </c>
      <c r="C371" s="839" t="s">
        <v>3515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8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 x14ac:dyDescent="0.25">
      <c r="B372" s="653" t="s">
        <v>492</v>
      </c>
      <c r="C372" s="839" t="s">
        <v>3515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80" t="s">
        <v>4321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 x14ac:dyDescent="0.25">
      <c r="B373" s="653" t="s">
        <v>492</v>
      </c>
      <c r="C373" s="839" t="s">
        <v>3515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9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 x14ac:dyDescent="0.25">
      <c r="B374" s="653" t="s">
        <v>492</v>
      </c>
      <c r="C374" s="839" t="s">
        <v>3515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8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 x14ac:dyDescent="0.25">
      <c r="B375" s="653" t="s">
        <v>491</v>
      </c>
      <c r="C375" s="839" t="s">
        <v>3515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178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 x14ac:dyDescent="0.25">
      <c r="B376" s="653" t="s">
        <v>491</v>
      </c>
      <c r="C376" s="839" t="s">
        <v>3515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179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 x14ac:dyDescent="0.25">
      <c r="B377" s="653" t="s">
        <v>491</v>
      </c>
      <c r="C377" s="839" t="s">
        <v>3515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80" t="s">
        <v>4321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 x14ac:dyDescent="0.25">
      <c r="B378" s="653" t="s">
        <v>491</v>
      </c>
      <c r="C378" s="839" t="s">
        <v>3515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178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 x14ac:dyDescent="0.25">
      <c r="B379" s="653" t="s">
        <v>491</v>
      </c>
      <c r="C379" s="839" t="s">
        <v>3515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8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 x14ac:dyDescent="0.25">
      <c r="B380" s="653" t="s">
        <v>490</v>
      </c>
      <c r="C380" s="839" t="s">
        <v>3515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8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 x14ac:dyDescent="0.25">
      <c r="B381" s="653" t="s">
        <v>489</v>
      </c>
      <c r="C381" s="839" t="s">
        <v>3515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5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 x14ac:dyDescent="0.25">
      <c r="B382" s="653" t="s">
        <v>488</v>
      </c>
      <c r="C382" s="839" t="s">
        <v>3515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5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 x14ac:dyDescent="0.25">
      <c r="B383" s="653" t="s">
        <v>487</v>
      </c>
      <c r="C383" s="839" t="s">
        <v>3515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5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 x14ac:dyDescent="0.25">
      <c r="B384" s="653" t="s">
        <v>486</v>
      </c>
      <c r="C384" s="839" t="s">
        <v>3515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3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 x14ac:dyDescent="0.25">
      <c r="B385" s="653" t="s">
        <v>485</v>
      </c>
      <c r="C385" s="839" t="s">
        <v>3515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3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 x14ac:dyDescent="0.25">
      <c r="B386" s="653" t="s">
        <v>484</v>
      </c>
      <c r="C386" s="839" t="s">
        <v>3515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8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 x14ac:dyDescent="0.25">
      <c r="B387" s="653" t="s">
        <v>483</v>
      </c>
      <c r="C387" s="839" t="s">
        <v>3515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8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 x14ac:dyDescent="0.25">
      <c r="B388" s="653" t="s">
        <v>482</v>
      </c>
      <c r="C388" s="839" t="s">
        <v>3515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8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 x14ac:dyDescent="0.25">
      <c r="B389" s="653" t="s">
        <v>481</v>
      </c>
      <c r="C389" s="839" t="s">
        <v>3515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9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 x14ac:dyDescent="0.25">
      <c r="B390" s="653" t="s">
        <v>481</v>
      </c>
      <c r="C390" s="839" t="s">
        <v>3515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9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 x14ac:dyDescent="0.25">
      <c r="B391" s="653" t="s">
        <v>480</v>
      </c>
      <c r="C391" s="839" t="s">
        <v>3515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8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 x14ac:dyDescent="0.25">
      <c r="B392" s="653" t="s">
        <v>479</v>
      </c>
      <c r="C392" s="839" t="s">
        <v>3515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9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 x14ac:dyDescent="0.25">
      <c r="B393" s="653" t="s">
        <v>479</v>
      </c>
      <c r="C393" s="839" t="s">
        <v>3515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4" t="s">
        <v>3370</v>
      </c>
      <c r="I393" s="1185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 x14ac:dyDescent="0.25">
      <c r="B394" s="653" t="s">
        <v>478</v>
      </c>
      <c r="C394" s="839" t="s">
        <v>3515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8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 x14ac:dyDescent="0.25">
      <c r="B395" s="653" t="s">
        <v>477</v>
      </c>
      <c r="C395" s="839" t="s">
        <v>3515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8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 x14ac:dyDescent="0.25">
      <c r="B396" s="653" t="s">
        <v>476</v>
      </c>
      <c r="C396" s="839" t="s">
        <v>3515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3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 x14ac:dyDescent="0.25">
      <c r="B397" s="653" t="s">
        <v>476</v>
      </c>
      <c r="C397" s="839" t="s">
        <v>3515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9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 x14ac:dyDescent="0.25">
      <c r="B398" s="653" t="s">
        <v>475</v>
      </c>
      <c r="C398" s="839" t="s">
        <v>3515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8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 x14ac:dyDescent="0.25">
      <c r="B399" s="653" t="s">
        <v>474</v>
      </c>
      <c r="C399" s="839" t="s">
        <v>3515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5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 x14ac:dyDescent="0.25">
      <c r="B400" s="653" t="s">
        <v>473</v>
      </c>
      <c r="C400" s="839" t="s">
        <v>3515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8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 x14ac:dyDescent="0.25">
      <c r="B401" s="653" t="s">
        <v>472</v>
      </c>
      <c r="C401" s="839" t="s">
        <v>3515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5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 x14ac:dyDescent="0.25">
      <c r="B402" s="653" t="s">
        <v>471</v>
      </c>
      <c r="C402" s="839" t="s">
        <v>3515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5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 x14ac:dyDescent="0.25">
      <c r="B403" s="653" t="s">
        <v>470</v>
      </c>
      <c r="C403" s="839" t="s">
        <v>3515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5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 x14ac:dyDescent="0.25">
      <c r="B404" s="653" t="s">
        <v>469</v>
      </c>
      <c r="C404" s="839" t="s">
        <v>3515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5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 x14ac:dyDescent="0.25">
      <c r="B405" s="653" t="s">
        <v>468</v>
      </c>
      <c r="C405" s="839" t="s">
        <v>3515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8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 x14ac:dyDescent="0.25">
      <c r="B406" s="654" t="s">
        <v>507</v>
      </c>
      <c r="C406" s="839" t="s">
        <v>3515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3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 x14ac:dyDescent="0.25">
      <c r="B407" s="654" t="s">
        <v>506</v>
      </c>
      <c r="C407" s="839" t="s">
        <v>3515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5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 x14ac:dyDescent="0.25">
      <c r="B408" s="655" t="s">
        <v>504</v>
      </c>
      <c r="C408" s="839" t="s">
        <v>3515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5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 x14ac:dyDescent="0.25">
      <c r="B409" s="655" t="s">
        <v>515</v>
      </c>
      <c r="C409" s="839" t="s">
        <v>3515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8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 x14ac:dyDescent="0.25">
      <c r="B410" s="655" t="s">
        <v>514</v>
      </c>
      <c r="C410" s="839" t="s">
        <v>3515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5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 x14ac:dyDescent="0.25">
      <c r="B411" s="655" t="s">
        <v>513</v>
      </c>
      <c r="C411" s="839" t="s">
        <v>3515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4" t="s">
        <v>3370</v>
      </c>
      <c r="I411" s="1185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 x14ac:dyDescent="0.25">
      <c r="B412" s="655" t="s">
        <v>512</v>
      </c>
      <c r="C412" s="839" t="s">
        <v>3515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8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 x14ac:dyDescent="0.25">
      <c r="B413" s="655" t="s">
        <v>511</v>
      </c>
      <c r="C413" s="839" t="s">
        <v>3515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5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 x14ac:dyDescent="0.25">
      <c r="B414" s="655" t="s">
        <v>510</v>
      </c>
      <c r="C414" s="839" t="s">
        <v>3515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8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 x14ac:dyDescent="0.25">
      <c r="B415" s="656" t="s">
        <v>517</v>
      </c>
      <c r="C415" s="839" t="s">
        <v>3515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5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 x14ac:dyDescent="0.25">
      <c r="B416" s="656" t="s">
        <v>521</v>
      </c>
      <c r="C416" s="839" t="s">
        <v>3515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80" t="s">
        <v>4321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 x14ac:dyDescent="0.25">
      <c r="B417" s="656" t="s">
        <v>521</v>
      </c>
      <c r="C417" s="839" t="s">
        <v>3515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4" t="s">
        <v>3370</v>
      </c>
      <c r="I417" s="1185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 x14ac:dyDescent="0.25">
      <c r="B418" s="656" t="s">
        <v>520</v>
      </c>
      <c r="C418" s="839" t="s">
        <v>3515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5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 x14ac:dyDescent="0.25">
      <c r="B419" s="656" t="s">
        <v>519</v>
      </c>
      <c r="C419" s="839" t="s">
        <v>3515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9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 x14ac:dyDescent="0.25">
      <c r="B420" s="656" t="s">
        <v>519</v>
      </c>
      <c r="C420" s="839" t="s">
        <v>3515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9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 x14ac:dyDescent="0.25">
      <c r="B421" s="656" t="s">
        <v>519</v>
      </c>
      <c r="C421" s="839" t="s">
        <v>3515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3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 x14ac:dyDescent="0.25">
      <c r="B422" s="656" t="s">
        <v>518</v>
      </c>
      <c r="C422" s="839" t="s">
        <v>3515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9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 x14ac:dyDescent="0.25">
      <c r="B423" s="656" t="s">
        <v>518</v>
      </c>
      <c r="C423" s="839" t="s">
        <v>3515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4" t="s">
        <v>3370</v>
      </c>
      <c r="I423" s="1186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 x14ac:dyDescent="0.25">
      <c r="B424" s="657" t="s">
        <v>574</v>
      </c>
      <c r="C424" s="839" t="s">
        <v>3515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5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 x14ac:dyDescent="0.25">
      <c r="B425" s="657" t="s">
        <v>573</v>
      </c>
      <c r="C425" s="839" t="s">
        <v>3515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5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 x14ac:dyDescent="0.25">
      <c r="B426" s="657" t="s">
        <v>572</v>
      </c>
      <c r="C426" s="839" t="s">
        <v>3515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3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 x14ac:dyDescent="0.25">
      <c r="B427" s="657" t="s">
        <v>572</v>
      </c>
      <c r="C427" s="839" t="s">
        <v>3515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8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 x14ac:dyDescent="0.25">
      <c r="B428" s="657" t="s">
        <v>571</v>
      </c>
      <c r="C428" s="839" t="s">
        <v>3515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80" t="s">
        <v>4321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 x14ac:dyDescent="0.25">
      <c r="B429" s="657" t="s">
        <v>570</v>
      </c>
      <c r="C429" s="839" t="s">
        <v>3515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8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 x14ac:dyDescent="0.25">
      <c r="B430" s="657" t="s">
        <v>569</v>
      </c>
      <c r="C430" s="839" t="s">
        <v>3515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8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 x14ac:dyDescent="0.25">
      <c r="B431" s="657" t="s">
        <v>568</v>
      </c>
      <c r="C431" s="839" t="s">
        <v>3515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8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 x14ac:dyDescent="0.25">
      <c r="B432" s="657" t="s">
        <v>567</v>
      </c>
      <c r="C432" s="839" t="s">
        <v>3515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8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 x14ac:dyDescent="0.25">
      <c r="B433" s="657" t="s">
        <v>566</v>
      </c>
      <c r="C433" s="839" t="s">
        <v>3515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80" t="s">
        <v>4321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 x14ac:dyDescent="0.25">
      <c r="B434" s="657" t="s">
        <v>565</v>
      </c>
      <c r="C434" s="839" t="s">
        <v>3515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5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 x14ac:dyDescent="0.25">
      <c r="B435" s="657" t="s">
        <v>564</v>
      </c>
      <c r="C435" s="839" t="s">
        <v>3515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8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 x14ac:dyDescent="0.25">
      <c r="B436" s="657" t="s">
        <v>563</v>
      </c>
      <c r="C436" s="839" t="s">
        <v>3515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8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 x14ac:dyDescent="0.25">
      <c r="B437" s="657" t="s">
        <v>559</v>
      </c>
      <c r="C437" s="839" t="s">
        <v>3515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5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 x14ac:dyDescent="0.25">
      <c r="B438" s="657" t="s">
        <v>562</v>
      </c>
      <c r="C438" s="839" t="s">
        <v>3515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3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 x14ac:dyDescent="0.25">
      <c r="B439" s="657" t="s">
        <v>561</v>
      </c>
      <c r="C439" s="839" t="s">
        <v>3515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8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 x14ac:dyDescent="0.25">
      <c r="B440" s="657" t="s">
        <v>560</v>
      </c>
      <c r="C440" s="839" t="s">
        <v>3515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8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 x14ac:dyDescent="0.25">
      <c r="B441" s="657" t="s">
        <v>559</v>
      </c>
      <c r="C441" s="839" t="s">
        <v>3515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8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 x14ac:dyDescent="0.25">
      <c r="B442" s="657" t="s">
        <v>558</v>
      </c>
      <c r="C442" s="839" t="s">
        <v>3515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5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 x14ac:dyDescent="0.25">
      <c r="B443" s="657" t="s">
        <v>557</v>
      </c>
      <c r="C443" s="839" t="s">
        <v>3515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8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 x14ac:dyDescent="0.25">
      <c r="B444" s="657" t="s">
        <v>556</v>
      </c>
      <c r="C444" s="839" t="s">
        <v>3515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3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 x14ac:dyDescent="0.25">
      <c r="B445" s="657" t="s">
        <v>555</v>
      </c>
      <c r="C445" s="839" t="s">
        <v>3515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8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 x14ac:dyDescent="0.25">
      <c r="B446" s="657" t="s">
        <v>554</v>
      </c>
      <c r="C446" s="839" t="s">
        <v>3515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5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 x14ac:dyDescent="0.25">
      <c r="B447" s="657" t="s">
        <v>553</v>
      </c>
      <c r="C447" s="839" t="s">
        <v>3515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8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 x14ac:dyDescent="0.25">
      <c r="B448" s="657" t="s">
        <v>552</v>
      </c>
      <c r="C448" s="839" t="s">
        <v>3515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5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 x14ac:dyDescent="0.25">
      <c r="B449" s="657" t="s">
        <v>552</v>
      </c>
      <c r="C449" s="839" t="s">
        <v>3515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8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 x14ac:dyDescent="0.25">
      <c r="B450" s="657" t="s">
        <v>551</v>
      </c>
      <c r="C450" s="839" t="s">
        <v>3515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9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 x14ac:dyDescent="0.25">
      <c r="B451" s="657" t="s">
        <v>551</v>
      </c>
      <c r="C451" s="839" t="s">
        <v>3515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3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 x14ac:dyDescent="0.25">
      <c r="B452" s="657" t="s">
        <v>550</v>
      </c>
      <c r="C452" s="839" t="s">
        <v>3515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8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 x14ac:dyDescent="0.25">
      <c r="B453" s="657" t="s">
        <v>549</v>
      </c>
      <c r="C453" s="839" t="s">
        <v>3515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9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 x14ac:dyDescent="0.25">
      <c r="B454" s="657" t="s">
        <v>549</v>
      </c>
      <c r="C454" s="839" t="s">
        <v>3515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8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 x14ac:dyDescent="0.25">
      <c r="B455" s="657" t="s">
        <v>549</v>
      </c>
      <c r="C455" s="839" t="s">
        <v>3515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7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 x14ac:dyDescent="0.25">
      <c r="B456" s="657" t="s">
        <v>548</v>
      </c>
      <c r="C456" s="839" t="s">
        <v>3515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9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 x14ac:dyDescent="0.25">
      <c r="B457" s="657" t="s">
        <v>548</v>
      </c>
      <c r="C457" s="839" t="s">
        <v>3515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4" t="s">
        <v>3370</v>
      </c>
      <c r="I457" s="1187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 x14ac:dyDescent="0.25">
      <c r="B458" s="657" t="s">
        <v>547</v>
      </c>
      <c r="C458" s="839" t="s">
        <v>3515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5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 x14ac:dyDescent="0.25">
      <c r="B459" s="657" t="s">
        <v>546</v>
      </c>
      <c r="C459" s="839" t="s">
        <v>3515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8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 x14ac:dyDescent="0.25">
      <c r="B460" s="657" t="s">
        <v>545</v>
      </c>
      <c r="C460" s="839" t="s">
        <v>3515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9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 x14ac:dyDescent="0.25">
      <c r="B461" s="657" t="s">
        <v>545</v>
      </c>
      <c r="C461" s="839" t="s">
        <v>3515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3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 x14ac:dyDescent="0.25">
      <c r="B462" s="657" t="s">
        <v>544</v>
      </c>
      <c r="C462" s="839" t="s">
        <v>3515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8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 x14ac:dyDescent="0.25">
      <c r="B463" s="657" t="s">
        <v>543</v>
      </c>
      <c r="C463" s="839" t="s">
        <v>3515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8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 x14ac:dyDescent="0.25">
      <c r="B464" s="657" t="s">
        <v>543</v>
      </c>
      <c r="C464" s="839" t="s">
        <v>3515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9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 x14ac:dyDescent="0.25">
      <c r="B465" s="657" t="s">
        <v>542</v>
      </c>
      <c r="C465" s="839" t="s">
        <v>3515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8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 x14ac:dyDescent="0.25">
      <c r="B466" s="657" t="s">
        <v>541</v>
      </c>
      <c r="C466" s="839" t="s">
        <v>3515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8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 x14ac:dyDescent="0.25">
      <c r="B467" s="657" t="s">
        <v>540</v>
      </c>
      <c r="C467" s="839" t="s">
        <v>3515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9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 x14ac:dyDescent="0.25">
      <c r="B468" s="657" t="s">
        <v>539</v>
      </c>
      <c r="C468" s="839" t="s">
        <v>3515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8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 x14ac:dyDescent="0.25">
      <c r="B469" s="657" t="s">
        <v>538</v>
      </c>
      <c r="C469" s="839" t="s">
        <v>3515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8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 x14ac:dyDescent="0.25">
      <c r="B470" s="657" t="s">
        <v>537</v>
      </c>
      <c r="C470" s="839" t="s">
        <v>3515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3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 x14ac:dyDescent="0.25">
      <c r="B471" s="657" t="s">
        <v>536</v>
      </c>
      <c r="C471" s="839" t="s">
        <v>3515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8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 x14ac:dyDescent="0.25">
      <c r="B472" s="657" t="s">
        <v>535</v>
      </c>
      <c r="C472" s="839" t="s">
        <v>3515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4" t="s">
        <v>3370</v>
      </c>
      <c r="I472" s="1187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 x14ac:dyDescent="0.25">
      <c r="B473" s="657" t="s">
        <v>534</v>
      </c>
      <c r="C473" s="839" t="s">
        <v>3515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3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 x14ac:dyDescent="0.25">
      <c r="B474" s="657" t="s">
        <v>533</v>
      </c>
      <c r="C474" s="839" t="s">
        <v>3515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5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 x14ac:dyDescent="0.25">
      <c r="B475" s="657" t="s">
        <v>532</v>
      </c>
      <c r="C475" s="839" t="s">
        <v>3515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5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 x14ac:dyDescent="0.25">
      <c r="B476" s="657" t="s">
        <v>531</v>
      </c>
      <c r="C476" s="839" t="s">
        <v>3515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3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 x14ac:dyDescent="0.25">
      <c r="B477" s="657" t="s">
        <v>530</v>
      </c>
      <c r="C477" s="839" t="s">
        <v>3515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8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 x14ac:dyDescent="0.25">
      <c r="B478" s="657" t="s">
        <v>530</v>
      </c>
      <c r="C478" s="839" t="s">
        <v>3515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3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 x14ac:dyDescent="0.25">
      <c r="B479" s="657" t="s">
        <v>529</v>
      </c>
      <c r="C479" s="839" t="s">
        <v>3515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8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 x14ac:dyDescent="0.25">
      <c r="B480" s="657" t="s">
        <v>529</v>
      </c>
      <c r="C480" s="839" t="s">
        <v>3515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4" t="s">
        <v>3370</v>
      </c>
      <c r="I480" s="1187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 x14ac:dyDescent="0.25">
      <c r="B481" s="657" t="s">
        <v>528</v>
      </c>
      <c r="C481" s="839" t="s">
        <v>3515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178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 x14ac:dyDescent="0.25">
      <c r="B482" s="657" t="s">
        <v>528</v>
      </c>
      <c r="C482" s="839" t="s">
        <v>3515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8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 x14ac:dyDescent="0.25">
      <c r="B483" s="657" t="s">
        <v>527</v>
      </c>
      <c r="C483" s="839" t="s">
        <v>3515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8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 x14ac:dyDescent="0.25">
      <c r="B484" s="657" t="s">
        <v>527</v>
      </c>
      <c r="C484" s="839" t="s">
        <v>3515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9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 x14ac:dyDescent="0.25">
      <c r="B485" s="657" t="s">
        <v>527</v>
      </c>
      <c r="C485" s="839" t="s">
        <v>3515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8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 x14ac:dyDescent="0.25">
      <c r="B486" s="657" t="s">
        <v>527</v>
      </c>
      <c r="C486" s="839" t="s">
        <v>3515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3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 x14ac:dyDescent="0.25">
      <c r="B487" s="657" t="s">
        <v>526</v>
      </c>
      <c r="C487" s="839" t="s">
        <v>3515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8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 x14ac:dyDescent="0.25">
      <c r="B488" s="657" t="s">
        <v>525</v>
      </c>
      <c r="C488" s="839" t="s">
        <v>3515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8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 x14ac:dyDescent="0.25">
      <c r="B489" s="657" t="s">
        <v>525</v>
      </c>
      <c r="C489" s="839" t="s">
        <v>3515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8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 x14ac:dyDescent="0.25">
      <c r="B490" s="657" t="s">
        <v>525</v>
      </c>
      <c r="C490" s="839" t="s">
        <v>3515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9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 x14ac:dyDescent="0.25">
      <c r="B491" s="657" t="s">
        <v>524</v>
      </c>
      <c r="C491" s="839" t="s">
        <v>3515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8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 x14ac:dyDescent="0.25">
      <c r="B492" s="657" t="s">
        <v>523</v>
      </c>
      <c r="C492" s="839" t="s">
        <v>3515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9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 x14ac:dyDescent="0.25">
      <c r="B493" s="657" t="s">
        <v>522</v>
      </c>
      <c r="C493" s="839" t="s">
        <v>3515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9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 x14ac:dyDescent="0.25">
      <c r="B494" s="658" t="s">
        <v>604</v>
      </c>
      <c r="C494" s="839" t="s">
        <v>3515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8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 x14ac:dyDescent="0.25">
      <c r="B495" s="658" t="s">
        <v>604</v>
      </c>
      <c r="C495" s="839" t="s">
        <v>3515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8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 x14ac:dyDescent="0.25">
      <c r="B496" s="658" t="s">
        <v>603</v>
      </c>
      <c r="C496" s="839" t="s">
        <v>3515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8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 x14ac:dyDescent="0.25">
      <c r="B497" s="658" t="s">
        <v>602</v>
      </c>
      <c r="C497" s="839" t="s">
        <v>3515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5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 x14ac:dyDescent="0.25">
      <c r="B498" s="658" t="s">
        <v>602</v>
      </c>
      <c r="C498" s="839" t="s">
        <v>3515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8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 x14ac:dyDescent="0.25">
      <c r="B499" s="658" t="s">
        <v>601</v>
      </c>
      <c r="C499" s="839" t="s">
        <v>3515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4" t="s">
        <v>3370</v>
      </c>
      <c r="I499" s="1188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254" t="s">
        <v>1209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 x14ac:dyDescent="0.25">
      <c r="B500" s="658" t="s">
        <v>600</v>
      </c>
      <c r="C500" s="839" t="s">
        <v>3515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5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 x14ac:dyDescent="0.25">
      <c r="B501" s="658" t="s">
        <v>599</v>
      </c>
      <c r="C501" s="839" t="s">
        <v>3515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8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 x14ac:dyDescent="0.25">
      <c r="B502" s="658" t="s">
        <v>598</v>
      </c>
      <c r="C502" s="839" t="s">
        <v>3515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5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 x14ac:dyDescent="0.25">
      <c r="B503" s="658" t="s">
        <v>597</v>
      </c>
      <c r="C503" s="839" t="s">
        <v>3515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9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 x14ac:dyDescent="0.25">
      <c r="B504" s="658" t="s">
        <v>597</v>
      </c>
      <c r="C504" s="839" t="s">
        <v>3515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3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 x14ac:dyDescent="0.25">
      <c r="B505" s="658" t="s">
        <v>596</v>
      </c>
      <c r="C505" s="839" t="s">
        <v>3515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8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 x14ac:dyDescent="0.25">
      <c r="B506" s="658" t="s">
        <v>596</v>
      </c>
      <c r="C506" s="839" t="s">
        <v>3515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8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 x14ac:dyDescent="0.25">
      <c r="B507" s="658" t="s">
        <v>595</v>
      </c>
      <c r="C507" s="839" t="s">
        <v>3515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3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 x14ac:dyDescent="0.25">
      <c r="B508" s="658" t="s">
        <v>594</v>
      </c>
      <c r="C508" s="839" t="s">
        <v>3515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9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 x14ac:dyDescent="0.25">
      <c r="B509" s="659" t="s">
        <v>616</v>
      </c>
      <c r="C509" s="839" t="s">
        <v>3515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3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 x14ac:dyDescent="0.25">
      <c r="B510" s="659" t="s">
        <v>615</v>
      </c>
      <c r="C510" s="839" t="s">
        <v>3515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5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 x14ac:dyDescent="0.25">
      <c r="B511" s="659" t="s">
        <v>614</v>
      </c>
      <c r="C511" s="839" t="s">
        <v>3515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8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 x14ac:dyDescent="0.25">
      <c r="B512" s="659" t="s">
        <v>613</v>
      </c>
      <c r="C512" s="839" t="s">
        <v>3515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3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 x14ac:dyDescent="0.25">
      <c r="B513" s="659" t="s">
        <v>612</v>
      </c>
      <c r="C513" s="839" t="s">
        <v>3515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8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 x14ac:dyDescent="0.25">
      <c r="B514" s="659" t="s">
        <v>612</v>
      </c>
      <c r="C514" s="839" t="s">
        <v>3515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8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 x14ac:dyDescent="0.25">
      <c r="B515" s="659" t="s">
        <v>611</v>
      </c>
      <c r="C515" s="839" t="s">
        <v>3515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8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 x14ac:dyDescent="0.25">
      <c r="B516" s="659" t="s">
        <v>611</v>
      </c>
      <c r="C516" s="839" t="s">
        <v>3515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8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 x14ac:dyDescent="0.25">
      <c r="B517" s="659" t="s">
        <v>610</v>
      </c>
      <c r="C517" s="839" t="s">
        <v>3515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8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 x14ac:dyDescent="0.25">
      <c r="B518" s="659" t="s">
        <v>610</v>
      </c>
      <c r="C518" s="839" t="s">
        <v>3515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8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 x14ac:dyDescent="0.25">
      <c r="B519" s="659" t="s">
        <v>608</v>
      </c>
      <c r="C519" s="839" t="s">
        <v>3515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9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 x14ac:dyDescent="0.25">
      <c r="B520" s="659" t="s">
        <v>609</v>
      </c>
      <c r="C520" s="839" t="s">
        <v>3515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9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 x14ac:dyDescent="0.25">
      <c r="B521" s="659" t="s">
        <v>608</v>
      </c>
      <c r="C521" s="839" t="s">
        <v>3515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4" t="s">
        <v>3370</v>
      </c>
      <c r="I521" s="1189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254" t="s">
        <v>1209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 x14ac:dyDescent="0.25">
      <c r="B522" s="659" t="s">
        <v>608</v>
      </c>
      <c r="C522" s="839" t="s">
        <v>3515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5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 x14ac:dyDescent="0.25">
      <c r="B523" s="659" t="s">
        <v>607</v>
      </c>
      <c r="C523" s="839" t="s">
        <v>3515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8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 x14ac:dyDescent="0.25">
      <c r="B524" s="659" t="s">
        <v>607</v>
      </c>
      <c r="C524" s="839" t="s">
        <v>3515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5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 x14ac:dyDescent="0.25">
      <c r="B525" s="659" t="s">
        <v>606</v>
      </c>
      <c r="C525" s="839" t="s">
        <v>3515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8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 x14ac:dyDescent="0.25">
      <c r="B526" s="659" t="s">
        <v>605</v>
      </c>
      <c r="C526" s="839" t="s">
        <v>3515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8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 x14ac:dyDescent="0.25">
      <c r="B527" s="660" t="s">
        <v>625</v>
      </c>
      <c r="C527" s="839" t="s">
        <v>3515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9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 x14ac:dyDescent="0.25">
      <c r="B528" s="660" t="s">
        <v>624</v>
      </c>
      <c r="C528" s="839" t="s">
        <v>3515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9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 x14ac:dyDescent="0.25">
      <c r="B529" s="660" t="s">
        <v>623</v>
      </c>
      <c r="C529" s="839" t="s">
        <v>3515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8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 x14ac:dyDescent="0.25">
      <c r="B530" s="660" t="s">
        <v>622</v>
      </c>
      <c r="C530" s="839" t="s">
        <v>3515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8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 x14ac:dyDescent="0.25">
      <c r="B531" s="660" t="s">
        <v>621</v>
      </c>
      <c r="C531" s="839" t="s">
        <v>3515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8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 x14ac:dyDescent="0.25">
      <c r="B532" s="660" t="s">
        <v>620</v>
      </c>
      <c r="C532" s="839" t="s">
        <v>3515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8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 x14ac:dyDescent="0.25">
      <c r="B533" s="661" t="s">
        <v>688</v>
      </c>
      <c r="C533" s="839" t="s">
        <v>3515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8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 x14ac:dyDescent="0.25">
      <c r="B534" s="661" t="s">
        <v>687</v>
      </c>
      <c r="C534" s="839" t="s">
        <v>3515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5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 x14ac:dyDescent="0.25">
      <c r="B535" s="661" t="s">
        <v>686</v>
      </c>
      <c r="C535" s="839" t="s">
        <v>3515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8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 x14ac:dyDescent="0.25">
      <c r="B536" s="661" t="s">
        <v>686</v>
      </c>
      <c r="C536" s="839" t="s">
        <v>3515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8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 x14ac:dyDescent="0.25">
      <c r="B537" s="661" t="s">
        <v>685</v>
      </c>
      <c r="C537" s="839" t="s">
        <v>3515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9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 x14ac:dyDescent="0.25">
      <c r="B538" s="661" t="s">
        <v>684</v>
      </c>
      <c r="C538" s="839" t="s">
        <v>3515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3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 x14ac:dyDescent="0.25">
      <c r="B539" s="661" t="s">
        <v>683</v>
      </c>
      <c r="C539" s="839" t="s">
        <v>3515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8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 x14ac:dyDescent="0.25">
      <c r="B540" s="661" t="s">
        <v>682</v>
      </c>
      <c r="C540" s="839" t="s">
        <v>3515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9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 x14ac:dyDescent="0.25">
      <c r="B541" s="661" t="s">
        <v>681</v>
      </c>
      <c r="C541" s="839" t="s">
        <v>3515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8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 x14ac:dyDescent="0.25">
      <c r="B542" s="661" t="s">
        <v>681</v>
      </c>
      <c r="C542" s="839" t="s">
        <v>3515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8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 x14ac:dyDescent="0.25">
      <c r="B543" s="661" t="s">
        <v>680</v>
      </c>
      <c r="C543" s="839" t="s">
        <v>3515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8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 x14ac:dyDescent="0.25">
      <c r="B544" s="661" t="s">
        <v>679</v>
      </c>
      <c r="C544" s="839" t="s">
        <v>3515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8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 x14ac:dyDescent="0.25">
      <c r="B545" s="661" t="s">
        <v>678</v>
      </c>
      <c r="C545" s="839" t="s">
        <v>3515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8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 x14ac:dyDescent="0.25">
      <c r="B546" s="661" t="s">
        <v>677</v>
      </c>
      <c r="C546" s="839" t="s">
        <v>3515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5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 x14ac:dyDescent="0.25">
      <c r="B547" s="661" t="s">
        <v>676</v>
      </c>
      <c r="C547" s="839" t="s">
        <v>3515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3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 x14ac:dyDescent="0.25">
      <c r="B548" s="661" t="s">
        <v>675</v>
      </c>
      <c r="C548" s="839" t="s">
        <v>3515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5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 x14ac:dyDescent="0.25">
      <c r="B549" s="661" t="s">
        <v>674</v>
      </c>
      <c r="C549" s="839" t="s">
        <v>3515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8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 x14ac:dyDescent="0.25">
      <c r="B550" s="661" t="s">
        <v>673</v>
      </c>
      <c r="C550" s="839" t="s">
        <v>3515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8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 x14ac:dyDescent="0.25">
      <c r="B551" s="661" t="s">
        <v>673</v>
      </c>
      <c r="C551" s="839" t="s">
        <v>3515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8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 x14ac:dyDescent="0.25">
      <c r="B552" s="661" t="s">
        <v>672</v>
      </c>
      <c r="C552" s="839" t="s">
        <v>3515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8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 x14ac:dyDescent="0.25">
      <c r="B553" s="661" t="s">
        <v>671</v>
      </c>
      <c r="C553" s="839" t="s">
        <v>3515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3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 x14ac:dyDescent="0.25">
      <c r="B554" s="661" t="s">
        <v>670</v>
      </c>
      <c r="C554" s="839" t="s">
        <v>3515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9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 x14ac:dyDescent="0.25">
      <c r="B555" s="661" t="s">
        <v>670</v>
      </c>
      <c r="C555" s="839" t="s">
        <v>3515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8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 x14ac:dyDescent="0.25">
      <c r="B556" s="661" t="s">
        <v>669</v>
      </c>
      <c r="C556" s="839" t="s">
        <v>3515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3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 x14ac:dyDescent="0.25">
      <c r="B557" s="661" t="s">
        <v>668</v>
      </c>
      <c r="C557" s="839" t="s">
        <v>3515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8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 x14ac:dyDescent="0.25">
      <c r="B558" s="661" t="s">
        <v>668</v>
      </c>
      <c r="C558" s="839" t="s">
        <v>3515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9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 x14ac:dyDescent="0.25">
      <c r="B559" s="661" t="s">
        <v>667</v>
      </c>
      <c r="C559" s="839" t="s">
        <v>3515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3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 x14ac:dyDescent="0.25">
      <c r="B560" s="661" t="s">
        <v>666</v>
      </c>
      <c r="C560" s="839" t="s">
        <v>3515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8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 x14ac:dyDescent="0.25">
      <c r="B561" s="661" t="s">
        <v>665</v>
      </c>
      <c r="C561" s="839" t="s">
        <v>3515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178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 x14ac:dyDescent="0.25">
      <c r="B562" s="661" t="s">
        <v>665</v>
      </c>
      <c r="C562" s="839" t="s">
        <v>3515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8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 x14ac:dyDescent="0.25">
      <c r="B563" s="661" t="s">
        <v>664</v>
      </c>
      <c r="C563" s="839" t="s">
        <v>3515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9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 x14ac:dyDescent="0.25">
      <c r="B564" s="661" t="s">
        <v>663</v>
      </c>
      <c r="C564" s="839" t="s">
        <v>3515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9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 x14ac:dyDescent="0.25">
      <c r="B565" s="661" t="s">
        <v>663</v>
      </c>
      <c r="C565" s="839" t="s">
        <v>3515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8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 x14ac:dyDescent="0.25">
      <c r="B566" s="661" t="s">
        <v>662</v>
      </c>
      <c r="C566" s="839" t="s">
        <v>3515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5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 x14ac:dyDescent="0.25">
      <c r="B567" s="661" t="s">
        <v>661</v>
      </c>
      <c r="C567" s="839" t="s">
        <v>3515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8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 x14ac:dyDescent="0.25">
      <c r="B568" s="661" t="s">
        <v>660</v>
      </c>
      <c r="C568" s="839" t="s">
        <v>3515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8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 x14ac:dyDescent="0.25">
      <c r="B569" s="661" t="s">
        <v>659</v>
      </c>
      <c r="C569" s="839" t="s">
        <v>3515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8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 x14ac:dyDescent="0.25">
      <c r="B570" s="661" t="s">
        <v>658</v>
      </c>
      <c r="C570" s="839" t="s">
        <v>3515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8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 x14ac:dyDescent="0.25">
      <c r="B571" s="661" t="s">
        <v>657</v>
      </c>
      <c r="C571" s="839" t="s">
        <v>3515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8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 x14ac:dyDescent="0.25">
      <c r="B572" s="661" t="s">
        <v>656</v>
      </c>
      <c r="C572" s="839" t="s">
        <v>3515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8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 x14ac:dyDescent="0.25">
      <c r="B573" s="661" t="s">
        <v>656</v>
      </c>
      <c r="C573" s="839" t="s">
        <v>3515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3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 x14ac:dyDescent="0.25">
      <c r="B574" s="661" t="s">
        <v>655</v>
      </c>
      <c r="C574" s="839" t="s">
        <v>3515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8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 x14ac:dyDescent="0.25">
      <c r="B575" s="661" t="s">
        <v>649</v>
      </c>
      <c r="C575" s="839" t="s">
        <v>3515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5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 x14ac:dyDescent="0.25">
      <c r="B576" s="661" t="s">
        <v>654</v>
      </c>
      <c r="C576" s="839" t="s">
        <v>3515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9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 x14ac:dyDescent="0.25">
      <c r="B577" s="661" t="s">
        <v>653</v>
      </c>
      <c r="C577" s="839" t="s">
        <v>3515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8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 x14ac:dyDescent="0.25">
      <c r="B578" s="661" t="s">
        <v>652</v>
      </c>
      <c r="C578" s="839" t="s">
        <v>3515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8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 x14ac:dyDescent="0.25">
      <c r="B579" s="661" t="s">
        <v>652</v>
      </c>
      <c r="C579" s="839" t="s">
        <v>3515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8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 x14ac:dyDescent="0.25">
      <c r="B580" s="661" t="s">
        <v>651</v>
      </c>
      <c r="C580" s="839" t="s">
        <v>3515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8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 x14ac:dyDescent="0.25">
      <c r="B581" s="661" t="s">
        <v>650</v>
      </c>
      <c r="C581" s="839" t="s">
        <v>3515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8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 x14ac:dyDescent="0.25">
      <c r="B582" s="661" t="s">
        <v>649</v>
      </c>
      <c r="C582" s="839" t="s">
        <v>3515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9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 x14ac:dyDescent="0.25">
      <c r="B583" s="661" t="s">
        <v>649</v>
      </c>
      <c r="C583" s="839" t="s">
        <v>3515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8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 x14ac:dyDescent="0.25">
      <c r="B584" s="661" t="s">
        <v>648</v>
      </c>
      <c r="C584" s="839" t="s">
        <v>3515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9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 x14ac:dyDescent="0.25">
      <c r="B585" s="661" t="s">
        <v>648</v>
      </c>
      <c r="C585" s="839" t="s">
        <v>3515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4" t="s">
        <v>3370</v>
      </c>
      <c r="I585" s="1190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 x14ac:dyDescent="0.25">
      <c r="B586" s="661" t="s">
        <v>647</v>
      </c>
      <c r="C586" s="839" t="s">
        <v>3515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8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 x14ac:dyDescent="0.25">
      <c r="B587" s="661" t="s">
        <v>646</v>
      </c>
      <c r="C587" s="839" t="s">
        <v>3515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9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 x14ac:dyDescent="0.25">
      <c r="B588" s="661" t="s">
        <v>645</v>
      </c>
      <c r="C588" s="839" t="s">
        <v>3515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8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 x14ac:dyDescent="0.25">
      <c r="B589" s="661" t="s">
        <v>645</v>
      </c>
      <c r="C589" s="839" t="s">
        <v>3515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5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 x14ac:dyDescent="0.25">
      <c r="B590" s="661" t="s">
        <v>644</v>
      </c>
      <c r="C590" s="839" t="s">
        <v>3515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9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 x14ac:dyDescent="0.25">
      <c r="B591" s="661" t="s">
        <v>643</v>
      </c>
      <c r="C591" s="839" t="s">
        <v>3515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3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 x14ac:dyDescent="0.25">
      <c r="B592" s="661" t="s">
        <v>642</v>
      </c>
      <c r="C592" s="839" t="s">
        <v>3515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8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 x14ac:dyDescent="0.25">
      <c r="B593" s="661" t="s">
        <v>642</v>
      </c>
      <c r="C593" s="839" t="s">
        <v>3515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9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 x14ac:dyDescent="0.25">
      <c r="B594" s="661" t="s">
        <v>641</v>
      </c>
      <c r="C594" s="839" t="s">
        <v>3515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8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 x14ac:dyDescent="0.25">
      <c r="B595" s="661" t="s">
        <v>640</v>
      </c>
      <c r="C595" s="839" t="s">
        <v>3515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8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 x14ac:dyDescent="0.25">
      <c r="B596" s="661" t="s">
        <v>639</v>
      </c>
      <c r="C596" s="839" t="s">
        <v>3515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3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 x14ac:dyDescent="0.25">
      <c r="B597" s="661" t="s">
        <v>638</v>
      </c>
      <c r="C597" s="839" t="s">
        <v>3515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5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 x14ac:dyDescent="0.25">
      <c r="B598" s="661" t="s">
        <v>637</v>
      </c>
      <c r="C598" s="839" t="s">
        <v>3515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9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 x14ac:dyDescent="0.25">
      <c r="B599" s="661" t="s">
        <v>636</v>
      </c>
      <c r="C599" s="839" t="s">
        <v>3515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3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 x14ac:dyDescent="0.25">
      <c r="B600" s="661" t="s">
        <v>635</v>
      </c>
      <c r="C600" s="839" t="s">
        <v>3515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9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 x14ac:dyDescent="0.25">
      <c r="B601" s="661" t="s">
        <v>635</v>
      </c>
      <c r="C601" s="839" t="s">
        <v>3515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4" t="s">
        <v>3370</v>
      </c>
      <c r="I601" s="1190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 x14ac:dyDescent="0.25">
      <c r="B602" s="661" t="s">
        <v>634</v>
      </c>
      <c r="C602" s="839" t="s">
        <v>3515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8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 x14ac:dyDescent="0.25">
      <c r="B603" s="661" t="s">
        <v>633</v>
      </c>
      <c r="C603" s="839" t="s">
        <v>3515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8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 x14ac:dyDescent="0.25">
      <c r="B604" s="661" t="s">
        <v>633</v>
      </c>
      <c r="C604" s="839" t="s">
        <v>3515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8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 x14ac:dyDescent="0.25">
      <c r="B605" s="661" t="s">
        <v>632</v>
      </c>
      <c r="C605" s="839" t="s">
        <v>3515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5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 x14ac:dyDescent="0.25">
      <c r="B606" s="661" t="s">
        <v>631</v>
      </c>
      <c r="C606" s="839" t="s">
        <v>3515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3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 x14ac:dyDescent="0.25">
      <c r="B607" s="661" t="s">
        <v>630</v>
      </c>
      <c r="C607" s="839" t="s">
        <v>3515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5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 x14ac:dyDescent="0.25">
      <c r="B608" s="661" t="s">
        <v>630</v>
      </c>
      <c r="C608" s="839" t="s">
        <v>3515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9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 x14ac:dyDescent="0.25">
      <c r="B609" s="661" t="s">
        <v>629</v>
      </c>
      <c r="C609" s="839" t="s">
        <v>3515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9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 x14ac:dyDescent="0.25">
      <c r="B610" s="662" t="s">
        <v>697</v>
      </c>
      <c r="C610" s="839" t="s">
        <v>3515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8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 x14ac:dyDescent="0.25">
      <c r="B611" s="662" t="s">
        <v>697</v>
      </c>
      <c r="C611" s="839" t="s">
        <v>3515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4" t="s">
        <v>3370</v>
      </c>
      <c r="I611" s="1190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 x14ac:dyDescent="0.25">
      <c r="B612" s="662" t="s">
        <v>696</v>
      </c>
      <c r="C612" s="839" t="s">
        <v>3515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1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 x14ac:dyDescent="0.25">
      <c r="B613" s="662" t="s">
        <v>695</v>
      </c>
      <c r="C613" s="839" t="s">
        <v>3515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9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 x14ac:dyDescent="0.25">
      <c r="B614" s="662" t="s">
        <v>695</v>
      </c>
      <c r="C614" s="839" t="s">
        <v>3515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5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 x14ac:dyDescent="0.25">
      <c r="B615" s="662" t="s">
        <v>694</v>
      </c>
      <c r="C615" s="839" t="s">
        <v>3515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3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 x14ac:dyDescent="0.25">
      <c r="B616" s="663" t="s">
        <v>707</v>
      </c>
      <c r="C616" s="839" t="s">
        <v>3515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8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 x14ac:dyDescent="0.25">
      <c r="B617" s="663" t="s">
        <v>706</v>
      </c>
      <c r="C617" s="839" t="s">
        <v>3515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5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 x14ac:dyDescent="0.25">
      <c r="B618" s="663" t="s">
        <v>705</v>
      </c>
      <c r="C618" s="839" t="s">
        <v>3515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5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 x14ac:dyDescent="0.25">
      <c r="B619" s="663" t="s">
        <v>704</v>
      </c>
      <c r="C619" s="839" t="s">
        <v>3515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8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 x14ac:dyDescent="0.25">
      <c r="B620" s="663" t="s">
        <v>703</v>
      </c>
      <c r="C620" s="839" t="s">
        <v>3515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3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 x14ac:dyDescent="0.25">
      <c r="B621" s="663" t="s">
        <v>702</v>
      </c>
      <c r="C621" s="839" t="s">
        <v>3515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2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 x14ac:dyDescent="0.25">
      <c r="B622" s="663" t="s">
        <v>702</v>
      </c>
      <c r="C622" s="839" t="s">
        <v>3515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3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 x14ac:dyDescent="0.25">
      <c r="B623" s="663" t="s">
        <v>701</v>
      </c>
      <c r="C623" s="839" t="s">
        <v>3515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9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 x14ac:dyDescent="0.25">
      <c r="B624" s="664" t="s">
        <v>720</v>
      </c>
      <c r="C624" s="839" t="s">
        <v>3515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8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 x14ac:dyDescent="0.25">
      <c r="B625" s="664" t="s">
        <v>719</v>
      </c>
      <c r="C625" s="839" t="s">
        <v>3515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3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 x14ac:dyDescent="0.25">
      <c r="B626" s="664" t="s">
        <v>718</v>
      </c>
      <c r="C626" s="839" t="s">
        <v>3515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5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 x14ac:dyDescent="0.25">
      <c r="B627" s="664" t="s">
        <v>716</v>
      </c>
      <c r="C627" s="839" t="s">
        <v>3515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2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 x14ac:dyDescent="0.25">
      <c r="B628" s="664" t="s">
        <v>717</v>
      </c>
      <c r="C628" s="839" t="s">
        <v>3515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5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 x14ac:dyDescent="0.25">
      <c r="B629" s="664" t="s">
        <v>716</v>
      </c>
      <c r="C629" s="839" t="s">
        <v>3515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3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 x14ac:dyDescent="0.25">
      <c r="B630" s="664" t="s">
        <v>715</v>
      </c>
      <c r="C630" s="839" t="s">
        <v>3515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9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 x14ac:dyDescent="0.25">
      <c r="B631" s="664" t="s">
        <v>714</v>
      </c>
      <c r="C631" s="839" t="s">
        <v>3515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8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 x14ac:dyDescent="0.25">
      <c r="B632" s="664" t="s">
        <v>713</v>
      </c>
      <c r="C632" s="839" t="s">
        <v>3515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3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 x14ac:dyDescent="0.25">
      <c r="B633" s="664" t="s">
        <v>712</v>
      </c>
      <c r="C633" s="839" t="s">
        <v>3515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4" t="s">
        <v>3370</v>
      </c>
      <c r="I633" s="1190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254" t="s">
        <v>1209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 x14ac:dyDescent="0.25">
      <c r="B634" s="664" t="s">
        <v>711</v>
      </c>
      <c r="C634" s="839" t="s">
        <v>3515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8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 x14ac:dyDescent="0.25">
      <c r="B635" s="664" t="s">
        <v>710</v>
      </c>
      <c r="C635" s="839" t="s">
        <v>3515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8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 x14ac:dyDescent="0.25">
      <c r="B636" s="664" t="s">
        <v>709</v>
      </c>
      <c r="C636" s="839" t="s">
        <v>3515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8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 x14ac:dyDescent="0.25">
      <c r="B637" s="664" t="s">
        <v>708</v>
      </c>
      <c r="C637" s="839" t="s">
        <v>3515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8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 x14ac:dyDescent="0.25">
      <c r="B638" s="665" t="s">
        <v>735</v>
      </c>
      <c r="C638" s="839" t="s">
        <v>3515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9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 x14ac:dyDescent="0.25">
      <c r="B639" s="665" t="s">
        <v>734</v>
      </c>
      <c r="C639" s="839" t="s">
        <v>3515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3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 x14ac:dyDescent="0.25">
      <c r="B640" s="665" t="s">
        <v>733</v>
      </c>
      <c r="C640" s="839" t="s">
        <v>3515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4" t="s">
        <v>3370</v>
      </c>
      <c r="I640" s="1190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 x14ac:dyDescent="0.25">
      <c r="B641" s="665" t="s">
        <v>732</v>
      </c>
      <c r="C641" s="839" t="s">
        <v>3515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8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 x14ac:dyDescent="0.25">
      <c r="B642" s="665" t="s">
        <v>731</v>
      </c>
      <c r="C642" s="839" t="s">
        <v>3515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8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 x14ac:dyDescent="0.25">
      <c r="B643" s="665" t="s">
        <v>731</v>
      </c>
      <c r="C643" s="839" t="s">
        <v>3515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5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 x14ac:dyDescent="0.25">
      <c r="B644" s="665" t="s">
        <v>730</v>
      </c>
      <c r="C644" s="839" t="s">
        <v>3515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4" t="s">
        <v>3370</v>
      </c>
      <c r="I644" s="1190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 x14ac:dyDescent="0.25">
      <c r="B645" s="665" t="s">
        <v>729</v>
      </c>
      <c r="C645" s="839" t="s">
        <v>3515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8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 x14ac:dyDescent="0.25">
      <c r="B646" s="665" t="s">
        <v>728</v>
      </c>
      <c r="C646" s="839" t="s">
        <v>3515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3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 x14ac:dyDescent="0.25">
      <c r="B647" s="665" t="s">
        <v>728</v>
      </c>
      <c r="C647" s="839" t="s">
        <v>3515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8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 x14ac:dyDescent="0.25">
      <c r="B648" s="665" t="s">
        <v>727</v>
      </c>
      <c r="C648" s="839" t="s">
        <v>3515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8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 x14ac:dyDescent="0.25">
      <c r="B649" s="666" t="s">
        <v>835</v>
      </c>
      <c r="C649" s="839" t="s">
        <v>3515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9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 x14ac:dyDescent="0.25">
      <c r="B650" s="666" t="s">
        <v>835</v>
      </c>
      <c r="C650" s="839" t="s">
        <v>3515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8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 x14ac:dyDescent="0.25">
      <c r="B651" s="666" t="s">
        <v>835</v>
      </c>
      <c r="C651" s="839" t="s">
        <v>3515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90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 x14ac:dyDescent="0.25">
      <c r="B652" s="666" t="s">
        <v>834</v>
      </c>
      <c r="C652" s="839" t="s">
        <v>3515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8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 x14ac:dyDescent="0.25">
      <c r="B653" s="666" t="s">
        <v>833</v>
      </c>
      <c r="C653" s="839" t="s">
        <v>3515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8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 x14ac:dyDescent="0.25">
      <c r="B654" s="666" t="s">
        <v>829</v>
      </c>
      <c r="C654" s="839" t="s">
        <v>3515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3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 x14ac:dyDescent="0.25">
      <c r="B655" s="666" t="s">
        <v>832</v>
      </c>
      <c r="C655" s="839" t="s">
        <v>3515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5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 x14ac:dyDescent="0.25">
      <c r="B656" s="666" t="s">
        <v>831</v>
      </c>
      <c r="C656" s="839" t="s">
        <v>3515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4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 x14ac:dyDescent="0.25">
      <c r="B657" s="666" t="s">
        <v>830</v>
      </c>
      <c r="C657" s="839" t="s">
        <v>3515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4" t="s">
        <v>3370</v>
      </c>
      <c r="I657" s="1194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 x14ac:dyDescent="0.25">
      <c r="B658" s="666" t="s">
        <v>829</v>
      </c>
      <c r="C658" s="839" t="s">
        <v>3515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8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 x14ac:dyDescent="0.25">
      <c r="B659" s="666" t="s">
        <v>828</v>
      </c>
      <c r="C659" s="839" t="s">
        <v>3515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8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 x14ac:dyDescent="0.25">
      <c r="B660" s="666" t="s">
        <v>827</v>
      </c>
      <c r="C660" s="839" t="s">
        <v>3515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3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 x14ac:dyDescent="0.25">
      <c r="B661" s="666" t="s">
        <v>821</v>
      </c>
      <c r="C661" s="839" t="s">
        <v>3515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4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 x14ac:dyDescent="0.25">
      <c r="B662" s="666" t="s">
        <v>826</v>
      </c>
      <c r="C662" s="839" t="s">
        <v>3515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8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 x14ac:dyDescent="0.25">
      <c r="B663" s="666" t="s">
        <v>825</v>
      </c>
      <c r="C663" s="839" t="s">
        <v>3515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8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 x14ac:dyDescent="0.25">
      <c r="B664" s="666" t="s">
        <v>824</v>
      </c>
      <c r="C664" s="839" t="s">
        <v>3515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5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 x14ac:dyDescent="0.25">
      <c r="B665" s="666" t="s">
        <v>823</v>
      </c>
      <c r="C665" s="839" t="s">
        <v>3515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8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 x14ac:dyDescent="0.25">
      <c r="B666" s="666" t="s">
        <v>822</v>
      </c>
      <c r="C666" s="839" t="s">
        <v>3515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8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 x14ac:dyDescent="0.25">
      <c r="B667" s="666" t="s">
        <v>821</v>
      </c>
      <c r="C667" s="839" t="s">
        <v>3515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8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 x14ac:dyDescent="0.25">
      <c r="B668" s="666" t="s">
        <v>820</v>
      </c>
      <c r="C668" s="839" t="s">
        <v>3515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8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 x14ac:dyDescent="0.25">
      <c r="B669" s="666" t="s">
        <v>820</v>
      </c>
      <c r="C669" s="839" t="s">
        <v>3515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4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 x14ac:dyDescent="0.25">
      <c r="B670" s="666" t="s">
        <v>819</v>
      </c>
      <c r="C670" s="839" t="s">
        <v>3515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3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 x14ac:dyDescent="0.25">
      <c r="B671" s="666" t="s">
        <v>818</v>
      </c>
      <c r="C671" s="839" t="s">
        <v>3515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8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 x14ac:dyDescent="0.25">
      <c r="B672" s="666" t="s">
        <v>817</v>
      </c>
      <c r="C672" s="839" t="s">
        <v>3515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8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 x14ac:dyDescent="0.25">
      <c r="B673" s="666" t="s">
        <v>817</v>
      </c>
      <c r="C673" s="839" t="s">
        <v>3515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4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 x14ac:dyDescent="0.25">
      <c r="B674" s="666" t="s">
        <v>816</v>
      </c>
      <c r="C674" s="839" t="s">
        <v>3515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8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 x14ac:dyDescent="0.25">
      <c r="B675" s="666" t="s">
        <v>814</v>
      </c>
      <c r="C675" s="839" t="s">
        <v>3515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3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 x14ac:dyDescent="0.25">
      <c r="B676" s="666" t="s">
        <v>815</v>
      </c>
      <c r="C676" s="839" t="s">
        <v>3515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8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 x14ac:dyDescent="0.25">
      <c r="B677" s="666" t="s">
        <v>814</v>
      </c>
      <c r="C677" s="839" t="s">
        <v>3515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8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 x14ac:dyDescent="0.25">
      <c r="B678" s="666" t="s">
        <v>813</v>
      </c>
      <c r="C678" s="839" t="s">
        <v>3515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5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 x14ac:dyDescent="0.25">
      <c r="B679" s="666" t="s">
        <v>812</v>
      </c>
      <c r="C679" s="839" t="s">
        <v>3515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3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 x14ac:dyDescent="0.25">
      <c r="B680" s="666" t="s">
        <v>811</v>
      </c>
      <c r="C680" s="839" t="s">
        <v>3515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8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 x14ac:dyDescent="0.25">
      <c r="B681" s="666" t="s">
        <v>810</v>
      </c>
      <c r="C681" s="839" t="s">
        <v>3515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8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 x14ac:dyDescent="0.25">
      <c r="B682" s="666" t="s">
        <v>809</v>
      </c>
      <c r="C682" s="839" t="s">
        <v>3515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8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 x14ac:dyDescent="0.25">
      <c r="B683" s="666" t="s">
        <v>806</v>
      </c>
      <c r="C683" s="839" t="s">
        <v>3515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5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 x14ac:dyDescent="0.25">
      <c r="B684" s="666" t="s">
        <v>801</v>
      </c>
      <c r="C684" s="839" t="s">
        <v>3515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5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 x14ac:dyDescent="0.25">
      <c r="B685" s="666" t="s">
        <v>808</v>
      </c>
      <c r="C685" s="839" t="s">
        <v>3515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3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 x14ac:dyDescent="0.25">
      <c r="B686" s="666" t="s">
        <v>807</v>
      </c>
      <c r="C686" s="839" t="s">
        <v>3515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5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 x14ac:dyDescent="0.25">
      <c r="B687" s="666" t="s">
        <v>806</v>
      </c>
      <c r="C687" s="839" t="s">
        <v>3515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4" t="s">
        <v>3370</v>
      </c>
      <c r="I687" s="1194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 x14ac:dyDescent="0.25">
      <c r="B688" s="666" t="s">
        <v>805</v>
      </c>
      <c r="C688" s="839" t="s">
        <v>3515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8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 x14ac:dyDescent="0.25">
      <c r="B689" s="666" t="s">
        <v>804</v>
      </c>
      <c r="C689" s="839" t="s">
        <v>3515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8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 x14ac:dyDescent="0.25">
      <c r="B690" s="666" t="s">
        <v>803</v>
      </c>
      <c r="C690" s="839" t="s">
        <v>3515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4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 x14ac:dyDescent="0.25">
      <c r="B691" s="666" t="s">
        <v>802</v>
      </c>
      <c r="C691" s="839" t="s">
        <v>3515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3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 x14ac:dyDescent="0.25">
      <c r="B692" s="666" t="s">
        <v>801</v>
      </c>
      <c r="C692" s="839" t="s">
        <v>3515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8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 x14ac:dyDescent="0.25">
      <c r="B693" s="666" t="s">
        <v>801</v>
      </c>
      <c r="C693" s="839" t="s">
        <v>3515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4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 x14ac:dyDescent="0.25">
      <c r="B694" s="666" t="s">
        <v>800</v>
      </c>
      <c r="C694" s="839" t="s">
        <v>3515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4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 x14ac:dyDescent="0.25">
      <c r="B695" s="666" t="s">
        <v>800</v>
      </c>
      <c r="C695" s="839" t="s">
        <v>3515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3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 x14ac:dyDescent="0.25">
      <c r="B696" s="666" t="s">
        <v>799</v>
      </c>
      <c r="C696" s="839" t="s">
        <v>3515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8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 x14ac:dyDescent="0.25">
      <c r="B697" s="666" t="s">
        <v>798</v>
      </c>
      <c r="C697" s="839" t="s">
        <v>3515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8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 x14ac:dyDescent="0.25">
      <c r="B698" s="666" t="s">
        <v>797</v>
      </c>
      <c r="C698" s="839" t="s">
        <v>3515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8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 x14ac:dyDescent="0.25">
      <c r="B699" s="666" t="s">
        <v>796</v>
      </c>
      <c r="C699" s="839" t="s">
        <v>3515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8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 x14ac:dyDescent="0.25">
      <c r="B700" s="666" t="s">
        <v>795</v>
      </c>
      <c r="C700" s="839" t="s">
        <v>3515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5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 x14ac:dyDescent="0.25">
      <c r="B701" s="666" t="s">
        <v>794</v>
      </c>
      <c r="C701" s="839" t="s">
        <v>3515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4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 x14ac:dyDescent="0.25">
      <c r="B702" s="666" t="s">
        <v>793</v>
      </c>
      <c r="C702" s="839" t="s">
        <v>3515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8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 x14ac:dyDescent="0.25">
      <c r="B703" s="666" t="s">
        <v>792</v>
      </c>
      <c r="C703" s="839" t="s">
        <v>3515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8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 x14ac:dyDescent="0.25">
      <c r="B704" s="666" t="s">
        <v>791</v>
      </c>
      <c r="C704" s="839" t="s">
        <v>3515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8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 x14ac:dyDescent="0.25">
      <c r="B705" s="666" t="s">
        <v>791</v>
      </c>
      <c r="C705" s="839" t="s">
        <v>3515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8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 x14ac:dyDescent="0.25">
      <c r="B706" s="666" t="s">
        <v>791</v>
      </c>
      <c r="C706" s="839" t="s">
        <v>3515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4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 x14ac:dyDescent="0.25">
      <c r="B707" s="666" t="s">
        <v>791</v>
      </c>
      <c r="C707" s="839" t="s">
        <v>3515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4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 x14ac:dyDescent="0.25">
      <c r="B708" s="666" t="s">
        <v>790</v>
      </c>
      <c r="C708" s="839" t="s">
        <v>3515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5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 x14ac:dyDescent="0.25">
      <c r="B709" s="666" t="s">
        <v>789</v>
      </c>
      <c r="C709" s="839" t="s">
        <v>3515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5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 x14ac:dyDescent="0.25">
      <c r="B710" s="666" t="s">
        <v>788</v>
      </c>
      <c r="C710" s="839" t="s">
        <v>3515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4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 x14ac:dyDescent="0.25">
      <c r="B711" s="666" t="s">
        <v>787</v>
      </c>
      <c r="C711" s="839" t="s">
        <v>3515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5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 x14ac:dyDescent="0.25">
      <c r="B712" s="666" t="s">
        <v>786</v>
      </c>
      <c r="C712" s="839" t="s">
        <v>3515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8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 x14ac:dyDescent="0.25">
      <c r="B713" s="666" t="s">
        <v>782</v>
      </c>
      <c r="C713" s="839" t="s">
        <v>3515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5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 x14ac:dyDescent="0.25">
      <c r="B714" s="666" t="s">
        <v>785</v>
      </c>
      <c r="C714" s="839" t="s">
        <v>3515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8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 x14ac:dyDescent="0.25">
      <c r="B715" s="666" t="s">
        <v>784</v>
      </c>
      <c r="C715" s="839" t="s">
        <v>3515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8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 x14ac:dyDescent="0.25">
      <c r="B716" s="666" t="s">
        <v>783</v>
      </c>
      <c r="C716" s="839" t="s">
        <v>3515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8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 x14ac:dyDescent="0.25">
      <c r="B717" s="666" t="s">
        <v>782</v>
      </c>
      <c r="C717" s="839" t="s">
        <v>3515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8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 x14ac:dyDescent="0.25">
      <c r="B718" s="666" t="s">
        <v>781</v>
      </c>
      <c r="C718" s="839" t="s">
        <v>3515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4" t="s">
        <v>3370</v>
      </c>
      <c r="I718" s="1194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 x14ac:dyDescent="0.25">
      <c r="B719" s="666" t="s">
        <v>780</v>
      </c>
      <c r="C719" s="839" t="s">
        <v>3515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8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 x14ac:dyDescent="0.25">
      <c r="B720" s="666" t="s">
        <v>779</v>
      </c>
      <c r="C720" s="839" t="s">
        <v>3515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8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 x14ac:dyDescent="0.25">
      <c r="B721" s="666" t="s">
        <v>778</v>
      </c>
      <c r="C721" s="839" t="s">
        <v>3515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8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 x14ac:dyDescent="0.25">
      <c r="B722" s="666" t="s">
        <v>778</v>
      </c>
      <c r="C722" s="839" t="s">
        <v>3515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8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 x14ac:dyDescent="0.25">
      <c r="B723" s="666" t="s">
        <v>777</v>
      </c>
      <c r="C723" s="839" t="s">
        <v>3515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4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 x14ac:dyDescent="0.25">
      <c r="B724" s="666" t="s">
        <v>777</v>
      </c>
      <c r="C724" s="839" t="s">
        <v>3515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3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 x14ac:dyDescent="0.25">
      <c r="B725" s="666" t="s">
        <v>776</v>
      </c>
      <c r="C725" s="839" t="s">
        <v>3515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8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 x14ac:dyDescent="0.25">
      <c r="B726" s="666" t="s">
        <v>775</v>
      </c>
      <c r="C726" s="839" t="s">
        <v>3515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4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 x14ac:dyDescent="0.25">
      <c r="B727" s="666" t="s">
        <v>775</v>
      </c>
      <c r="C727" s="839" t="s">
        <v>3515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5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 x14ac:dyDescent="0.25">
      <c r="B728" s="666" t="s">
        <v>774</v>
      </c>
      <c r="C728" s="839" t="s">
        <v>3515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8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 x14ac:dyDescent="0.25">
      <c r="B729" s="666" t="s">
        <v>774</v>
      </c>
      <c r="C729" s="839" t="s">
        <v>3515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5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 x14ac:dyDescent="0.25">
      <c r="B730" s="666" t="s">
        <v>773</v>
      </c>
      <c r="C730" s="839" t="s">
        <v>3515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8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 x14ac:dyDescent="0.25">
      <c r="B731" s="666" t="s">
        <v>773</v>
      </c>
      <c r="C731" s="839" t="s">
        <v>3515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8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 x14ac:dyDescent="0.25">
      <c r="B732" s="666" t="s">
        <v>772</v>
      </c>
      <c r="C732" s="839" t="s">
        <v>3515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8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 x14ac:dyDescent="0.25">
      <c r="B733" s="666" t="s">
        <v>771</v>
      </c>
      <c r="C733" s="839" t="s">
        <v>3515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4" t="s">
        <v>3370</v>
      </c>
      <c r="I733" s="1194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 x14ac:dyDescent="0.25">
      <c r="B734" s="666" t="s">
        <v>770</v>
      </c>
      <c r="C734" s="839" t="s">
        <v>3515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8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 x14ac:dyDescent="0.25">
      <c r="B735" s="666" t="s">
        <v>769</v>
      </c>
      <c r="C735" s="839" t="s">
        <v>3515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8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 x14ac:dyDescent="0.25">
      <c r="B736" s="666" t="s">
        <v>768</v>
      </c>
      <c r="C736" s="839" t="s">
        <v>3515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8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 x14ac:dyDescent="0.25">
      <c r="B737" s="666" t="s">
        <v>767</v>
      </c>
      <c r="C737" s="839" t="s">
        <v>3515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3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 x14ac:dyDescent="0.25">
      <c r="B738" s="666" t="s">
        <v>766</v>
      </c>
      <c r="C738" s="839" t="s">
        <v>3515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8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 x14ac:dyDescent="0.25">
      <c r="B739" s="666" t="s">
        <v>765</v>
      </c>
      <c r="C739" s="839" t="s">
        <v>3515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8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 x14ac:dyDescent="0.25">
      <c r="B740" s="666" t="s">
        <v>764</v>
      </c>
      <c r="C740" s="839" t="s">
        <v>3515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4" t="s">
        <v>3370</v>
      </c>
      <c r="I740" s="1194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 x14ac:dyDescent="0.25">
      <c r="B741" s="666" t="s">
        <v>763</v>
      </c>
      <c r="C741" s="839" t="s">
        <v>3515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4" t="s">
        <v>3370</v>
      </c>
      <c r="I741" s="1194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 x14ac:dyDescent="0.25">
      <c r="B742" s="666" t="s">
        <v>762</v>
      </c>
      <c r="C742" s="839" t="s">
        <v>3515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8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 x14ac:dyDescent="0.25">
      <c r="B743" s="666" t="s">
        <v>762</v>
      </c>
      <c r="C743" s="839" t="s">
        <v>3515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8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 x14ac:dyDescent="0.25">
      <c r="B744" s="666" t="s">
        <v>761</v>
      </c>
      <c r="C744" s="839" t="s">
        <v>3515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3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 x14ac:dyDescent="0.25">
      <c r="B745" s="666" t="s">
        <v>760</v>
      </c>
      <c r="C745" s="839" t="s">
        <v>3515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8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 x14ac:dyDescent="0.25">
      <c r="B746" s="666" t="s">
        <v>759</v>
      </c>
      <c r="C746" s="839" t="s">
        <v>3515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3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 x14ac:dyDescent="0.25">
      <c r="B747" s="667" t="s">
        <v>844</v>
      </c>
      <c r="C747" s="839" t="s">
        <v>3515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4" t="s">
        <v>3370</v>
      </c>
      <c r="I747" s="1196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 x14ac:dyDescent="0.25">
      <c r="B748" s="667" t="s">
        <v>843</v>
      </c>
      <c r="C748" s="839" t="s">
        <v>3515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6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 x14ac:dyDescent="0.25">
      <c r="B749" s="667" t="s">
        <v>842</v>
      </c>
      <c r="C749" s="839" t="s">
        <v>3515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5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 x14ac:dyDescent="0.25">
      <c r="B750" s="667" t="s">
        <v>841</v>
      </c>
      <c r="C750" s="839" t="s">
        <v>3515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4" t="s">
        <v>3370</v>
      </c>
      <c r="I750" s="1196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 x14ac:dyDescent="0.25">
      <c r="B751" s="667" t="s">
        <v>840</v>
      </c>
      <c r="C751" s="839" t="s">
        <v>3515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3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 x14ac:dyDescent="0.25">
      <c r="B752" s="668" t="s">
        <v>972</v>
      </c>
      <c r="C752" s="839" t="s">
        <v>3515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8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 x14ac:dyDescent="0.25">
      <c r="B753" s="668" t="s">
        <v>971</v>
      </c>
      <c r="C753" s="839" t="s">
        <v>3515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4" t="s">
        <v>3370</v>
      </c>
      <c r="I753" s="1197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 x14ac:dyDescent="0.25">
      <c r="B754" s="668" t="s">
        <v>970</v>
      </c>
      <c r="C754" s="839" t="s">
        <v>3515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5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 x14ac:dyDescent="0.25">
      <c r="B755" s="668" t="s">
        <v>969</v>
      </c>
      <c r="C755" s="839" t="s">
        <v>3515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3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 x14ac:dyDescent="0.25">
      <c r="B756" s="668" t="s">
        <v>968</v>
      </c>
      <c r="C756" s="839" t="s">
        <v>3515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8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 x14ac:dyDescent="0.25">
      <c r="B757" s="668" t="s">
        <v>968</v>
      </c>
      <c r="C757" s="839" t="s">
        <v>3515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8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 x14ac:dyDescent="0.25">
      <c r="B758" s="668" t="s">
        <v>967</v>
      </c>
      <c r="C758" s="839" t="s">
        <v>3515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8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 x14ac:dyDescent="0.25">
      <c r="B759" s="668" t="s">
        <v>966</v>
      </c>
      <c r="C759" s="839" t="s">
        <v>3515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4" t="s">
        <v>3370</v>
      </c>
      <c r="I759" s="1197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 x14ac:dyDescent="0.25">
      <c r="B760" s="668" t="s">
        <v>965</v>
      </c>
      <c r="C760" s="839" t="s">
        <v>3515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8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 x14ac:dyDescent="0.25">
      <c r="B761" s="668" t="s">
        <v>964</v>
      </c>
      <c r="C761" s="839" t="s">
        <v>3515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5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 x14ac:dyDescent="0.25">
      <c r="B762" s="668" t="s">
        <v>963</v>
      </c>
      <c r="C762" s="839" t="s">
        <v>3515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8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 x14ac:dyDescent="0.25">
      <c r="B763" s="668" t="s">
        <v>962</v>
      </c>
      <c r="C763" s="839" t="s">
        <v>3515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5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 x14ac:dyDescent="0.25">
      <c r="B764" s="668" t="s">
        <v>961</v>
      </c>
      <c r="C764" s="839" t="s">
        <v>3515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8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 x14ac:dyDescent="0.25">
      <c r="B765" s="668" t="s">
        <v>960</v>
      </c>
      <c r="C765" s="839" t="s">
        <v>3515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7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 x14ac:dyDescent="0.25">
      <c r="B766" s="668" t="s">
        <v>959</v>
      </c>
      <c r="C766" s="839" t="s">
        <v>3515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3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 x14ac:dyDescent="0.25">
      <c r="B767" s="668" t="s">
        <v>958</v>
      </c>
      <c r="C767" s="839" t="s">
        <v>3515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8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 x14ac:dyDescent="0.25">
      <c r="B768" s="668" t="s">
        <v>957</v>
      </c>
      <c r="C768" s="839" t="s">
        <v>3515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8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 x14ac:dyDescent="0.25">
      <c r="B769" s="668" t="s">
        <v>956</v>
      </c>
      <c r="C769" s="839" t="s">
        <v>3515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8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 x14ac:dyDescent="0.25">
      <c r="B770" s="668" t="s">
        <v>955</v>
      </c>
      <c r="C770" s="839" t="s">
        <v>3515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8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 x14ac:dyDescent="0.25">
      <c r="B771" s="668" t="s">
        <v>954</v>
      </c>
      <c r="C771" s="839" t="s">
        <v>3515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8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 x14ac:dyDescent="0.25">
      <c r="B772" s="668" t="s">
        <v>953</v>
      </c>
      <c r="C772" s="839" t="s">
        <v>3515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5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 x14ac:dyDescent="0.25">
      <c r="B773" s="668" t="s">
        <v>952</v>
      </c>
      <c r="C773" s="839" t="s">
        <v>3515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5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 x14ac:dyDescent="0.25">
      <c r="B774" s="668" t="s">
        <v>951</v>
      </c>
      <c r="C774" s="839" t="s">
        <v>3515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8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 x14ac:dyDescent="0.25">
      <c r="B775" s="668" t="s">
        <v>950</v>
      </c>
      <c r="C775" s="839" t="s">
        <v>3515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8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 x14ac:dyDescent="0.25">
      <c r="B776" s="668" t="s">
        <v>950</v>
      </c>
      <c r="C776" s="839" t="s">
        <v>3515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8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 x14ac:dyDescent="0.25">
      <c r="B777" s="668" t="s">
        <v>949</v>
      </c>
      <c r="C777" s="839" t="s">
        <v>3515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3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 x14ac:dyDescent="0.25">
      <c r="B778" s="668" t="s">
        <v>948</v>
      </c>
      <c r="C778" s="839" t="s">
        <v>3515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8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 x14ac:dyDescent="0.25">
      <c r="B779" s="668" t="s">
        <v>947</v>
      </c>
      <c r="C779" s="839" t="s">
        <v>3515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8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 x14ac:dyDescent="0.25">
      <c r="B780" s="668" t="s">
        <v>946</v>
      </c>
      <c r="C780" s="839" t="s">
        <v>3515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8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 x14ac:dyDescent="0.25">
      <c r="B781" s="668" t="s">
        <v>945</v>
      </c>
      <c r="C781" s="839" t="s">
        <v>3515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8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 x14ac:dyDescent="0.25">
      <c r="B782" s="668" t="s">
        <v>945</v>
      </c>
      <c r="C782" s="839" t="s">
        <v>3515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8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 x14ac:dyDescent="0.25">
      <c r="B783" s="668" t="s">
        <v>944</v>
      </c>
      <c r="C783" s="839" t="s">
        <v>3515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8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 x14ac:dyDescent="0.25">
      <c r="B784" s="668" t="s">
        <v>943</v>
      </c>
      <c r="C784" s="839" t="s">
        <v>3515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8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 x14ac:dyDescent="0.25">
      <c r="B785" s="668" t="s">
        <v>942</v>
      </c>
      <c r="C785" s="839" t="s">
        <v>3515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8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 x14ac:dyDescent="0.25">
      <c r="B786" s="668" t="s">
        <v>941</v>
      </c>
      <c r="C786" s="839" t="s">
        <v>3515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8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 x14ac:dyDescent="0.25">
      <c r="B787" s="668" t="s">
        <v>940</v>
      </c>
      <c r="C787" s="839" t="s">
        <v>3515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8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 x14ac:dyDescent="0.25">
      <c r="B788" s="668" t="s">
        <v>940</v>
      </c>
      <c r="C788" s="839" t="s">
        <v>3515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8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 x14ac:dyDescent="0.25">
      <c r="B789" s="668" t="s">
        <v>940</v>
      </c>
      <c r="C789" s="839" t="s">
        <v>3515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3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 x14ac:dyDescent="0.25">
      <c r="B790" s="668" t="s">
        <v>932</v>
      </c>
      <c r="C790" s="839" t="s">
        <v>3515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5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 x14ac:dyDescent="0.25">
      <c r="B791" s="668" t="s">
        <v>939</v>
      </c>
      <c r="C791" s="839" t="s">
        <v>3515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8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 x14ac:dyDescent="0.25">
      <c r="B792" s="668" t="s">
        <v>938</v>
      </c>
      <c r="C792" s="839" t="s">
        <v>3515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8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 x14ac:dyDescent="0.25">
      <c r="B793" s="668" t="s">
        <v>937</v>
      </c>
      <c r="C793" s="839" t="s">
        <v>3515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8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 x14ac:dyDescent="0.25">
      <c r="B794" s="668" t="s">
        <v>936</v>
      </c>
      <c r="C794" s="839" t="s">
        <v>3515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8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 x14ac:dyDescent="0.25">
      <c r="B795" s="668" t="s">
        <v>935</v>
      </c>
      <c r="C795" s="839" t="s">
        <v>3515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8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 x14ac:dyDescent="0.25">
      <c r="B796" s="668" t="s">
        <v>934</v>
      </c>
      <c r="C796" s="839" t="s">
        <v>3515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5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 x14ac:dyDescent="0.25">
      <c r="B797" s="668" t="s">
        <v>933</v>
      </c>
      <c r="C797" s="839" t="s">
        <v>3515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7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 x14ac:dyDescent="0.25">
      <c r="B798" s="668" t="s">
        <v>932</v>
      </c>
      <c r="C798" s="839" t="s">
        <v>3515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8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 x14ac:dyDescent="0.25">
      <c r="B799" s="668" t="s">
        <v>931</v>
      </c>
      <c r="C799" s="839" t="s">
        <v>3515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8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 x14ac:dyDescent="0.25">
      <c r="B800" s="668" t="s">
        <v>930</v>
      </c>
      <c r="C800" s="839" t="s">
        <v>3515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4" t="s">
        <v>3370</v>
      </c>
      <c r="I800" s="1197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 x14ac:dyDescent="0.25">
      <c r="B801" s="668" t="s">
        <v>929</v>
      </c>
      <c r="C801" s="839" t="s">
        <v>3515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8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 x14ac:dyDescent="0.25">
      <c r="B802" s="668" t="s">
        <v>928</v>
      </c>
      <c r="C802" s="839" t="s">
        <v>3515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8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 x14ac:dyDescent="0.25">
      <c r="B803" s="668" t="s">
        <v>927</v>
      </c>
      <c r="C803" s="839" t="s">
        <v>3515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8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 x14ac:dyDescent="0.25">
      <c r="B804" s="668" t="s">
        <v>926</v>
      </c>
      <c r="C804" s="839" t="s">
        <v>3515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8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 x14ac:dyDescent="0.25">
      <c r="B805" s="668" t="s">
        <v>925</v>
      </c>
      <c r="C805" s="839" t="s">
        <v>3515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7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 x14ac:dyDescent="0.25">
      <c r="B806" s="668" t="s">
        <v>924</v>
      </c>
      <c r="C806" s="839" t="s">
        <v>3515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7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 x14ac:dyDescent="0.25">
      <c r="B807" s="668" t="s">
        <v>923</v>
      </c>
      <c r="C807" s="839" t="s">
        <v>3515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5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 x14ac:dyDescent="0.25">
      <c r="B808" s="668" t="s">
        <v>922</v>
      </c>
      <c r="C808" s="839" t="s">
        <v>3515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8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 x14ac:dyDescent="0.25">
      <c r="B809" s="668" t="s">
        <v>921</v>
      </c>
      <c r="C809" s="839" t="s">
        <v>3515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8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 x14ac:dyDescent="0.25">
      <c r="B810" s="668" t="s">
        <v>921</v>
      </c>
      <c r="C810" s="839" t="s">
        <v>3515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7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 x14ac:dyDescent="0.25">
      <c r="B811" s="668" t="s">
        <v>920</v>
      </c>
      <c r="C811" s="839" t="s">
        <v>3515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8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 x14ac:dyDescent="0.25">
      <c r="B812" s="668" t="s">
        <v>919</v>
      </c>
      <c r="C812" s="839" t="s">
        <v>3515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8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 x14ac:dyDescent="0.25">
      <c r="B813" s="668" t="s">
        <v>918</v>
      </c>
      <c r="C813" s="839" t="s">
        <v>3515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7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 x14ac:dyDescent="0.25">
      <c r="B814" s="668" t="s">
        <v>917</v>
      </c>
      <c r="C814" s="839" t="s">
        <v>3515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8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 x14ac:dyDescent="0.25">
      <c r="B815" s="668" t="s">
        <v>916</v>
      </c>
      <c r="C815" s="839" t="s">
        <v>3515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3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 x14ac:dyDescent="0.25">
      <c r="B816" s="668" t="s">
        <v>915</v>
      </c>
      <c r="C816" s="839" t="s">
        <v>3515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8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 x14ac:dyDescent="0.25">
      <c r="B817" s="668" t="s">
        <v>915</v>
      </c>
      <c r="C817" s="839" t="s">
        <v>3515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4" t="s">
        <v>3370</v>
      </c>
      <c r="I817" s="1197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 x14ac:dyDescent="0.25">
      <c r="B818" s="668" t="s">
        <v>914</v>
      </c>
      <c r="C818" s="839" t="s">
        <v>3515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8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 x14ac:dyDescent="0.25">
      <c r="B819" s="668" t="s">
        <v>913</v>
      </c>
      <c r="C819" s="839" t="s">
        <v>3515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8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 x14ac:dyDescent="0.25">
      <c r="B820" s="668" t="s">
        <v>912</v>
      </c>
      <c r="C820" s="839" t="s">
        <v>3515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8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 x14ac:dyDescent="0.25">
      <c r="B821" s="668" t="s">
        <v>911</v>
      </c>
      <c r="C821" s="839" t="s">
        <v>3515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8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 x14ac:dyDescent="0.25">
      <c r="B822" s="668" t="s">
        <v>911</v>
      </c>
      <c r="C822" s="839" t="s">
        <v>3515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8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 x14ac:dyDescent="0.25">
      <c r="B823" s="668" t="s">
        <v>910</v>
      </c>
      <c r="C823" s="839" t="s">
        <v>3515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8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 x14ac:dyDescent="0.25">
      <c r="B824" s="668" t="s">
        <v>909</v>
      </c>
      <c r="C824" s="839" t="s">
        <v>3515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8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 x14ac:dyDescent="0.25">
      <c r="B825" s="668" t="s">
        <v>908</v>
      </c>
      <c r="C825" s="839" t="s">
        <v>3515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8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 x14ac:dyDescent="0.25">
      <c r="B826" s="668" t="s">
        <v>907</v>
      </c>
      <c r="C826" s="839" t="s">
        <v>3515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8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 x14ac:dyDescent="0.25">
      <c r="B827" s="668" t="s">
        <v>907</v>
      </c>
      <c r="C827" s="839" t="s">
        <v>3515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8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 x14ac:dyDescent="0.25">
      <c r="B828" s="668" t="s">
        <v>906</v>
      </c>
      <c r="C828" s="839" t="s">
        <v>3515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3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 x14ac:dyDescent="0.25">
      <c r="B829" s="668" t="s">
        <v>905</v>
      </c>
      <c r="C829" s="839" t="s">
        <v>3515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8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 x14ac:dyDescent="0.25">
      <c r="B830" s="668" t="s">
        <v>904</v>
      </c>
      <c r="C830" s="839" t="s">
        <v>3515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5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 x14ac:dyDescent="0.25">
      <c r="B831" s="668" t="s">
        <v>903</v>
      </c>
      <c r="C831" s="839" t="s">
        <v>3515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8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 x14ac:dyDescent="0.25">
      <c r="B832" s="668" t="s">
        <v>902</v>
      </c>
      <c r="C832" s="839" t="s">
        <v>3515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8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 x14ac:dyDescent="0.25">
      <c r="B833" s="668" t="s">
        <v>901</v>
      </c>
      <c r="C833" s="839" t="s">
        <v>3515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3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 x14ac:dyDescent="0.25">
      <c r="B834" s="668" t="s">
        <v>900</v>
      </c>
      <c r="C834" s="839" t="s">
        <v>3515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8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 x14ac:dyDescent="0.25">
      <c r="B835" s="668" t="s">
        <v>899</v>
      </c>
      <c r="C835" s="839" t="s">
        <v>3515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8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 x14ac:dyDescent="0.25">
      <c r="B836" s="668" t="s">
        <v>898</v>
      </c>
      <c r="C836" s="839" t="s">
        <v>3515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8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 x14ac:dyDescent="0.25">
      <c r="B837" s="668" t="s">
        <v>898</v>
      </c>
      <c r="C837" s="839" t="s">
        <v>3515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8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 x14ac:dyDescent="0.25">
      <c r="B838" s="668" t="s">
        <v>898</v>
      </c>
      <c r="C838" s="839" t="s">
        <v>3515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3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 x14ac:dyDescent="0.25">
      <c r="B839" s="668" t="s">
        <v>897</v>
      </c>
      <c r="C839" s="839" t="s">
        <v>3515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5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 x14ac:dyDescent="0.25">
      <c r="B840" s="668" t="s">
        <v>896</v>
      </c>
      <c r="C840" s="839" t="s">
        <v>3515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7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 x14ac:dyDescent="0.25">
      <c r="B841" s="668" t="s">
        <v>895</v>
      </c>
      <c r="C841" s="839" t="s">
        <v>3515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8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 x14ac:dyDescent="0.25">
      <c r="B842" s="668" t="s">
        <v>894</v>
      </c>
      <c r="C842" s="839" t="s">
        <v>3515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8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 x14ac:dyDescent="0.25">
      <c r="B843" s="668" t="s">
        <v>893</v>
      </c>
      <c r="C843" s="839" t="s">
        <v>3515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8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 x14ac:dyDescent="0.25">
      <c r="B844" s="668" t="s">
        <v>892</v>
      </c>
      <c r="C844" s="839" t="s">
        <v>3515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8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 x14ac:dyDescent="0.25">
      <c r="B845" s="668" t="s">
        <v>892</v>
      </c>
      <c r="C845" s="839" t="s">
        <v>3515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8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 x14ac:dyDescent="0.25">
      <c r="B846" s="668" t="s">
        <v>891</v>
      </c>
      <c r="C846" s="839" t="s">
        <v>3515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3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 x14ac:dyDescent="0.25">
      <c r="B847" s="668" t="s">
        <v>890</v>
      </c>
      <c r="C847" s="839" t="s">
        <v>3515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5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 x14ac:dyDescent="0.25">
      <c r="B848" s="668" t="s">
        <v>889</v>
      </c>
      <c r="C848" s="839" t="s">
        <v>3515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8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 x14ac:dyDescent="0.25">
      <c r="B849" s="668" t="s">
        <v>888</v>
      </c>
      <c r="C849" s="839" t="s">
        <v>3515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8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 x14ac:dyDescent="0.25">
      <c r="B850" s="668" t="s">
        <v>887</v>
      </c>
      <c r="C850" s="839" t="s">
        <v>3515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3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 x14ac:dyDescent="0.25">
      <c r="B851" s="668" t="s">
        <v>886</v>
      </c>
      <c r="C851" s="839" t="s">
        <v>3515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8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 x14ac:dyDescent="0.25">
      <c r="B852" s="668" t="s">
        <v>885</v>
      </c>
      <c r="C852" s="839" t="s">
        <v>3515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7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 x14ac:dyDescent="0.25">
      <c r="B853" s="668" t="s">
        <v>885</v>
      </c>
      <c r="C853" s="839" t="s">
        <v>3515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8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 x14ac:dyDescent="0.25">
      <c r="B854" s="668" t="s">
        <v>885</v>
      </c>
      <c r="C854" s="839" t="s">
        <v>3515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7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 x14ac:dyDescent="0.25">
      <c r="B855" s="668" t="s">
        <v>884</v>
      </c>
      <c r="C855" s="839" t="s">
        <v>3515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8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 x14ac:dyDescent="0.25">
      <c r="B856" s="668" t="s">
        <v>494</v>
      </c>
      <c r="C856" s="839" t="s">
        <v>3515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8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 x14ac:dyDescent="0.25">
      <c r="B857" s="668" t="s">
        <v>883</v>
      </c>
      <c r="C857" s="839" t="s">
        <v>3515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8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 x14ac:dyDescent="0.25">
      <c r="B858" s="668" t="s">
        <v>882</v>
      </c>
      <c r="C858" s="839" t="s">
        <v>3515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7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 x14ac:dyDescent="0.25">
      <c r="B859" s="668" t="s">
        <v>882</v>
      </c>
      <c r="C859" s="839" t="s">
        <v>3515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5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 x14ac:dyDescent="0.25">
      <c r="B860" s="668" t="s">
        <v>881</v>
      </c>
      <c r="C860" s="839" t="s">
        <v>3515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8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 x14ac:dyDescent="0.25">
      <c r="B861" s="668" t="s">
        <v>881</v>
      </c>
      <c r="C861" s="839" t="s">
        <v>3515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8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 x14ac:dyDescent="0.25">
      <c r="B862" s="668" t="s">
        <v>984</v>
      </c>
      <c r="C862" s="839" t="s">
        <v>3515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4" t="s">
        <v>3370</v>
      </c>
      <c r="I862" s="1197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 x14ac:dyDescent="0.25">
      <c r="B863" s="668" t="s">
        <v>983</v>
      </c>
      <c r="C863" s="839" t="s">
        <v>3515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4" t="s">
        <v>3370</v>
      </c>
      <c r="I863" s="1197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 x14ac:dyDescent="0.25">
      <c r="B864" s="668" t="s">
        <v>982</v>
      </c>
      <c r="C864" s="839" t="s">
        <v>3515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8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 x14ac:dyDescent="0.25">
      <c r="B865" s="668" t="s">
        <v>981</v>
      </c>
      <c r="C865" s="839" t="s">
        <v>3515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8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 x14ac:dyDescent="0.25">
      <c r="B866" s="668" t="s">
        <v>980</v>
      </c>
      <c r="C866" s="839" t="s">
        <v>3515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8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 x14ac:dyDescent="0.25">
      <c r="B867" s="668" t="s">
        <v>979</v>
      </c>
      <c r="C867" s="839" t="s">
        <v>3515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8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 x14ac:dyDescent="0.25">
      <c r="B868" s="668" t="s">
        <v>978</v>
      </c>
      <c r="C868" s="839" t="s">
        <v>3515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3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 x14ac:dyDescent="0.25">
      <c r="B869" s="668" t="s">
        <v>978</v>
      </c>
      <c r="C869" s="839" t="s">
        <v>3515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8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 x14ac:dyDescent="0.25">
      <c r="B870" s="668" t="s">
        <v>978</v>
      </c>
      <c r="C870" s="839" t="s">
        <v>3515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7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 x14ac:dyDescent="0.25">
      <c r="B871" s="668" t="s">
        <v>977</v>
      </c>
      <c r="C871" s="839" t="s">
        <v>3515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8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 x14ac:dyDescent="0.25">
      <c r="B872" s="668" t="s">
        <v>977</v>
      </c>
      <c r="C872" s="839" t="s">
        <v>3515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4" t="s">
        <v>3370</v>
      </c>
      <c r="I872" s="1197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 x14ac:dyDescent="0.25">
      <c r="B873" s="668" t="s">
        <v>975</v>
      </c>
      <c r="C873" s="839" t="s">
        <v>3515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3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 x14ac:dyDescent="0.25">
      <c r="B874" s="668" t="s">
        <v>976</v>
      </c>
      <c r="C874" s="839" t="s">
        <v>3515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8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 x14ac:dyDescent="0.25">
      <c r="B875" s="668" t="s">
        <v>975</v>
      </c>
      <c r="C875" s="839" t="s">
        <v>3515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8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 x14ac:dyDescent="0.25">
      <c r="B876" s="668" t="s">
        <v>974</v>
      </c>
      <c r="C876" s="839" t="s">
        <v>3515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5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 x14ac:dyDescent="0.25">
      <c r="B877" s="668" t="s">
        <v>973</v>
      </c>
      <c r="C877" s="839" t="s">
        <v>3515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8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 x14ac:dyDescent="0.25">
      <c r="B878" s="668" t="s">
        <v>985</v>
      </c>
      <c r="C878" s="839" t="s">
        <v>3515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8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 x14ac:dyDescent="0.25">
      <c r="B879" s="669" t="s">
        <v>997</v>
      </c>
      <c r="C879" s="839" t="s">
        <v>3515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3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 x14ac:dyDescent="0.25">
      <c r="B880" s="669" t="s">
        <v>996</v>
      </c>
      <c r="C880" s="839" t="s">
        <v>3515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5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 x14ac:dyDescent="0.25">
      <c r="B881" s="669" t="s">
        <v>995</v>
      </c>
      <c r="C881" s="839" t="s">
        <v>3515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8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 x14ac:dyDescent="0.25">
      <c r="B882" s="669" t="s">
        <v>995</v>
      </c>
      <c r="C882" s="839" t="s">
        <v>3515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8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 x14ac:dyDescent="0.25">
      <c r="B883" s="669" t="s">
        <v>995</v>
      </c>
      <c r="C883" s="839" t="s">
        <v>3515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3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 x14ac:dyDescent="0.25">
      <c r="B884" s="669" t="s">
        <v>994</v>
      </c>
      <c r="C884" s="839" t="s">
        <v>3515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5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 x14ac:dyDescent="0.25">
      <c r="B885" s="669" t="s">
        <v>994</v>
      </c>
      <c r="C885" s="839" t="s">
        <v>3515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8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 x14ac:dyDescent="0.25">
      <c r="B886" s="669" t="s">
        <v>994</v>
      </c>
      <c r="C886" s="839" t="s">
        <v>3515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8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 x14ac:dyDescent="0.25">
      <c r="B887" s="669" t="s">
        <v>994</v>
      </c>
      <c r="C887" s="839" t="s">
        <v>3515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8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 x14ac:dyDescent="0.25">
      <c r="B888" s="669" t="s">
        <v>993</v>
      </c>
      <c r="C888" s="839" t="s">
        <v>3515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8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 x14ac:dyDescent="0.25">
      <c r="B889" s="669" t="s">
        <v>992</v>
      </c>
      <c r="C889" s="839" t="s">
        <v>3515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8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 x14ac:dyDescent="0.25">
      <c r="B890" s="669" t="s">
        <v>991</v>
      </c>
      <c r="C890" s="839" t="s">
        <v>3515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8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 x14ac:dyDescent="0.25">
      <c r="B891" s="669" t="s">
        <v>991</v>
      </c>
      <c r="C891" s="839" t="s">
        <v>3515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8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 x14ac:dyDescent="0.25">
      <c r="B892" s="669" t="s">
        <v>990</v>
      </c>
      <c r="C892" s="839" t="s">
        <v>3515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8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 x14ac:dyDescent="0.25">
      <c r="B893" s="670" t="s">
        <v>1014</v>
      </c>
      <c r="C893" s="839" t="s">
        <v>3515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8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 x14ac:dyDescent="0.25">
      <c r="B894" s="670" t="s">
        <v>1013</v>
      </c>
      <c r="C894" s="839" t="s">
        <v>3515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8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 x14ac:dyDescent="0.25">
      <c r="B895" s="670" t="s">
        <v>1004</v>
      </c>
      <c r="C895" s="839" t="s">
        <v>3515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3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 x14ac:dyDescent="0.25">
      <c r="B896" s="670" t="s">
        <v>1012</v>
      </c>
      <c r="C896" s="839" t="s">
        <v>3515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8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 x14ac:dyDescent="0.25">
      <c r="B897" s="670" t="s">
        <v>1012</v>
      </c>
      <c r="C897" s="839" t="s">
        <v>3515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8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 x14ac:dyDescent="0.25">
      <c r="B898" s="670" t="s">
        <v>1011</v>
      </c>
      <c r="C898" s="839" t="s">
        <v>3515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4" t="s">
        <v>3370</v>
      </c>
      <c r="I898" s="1198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 x14ac:dyDescent="0.25">
      <c r="B899" s="670" t="s">
        <v>1011</v>
      </c>
      <c r="C899" s="839" t="s">
        <v>3515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5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 x14ac:dyDescent="0.25">
      <c r="B900" s="670" t="s">
        <v>1010</v>
      </c>
      <c r="C900" s="839" t="s">
        <v>3515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8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 x14ac:dyDescent="0.25">
      <c r="B901" s="670" t="s">
        <v>1009</v>
      </c>
      <c r="C901" s="839" t="s">
        <v>3515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7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 x14ac:dyDescent="0.25">
      <c r="B902" s="670" t="s">
        <v>1009</v>
      </c>
      <c r="C902" s="839" t="s">
        <v>3515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3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 x14ac:dyDescent="0.25">
      <c r="B903" s="670" t="s">
        <v>1008</v>
      </c>
      <c r="C903" s="839" t="s">
        <v>3515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8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 x14ac:dyDescent="0.25">
      <c r="B904" s="670" t="s">
        <v>1007</v>
      </c>
      <c r="C904" s="839" t="s">
        <v>3515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8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 x14ac:dyDescent="0.25">
      <c r="B905" s="670" t="s">
        <v>1007</v>
      </c>
      <c r="C905" s="839" t="s">
        <v>3515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8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 x14ac:dyDescent="0.25">
      <c r="B906" s="670" t="s">
        <v>1006</v>
      </c>
      <c r="C906" s="839" t="s">
        <v>3515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8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 x14ac:dyDescent="0.25">
      <c r="B907" s="670" t="s">
        <v>1005</v>
      </c>
      <c r="C907" s="839" t="s">
        <v>3515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5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 x14ac:dyDescent="0.25">
      <c r="B908" s="670" t="s">
        <v>1004</v>
      </c>
      <c r="C908" s="839" t="s">
        <v>3515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8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 x14ac:dyDescent="0.25">
      <c r="B909" s="670" t="s">
        <v>1004</v>
      </c>
      <c r="C909" s="839" t="s">
        <v>3515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8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 x14ac:dyDescent="0.25">
      <c r="B910" s="670" t="s">
        <v>1003</v>
      </c>
      <c r="C910" s="839" t="s">
        <v>3515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8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 x14ac:dyDescent="0.25">
      <c r="B911" s="670" t="s">
        <v>1002</v>
      </c>
      <c r="C911" s="839" t="s">
        <v>3515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8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 x14ac:dyDescent="0.25">
      <c r="B912" s="670" t="s">
        <v>1002</v>
      </c>
      <c r="C912" s="839" t="s">
        <v>3515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8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 x14ac:dyDescent="0.25">
      <c r="B913" s="670" t="s">
        <v>1001</v>
      </c>
      <c r="C913" s="839" t="s">
        <v>3515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5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 x14ac:dyDescent="0.25">
      <c r="B914" s="671" t="s">
        <v>1028</v>
      </c>
      <c r="C914" s="839" t="s">
        <v>3515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3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 x14ac:dyDescent="0.25">
      <c r="B915" s="671" t="s">
        <v>1027</v>
      </c>
      <c r="C915" s="839" t="s">
        <v>3515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7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 x14ac:dyDescent="0.25">
      <c r="B916" s="671" t="s">
        <v>1027</v>
      </c>
      <c r="C916" s="839" t="s">
        <v>3515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3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 x14ac:dyDescent="0.25">
      <c r="B917" s="671" t="s">
        <v>1027</v>
      </c>
      <c r="C917" s="839" t="s">
        <v>3515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3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 x14ac:dyDescent="0.25">
      <c r="B918" s="671" t="s">
        <v>1026</v>
      </c>
      <c r="C918" s="839" t="s">
        <v>3515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9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 x14ac:dyDescent="0.25">
      <c r="B919" s="671" t="s">
        <v>1026</v>
      </c>
      <c r="C919" s="839" t="s">
        <v>3515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9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 x14ac:dyDescent="0.25">
      <c r="B920" s="671" t="s">
        <v>1025</v>
      </c>
      <c r="C920" s="839" t="s">
        <v>3515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5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 x14ac:dyDescent="0.25">
      <c r="B921" s="671" t="s">
        <v>1024</v>
      </c>
      <c r="C921" s="839" t="s">
        <v>3515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5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 x14ac:dyDescent="0.25">
      <c r="B922" s="671" t="s">
        <v>1023</v>
      </c>
      <c r="C922" s="839" t="s">
        <v>3515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8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 x14ac:dyDescent="0.25">
      <c r="B923" s="671" t="s">
        <v>1022</v>
      </c>
      <c r="C923" s="839" t="s">
        <v>3515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3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 x14ac:dyDescent="0.25">
      <c r="B924" s="671" t="s">
        <v>1113</v>
      </c>
      <c r="C924" s="839" t="s">
        <v>3515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3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 x14ac:dyDescent="0.25">
      <c r="B925" s="671" t="s">
        <v>1112</v>
      </c>
      <c r="C925" s="839" t="s">
        <v>3515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8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 x14ac:dyDescent="0.25">
      <c r="B926" s="671" t="s">
        <v>1022</v>
      </c>
      <c r="C926" s="839" t="s">
        <v>3515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8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 x14ac:dyDescent="0.25">
      <c r="B927" s="671" t="s">
        <v>1111</v>
      </c>
      <c r="C927" s="839" t="s">
        <v>3515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9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 x14ac:dyDescent="0.25">
      <c r="B928" s="671" t="s">
        <v>1110</v>
      </c>
      <c r="C928" s="839" t="s">
        <v>3515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8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 x14ac:dyDescent="0.25">
      <c r="B929" s="671" t="s">
        <v>1110</v>
      </c>
      <c r="C929" s="839" t="s">
        <v>3515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8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 x14ac:dyDescent="0.25">
      <c r="B930" s="671" t="s">
        <v>1109</v>
      </c>
      <c r="C930" s="839" t="s">
        <v>3515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8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 x14ac:dyDescent="0.25">
      <c r="B931" s="671" t="s">
        <v>1108</v>
      </c>
      <c r="C931" s="839" t="s">
        <v>3515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8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 x14ac:dyDescent="0.25">
      <c r="B932" s="671" t="s">
        <v>1108</v>
      </c>
      <c r="C932" s="839" t="s">
        <v>3515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7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 x14ac:dyDescent="0.25">
      <c r="B933" s="671" t="s">
        <v>1108</v>
      </c>
      <c r="C933" s="839" t="s">
        <v>3515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5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 x14ac:dyDescent="0.25">
      <c r="B934" s="671" t="s">
        <v>1107</v>
      </c>
      <c r="C934" s="839" t="s">
        <v>3515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7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 x14ac:dyDescent="0.25">
      <c r="B935" s="671" t="s">
        <v>1107</v>
      </c>
      <c r="C935" s="839" t="s">
        <v>3515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8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 x14ac:dyDescent="0.25">
      <c r="B936" s="671" t="s">
        <v>1106</v>
      </c>
      <c r="C936" s="839" t="s">
        <v>3515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8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 x14ac:dyDescent="0.25">
      <c r="B937" s="671" t="s">
        <v>1105</v>
      </c>
      <c r="C937" s="839" t="s">
        <v>3515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8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 x14ac:dyDescent="0.25">
      <c r="B938" s="671" t="s">
        <v>1104</v>
      </c>
      <c r="C938" s="839" t="s">
        <v>3515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5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 x14ac:dyDescent="0.25">
      <c r="B939" s="671" t="s">
        <v>1103</v>
      </c>
      <c r="C939" s="839" t="s">
        <v>3515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8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 x14ac:dyDescent="0.25">
      <c r="B940" s="671" t="s">
        <v>1102</v>
      </c>
      <c r="C940" s="839" t="s">
        <v>3515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3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 x14ac:dyDescent="0.25">
      <c r="B941" s="671" t="s">
        <v>1101</v>
      </c>
      <c r="C941" s="839" t="s">
        <v>3515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7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 x14ac:dyDescent="0.25">
      <c r="B942" s="671" t="s">
        <v>1100</v>
      </c>
      <c r="C942" s="839" t="s">
        <v>3515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5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 x14ac:dyDescent="0.25">
      <c r="B943" s="671" t="s">
        <v>1099</v>
      </c>
      <c r="C943" s="839" t="s">
        <v>3515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3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 x14ac:dyDescent="0.25">
      <c r="B944" s="671" t="s">
        <v>1098</v>
      </c>
      <c r="C944" s="839" t="s">
        <v>3515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5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 x14ac:dyDescent="0.25">
      <c r="B945" s="671" t="s">
        <v>1097</v>
      </c>
      <c r="C945" s="839" t="s">
        <v>3515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7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 x14ac:dyDescent="0.25">
      <c r="B946" s="671" t="s">
        <v>1097</v>
      </c>
      <c r="C946" s="839" t="s">
        <v>3515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9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 x14ac:dyDescent="0.25">
      <c r="B947" s="671" t="s">
        <v>1096</v>
      </c>
      <c r="C947" s="839" t="s">
        <v>3515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3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 x14ac:dyDescent="0.25">
      <c r="B948" s="671" t="s">
        <v>1096</v>
      </c>
      <c r="C948" s="839" t="s">
        <v>3515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7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 x14ac:dyDescent="0.25">
      <c r="B949" s="671" t="s">
        <v>1095</v>
      </c>
      <c r="C949" s="839" t="s">
        <v>3515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9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 x14ac:dyDescent="0.25">
      <c r="B950" s="671" t="s">
        <v>1095</v>
      </c>
      <c r="C950" s="839" t="s">
        <v>3515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4" t="s">
        <v>3370</v>
      </c>
      <c r="I950" s="1199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 x14ac:dyDescent="0.25">
      <c r="B951" s="671" t="s">
        <v>1094</v>
      </c>
      <c r="C951" s="839" t="s">
        <v>3515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3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 x14ac:dyDescent="0.25">
      <c r="B952" s="671" t="s">
        <v>1093</v>
      </c>
      <c r="C952" s="839" t="s">
        <v>3515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5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 x14ac:dyDescent="0.25">
      <c r="B953" s="671" t="s">
        <v>1092</v>
      </c>
      <c r="C953" s="839" t="s">
        <v>3515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5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 x14ac:dyDescent="0.25">
      <c r="B954" s="671" t="s">
        <v>1091</v>
      </c>
      <c r="C954" s="839" t="s">
        <v>3515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5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 x14ac:dyDescent="0.25">
      <c r="B955" s="671" t="s">
        <v>1087</v>
      </c>
      <c r="C955" s="839" t="s">
        <v>3515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5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 x14ac:dyDescent="0.25">
      <c r="B956" s="671" t="s">
        <v>1090</v>
      </c>
      <c r="C956" s="839" t="s">
        <v>3515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3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 x14ac:dyDescent="0.25">
      <c r="B957" s="671" t="s">
        <v>1089</v>
      </c>
      <c r="C957" s="839" t="s">
        <v>3515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7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 x14ac:dyDescent="0.25">
      <c r="B958" s="671" t="s">
        <v>1088</v>
      </c>
      <c r="C958" s="839" t="s">
        <v>3515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8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 x14ac:dyDescent="0.25">
      <c r="B959" s="671" t="s">
        <v>1087</v>
      </c>
      <c r="C959" s="839" t="s">
        <v>3515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8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 x14ac:dyDescent="0.25">
      <c r="B960" s="671" t="s">
        <v>1086</v>
      </c>
      <c r="C960" s="839" t="s">
        <v>3515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8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 x14ac:dyDescent="0.25">
      <c r="B961" s="671" t="s">
        <v>1085</v>
      </c>
      <c r="C961" s="839" t="s">
        <v>3515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5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 x14ac:dyDescent="0.25">
      <c r="B962" s="671" t="s">
        <v>1084</v>
      </c>
      <c r="C962" s="839" t="s">
        <v>3515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8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 x14ac:dyDescent="0.25">
      <c r="B963" s="671" t="s">
        <v>1083</v>
      </c>
      <c r="C963" s="839" t="s">
        <v>3515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8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 x14ac:dyDescent="0.25">
      <c r="B964" s="671" t="s">
        <v>1082</v>
      </c>
      <c r="C964" s="839" t="s">
        <v>3515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8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 x14ac:dyDescent="0.25">
      <c r="B965" s="671" t="s">
        <v>1082</v>
      </c>
      <c r="C965" s="839" t="s">
        <v>3515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8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 x14ac:dyDescent="0.25">
      <c r="B966" s="671" t="s">
        <v>1081</v>
      </c>
      <c r="C966" s="839" t="s">
        <v>3515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8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 x14ac:dyDescent="0.25">
      <c r="B967" s="671" t="s">
        <v>1080</v>
      </c>
      <c r="C967" s="839" t="s">
        <v>3515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8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 x14ac:dyDescent="0.25">
      <c r="B968" s="671" t="s">
        <v>1079</v>
      </c>
      <c r="C968" s="839" t="s">
        <v>3515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8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 x14ac:dyDescent="0.25">
      <c r="B969" s="671" t="s">
        <v>1079</v>
      </c>
      <c r="C969" s="839" t="s">
        <v>3515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8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 x14ac:dyDescent="0.25">
      <c r="B970" s="671" t="s">
        <v>1078</v>
      </c>
      <c r="C970" s="839" t="s">
        <v>3515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8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 x14ac:dyDescent="0.25">
      <c r="B971" s="671" t="s">
        <v>1078</v>
      </c>
      <c r="C971" s="839" t="s">
        <v>3515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9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 x14ac:dyDescent="0.25">
      <c r="B972" s="671" t="s">
        <v>1077</v>
      </c>
      <c r="C972" s="839" t="s">
        <v>3515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8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 x14ac:dyDescent="0.25">
      <c r="B973" s="671" t="s">
        <v>1076</v>
      </c>
      <c r="C973" s="839" t="s">
        <v>3515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8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 x14ac:dyDescent="0.25">
      <c r="B974" s="671" t="s">
        <v>1075</v>
      </c>
      <c r="C974" s="839" t="s">
        <v>3515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8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 x14ac:dyDescent="0.25">
      <c r="B975" s="671" t="s">
        <v>1074</v>
      </c>
      <c r="C975" s="839" t="s">
        <v>3515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8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 x14ac:dyDescent="0.25">
      <c r="B976" s="671" t="s">
        <v>1073</v>
      </c>
      <c r="C976" s="839" t="s">
        <v>3515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8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 x14ac:dyDescent="0.25">
      <c r="B977" s="671" t="s">
        <v>1072</v>
      </c>
      <c r="C977" s="839" t="s">
        <v>3515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8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 x14ac:dyDescent="0.25">
      <c r="B978" s="671" t="s">
        <v>1072</v>
      </c>
      <c r="C978" s="839" t="s">
        <v>3515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8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 x14ac:dyDescent="0.25">
      <c r="B979" s="671" t="s">
        <v>1071</v>
      </c>
      <c r="C979" s="839" t="s">
        <v>3515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3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 x14ac:dyDescent="0.25">
      <c r="B980" s="671" t="s">
        <v>1071</v>
      </c>
      <c r="C980" s="839" t="s">
        <v>3515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8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 x14ac:dyDescent="0.25">
      <c r="B981" s="671" t="s">
        <v>1071</v>
      </c>
      <c r="C981" s="839" t="s">
        <v>3515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8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 x14ac:dyDescent="0.25">
      <c r="B982" s="671" t="s">
        <v>1070</v>
      </c>
      <c r="C982" s="839" t="s">
        <v>3515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8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 x14ac:dyDescent="0.25">
      <c r="B983" s="671" t="s">
        <v>1069</v>
      </c>
      <c r="C983" s="839" t="s">
        <v>3515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8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 x14ac:dyDescent="0.25">
      <c r="B984" s="671" t="s">
        <v>1068</v>
      </c>
      <c r="C984" s="839" t="s">
        <v>3515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8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 x14ac:dyDescent="0.25">
      <c r="B985" s="671" t="s">
        <v>1067</v>
      </c>
      <c r="C985" s="839" t="s">
        <v>3515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8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 x14ac:dyDescent="0.25">
      <c r="B986" s="671" t="s">
        <v>1066</v>
      </c>
      <c r="C986" s="839" t="s">
        <v>3515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3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 x14ac:dyDescent="0.25">
      <c r="B987" s="671" t="s">
        <v>1065</v>
      </c>
      <c r="C987" s="839" t="s">
        <v>3515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9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 x14ac:dyDescent="0.25">
      <c r="B988" s="671" t="s">
        <v>1065</v>
      </c>
      <c r="C988" s="839" t="s">
        <v>3515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4" t="s">
        <v>3370</v>
      </c>
      <c r="I988" s="1199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 x14ac:dyDescent="0.25">
      <c r="B989" s="671" t="s">
        <v>1064</v>
      </c>
      <c r="C989" s="839" t="s">
        <v>3515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9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 x14ac:dyDescent="0.25">
      <c r="B990" s="671" t="s">
        <v>1063</v>
      </c>
      <c r="C990" s="839" t="s">
        <v>3515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9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 x14ac:dyDescent="0.25">
      <c r="B991" s="671" t="s">
        <v>1062</v>
      </c>
      <c r="C991" s="839" t="s">
        <v>3515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9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 x14ac:dyDescent="0.25">
      <c r="B992" s="671" t="s">
        <v>1061</v>
      </c>
      <c r="C992" s="839" t="s">
        <v>3515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5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 x14ac:dyDescent="0.25">
      <c r="B993" s="671" t="s">
        <v>1060</v>
      </c>
      <c r="C993" s="839" t="s">
        <v>3515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3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 x14ac:dyDescent="0.25">
      <c r="B994" s="671" t="s">
        <v>1059</v>
      </c>
      <c r="C994" s="839" t="s">
        <v>3515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8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 x14ac:dyDescent="0.25">
      <c r="B995" s="671" t="s">
        <v>1058</v>
      </c>
      <c r="C995" s="839" t="s">
        <v>3515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8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 x14ac:dyDescent="0.25">
      <c r="B996" s="671" t="s">
        <v>1057</v>
      </c>
      <c r="C996" s="839" t="s">
        <v>3515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178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 x14ac:dyDescent="0.25">
      <c r="B997" s="671" t="s">
        <v>1057</v>
      </c>
      <c r="C997" s="839" t="s">
        <v>3515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8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 x14ac:dyDescent="0.25">
      <c r="B998" s="671" t="s">
        <v>1056</v>
      </c>
      <c r="C998" s="839" t="s">
        <v>3515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8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 x14ac:dyDescent="0.25">
      <c r="B999" s="671" t="s">
        <v>1055</v>
      </c>
      <c r="C999" s="839" t="s">
        <v>3515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8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 x14ac:dyDescent="0.25">
      <c r="B1000" s="671" t="s">
        <v>1055</v>
      </c>
      <c r="C1000" s="839" t="s">
        <v>3515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8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 x14ac:dyDescent="0.25">
      <c r="B1001" s="671" t="s">
        <v>1052</v>
      </c>
      <c r="C1001" s="839" t="s">
        <v>3515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9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 x14ac:dyDescent="0.25">
      <c r="B1002" s="671" t="s">
        <v>1054</v>
      </c>
      <c r="C1002" s="839" t="s">
        <v>3515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8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 x14ac:dyDescent="0.25">
      <c r="B1003" s="671" t="s">
        <v>1053</v>
      </c>
      <c r="C1003" s="839" t="s">
        <v>3515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5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 x14ac:dyDescent="0.25">
      <c r="B1004" s="671" t="s">
        <v>1052</v>
      </c>
      <c r="C1004" s="839" t="s">
        <v>3515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8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 x14ac:dyDescent="0.25">
      <c r="B1005" s="671" t="s">
        <v>1051</v>
      </c>
      <c r="C1005" s="839" t="s">
        <v>3515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8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 x14ac:dyDescent="0.25">
      <c r="B1006" s="671" t="s">
        <v>1050</v>
      </c>
      <c r="C1006" s="839" t="s">
        <v>3515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8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 x14ac:dyDescent="0.25">
      <c r="B1007" s="671" t="s">
        <v>1049</v>
      </c>
      <c r="C1007" s="839" t="s">
        <v>3515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9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 x14ac:dyDescent="0.25">
      <c r="B1008" s="671" t="s">
        <v>1049</v>
      </c>
      <c r="C1008" s="839" t="s">
        <v>3515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8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 x14ac:dyDescent="0.25">
      <c r="B1009" s="671" t="s">
        <v>1048</v>
      </c>
      <c r="C1009" s="839" t="s">
        <v>3515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8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 x14ac:dyDescent="0.25">
      <c r="B1010" s="671" t="s">
        <v>1047</v>
      </c>
      <c r="C1010" s="839" t="s">
        <v>3515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8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 x14ac:dyDescent="0.25">
      <c r="B1011" s="671" t="s">
        <v>1046</v>
      </c>
      <c r="C1011" s="839" t="s">
        <v>3515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3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 x14ac:dyDescent="0.25">
      <c r="B1012" s="671" t="s">
        <v>1045</v>
      </c>
      <c r="C1012" s="839" t="s">
        <v>3515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8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 x14ac:dyDescent="0.25">
      <c r="B1013" s="671" t="s">
        <v>1045</v>
      </c>
      <c r="C1013" s="839" t="s">
        <v>3515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8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 x14ac:dyDescent="0.25">
      <c r="B1014" s="671" t="s">
        <v>1044</v>
      </c>
      <c r="C1014" s="839" t="s">
        <v>3515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8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 x14ac:dyDescent="0.25">
      <c r="B1015" s="671" t="s">
        <v>1042</v>
      </c>
      <c r="C1015" s="839" t="s">
        <v>3515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3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 x14ac:dyDescent="0.25">
      <c r="B1016" s="671" t="s">
        <v>1043</v>
      </c>
      <c r="C1016" s="839" t="s">
        <v>3515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3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 x14ac:dyDescent="0.25">
      <c r="B1017" s="671" t="s">
        <v>1042</v>
      </c>
      <c r="C1017" s="839" t="s">
        <v>3515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9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 x14ac:dyDescent="0.25">
      <c r="B1018" s="671" t="s">
        <v>1042</v>
      </c>
      <c r="C1018" s="839" t="s">
        <v>3515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9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 x14ac:dyDescent="0.25">
      <c r="B1019" s="671" t="s">
        <v>1041</v>
      </c>
      <c r="C1019" s="839" t="s">
        <v>3515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9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 x14ac:dyDescent="0.25">
      <c r="B1020" s="671" t="s">
        <v>1040</v>
      </c>
      <c r="C1020" s="839" t="s">
        <v>3515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5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 x14ac:dyDescent="0.25">
      <c r="B1021" s="671" t="s">
        <v>1039</v>
      </c>
      <c r="C1021" s="839" t="s">
        <v>3515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5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 x14ac:dyDescent="0.25">
      <c r="B1022" s="671" t="s">
        <v>1038</v>
      </c>
      <c r="C1022" s="839" t="s">
        <v>3515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5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 x14ac:dyDescent="0.25">
      <c r="B1023" s="671" t="s">
        <v>1037</v>
      </c>
      <c r="C1023" s="839" t="s">
        <v>3515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3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 x14ac:dyDescent="0.25">
      <c r="B1024" s="671" t="s">
        <v>1036</v>
      </c>
      <c r="C1024" s="839" t="s">
        <v>3515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4" t="s">
        <v>3370</v>
      </c>
      <c r="I1024" s="1199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 x14ac:dyDescent="0.25">
      <c r="B1025" s="671" t="s">
        <v>1035</v>
      </c>
      <c r="C1025" s="839" t="s">
        <v>3515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9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 x14ac:dyDescent="0.25">
      <c r="B1026" s="671" t="s">
        <v>1034</v>
      </c>
      <c r="C1026" s="839" t="s">
        <v>3515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4" t="s">
        <v>3370</v>
      </c>
      <c r="I1026" s="1199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 x14ac:dyDescent="0.25">
      <c r="B1027" s="671" t="s">
        <v>1033</v>
      </c>
      <c r="C1027" s="839" t="s">
        <v>3515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9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 x14ac:dyDescent="0.25">
      <c r="B1028" s="671" t="s">
        <v>1032</v>
      </c>
      <c r="C1028" s="839" t="s">
        <v>3515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9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 x14ac:dyDescent="0.25">
      <c r="B1029" s="671" t="s">
        <v>1031</v>
      </c>
      <c r="C1029" s="839" t="s">
        <v>3515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3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 x14ac:dyDescent="0.25">
      <c r="B1030" s="671" t="s">
        <v>1030</v>
      </c>
      <c r="C1030" s="839" t="s">
        <v>3515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9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 x14ac:dyDescent="0.25">
      <c r="B1031" s="671" t="s">
        <v>1029</v>
      </c>
      <c r="C1031" s="839" t="s">
        <v>3515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9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 x14ac:dyDescent="0.25">
      <c r="B1032" s="671" t="s">
        <v>1029</v>
      </c>
      <c r="C1032" s="839" t="s">
        <v>3515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9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 x14ac:dyDescent="0.25">
      <c r="B1033" s="671" t="s">
        <v>1138</v>
      </c>
      <c r="C1033" s="839" t="s">
        <v>3515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5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 x14ac:dyDescent="0.25">
      <c r="B1034" s="671" t="s">
        <v>1137</v>
      </c>
      <c r="C1034" s="839" t="s">
        <v>3515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9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 x14ac:dyDescent="0.25">
      <c r="B1035" s="671" t="s">
        <v>1137</v>
      </c>
      <c r="C1035" s="839" t="s">
        <v>3515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5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 x14ac:dyDescent="0.25">
      <c r="B1036" s="671" t="s">
        <v>1136</v>
      </c>
      <c r="C1036" s="839" t="s">
        <v>3515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5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 x14ac:dyDescent="0.25">
      <c r="B1037" s="671" t="s">
        <v>1135</v>
      </c>
      <c r="C1037" s="839" t="s">
        <v>3515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9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 x14ac:dyDescent="0.25">
      <c r="B1038" s="671" t="s">
        <v>1134</v>
      </c>
      <c r="C1038" s="839" t="s">
        <v>3515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4" t="s">
        <v>3370</v>
      </c>
      <c r="I1038" s="1199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 x14ac:dyDescent="0.25">
      <c r="B1039" s="671" t="s">
        <v>1133</v>
      </c>
      <c r="C1039" s="839" t="s">
        <v>3515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3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 x14ac:dyDescent="0.25">
      <c r="B1040" s="671" t="s">
        <v>1132</v>
      </c>
      <c r="C1040" s="839" t="s">
        <v>3515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9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 x14ac:dyDescent="0.25">
      <c r="B1041" s="671" t="s">
        <v>1132</v>
      </c>
      <c r="C1041" s="839" t="s">
        <v>3515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4" t="s">
        <v>3370</v>
      </c>
      <c r="I1041" s="1199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 x14ac:dyDescent="0.25">
      <c r="B1042" s="671" t="s">
        <v>1131</v>
      </c>
      <c r="C1042" s="839" t="s">
        <v>3515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8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 x14ac:dyDescent="0.25">
      <c r="B1043" s="671" t="s">
        <v>1130</v>
      </c>
      <c r="C1043" s="839" t="s">
        <v>3515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8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 x14ac:dyDescent="0.25">
      <c r="B1044" s="671" t="s">
        <v>1129</v>
      </c>
      <c r="C1044" s="839" t="s">
        <v>3515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8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 x14ac:dyDescent="0.25">
      <c r="B1045" s="671" t="s">
        <v>1128</v>
      </c>
      <c r="C1045" s="839" t="s">
        <v>3515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8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 x14ac:dyDescent="0.25">
      <c r="B1046" s="671" t="s">
        <v>1127</v>
      </c>
      <c r="C1046" s="839" t="s">
        <v>3515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8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 x14ac:dyDescent="0.25">
      <c r="B1047" s="671" t="s">
        <v>1126</v>
      </c>
      <c r="C1047" s="839" t="s">
        <v>3515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9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 x14ac:dyDescent="0.25">
      <c r="B1048" s="671" t="s">
        <v>1125</v>
      </c>
      <c r="C1048" s="839" t="s">
        <v>3515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8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 x14ac:dyDescent="0.25">
      <c r="B1049" s="671" t="s">
        <v>1124</v>
      </c>
      <c r="C1049" s="839" t="s">
        <v>3515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8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 x14ac:dyDescent="0.25">
      <c r="B1050" s="671" t="s">
        <v>1123</v>
      </c>
      <c r="C1050" s="839" t="s">
        <v>3515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8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 x14ac:dyDescent="0.25">
      <c r="B1051" s="671" t="s">
        <v>1122</v>
      </c>
      <c r="C1051" s="839" t="s">
        <v>3515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9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 x14ac:dyDescent="0.25">
      <c r="B1052" s="671" t="s">
        <v>1121</v>
      </c>
      <c r="C1052" s="839" t="s">
        <v>3515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8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 x14ac:dyDescent="0.25">
      <c r="B1053" s="671" t="s">
        <v>1120</v>
      </c>
      <c r="C1053" s="839" t="s">
        <v>3515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8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 x14ac:dyDescent="0.25">
      <c r="B1054" s="671" t="s">
        <v>1120</v>
      </c>
      <c r="C1054" s="839" t="s">
        <v>3515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4" t="s">
        <v>3370</v>
      </c>
      <c r="I1054" s="1199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 x14ac:dyDescent="0.25">
      <c r="B1055" s="671" t="s">
        <v>1119</v>
      </c>
      <c r="C1055" s="839" t="s">
        <v>3515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3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 x14ac:dyDescent="0.25">
      <c r="B1056" s="671" t="s">
        <v>1118</v>
      </c>
      <c r="C1056" s="839" t="s">
        <v>3515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8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 x14ac:dyDescent="0.25">
      <c r="B1057" s="671" t="s">
        <v>1118</v>
      </c>
      <c r="C1057" s="839" t="s">
        <v>3515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9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 x14ac:dyDescent="0.25">
      <c r="B1058" s="671" t="s">
        <v>1117</v>
      </c>
      <c r="C1058" s="839" t="s">
        <v>3515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8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 x14ac:dyDescent="0.25">
      <c r="B1059" s="671" t="s">
        <v>1116</v>
      </c>
      <c r="C1059" s="839" t="s">
        <v>3515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8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 x14ac:dyDescent="0.25">
      <c r="B1060" s="671" t="s">
        <v>1115</v>
      </c>
      <c r="C1060" s="839" t="s">
        <v>3515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8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 x14ac:dyDescent="0.25">
      <c r="B1061" s="671" t="s">
        <v>1114</v>
      </c>
      <c r="C1061" s="839" t="s">
        <v>3515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8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 x14ac:dyDescent="0.25">
      <c r="B1062" s="672" t="s">
        <v>1147</v>
      </c>
      <c r="C1062" s="839" t="s">
        <v>3515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4" t="s">
        <v>3370</v>
      </c>
      <c r="I1062" s="1200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 x14ac:dyDescent="0.25">
      <c r="B1063" s="672" t="s">
        <v>1146</v>
      </c>
      <c r="C1063" s="839" t="s">
        <v>3515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9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 x14ac:dyDescent="0.25">
      <c r="B1064" s="672" t="s">
        <v>1145</v>
      </c>
      <c r="C1064" s="839" t="s">
        <v>3515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8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 x14ac:dyDescent="0.25">
      <c r="B1065" s="672" t="s">
        <v>1144</v>
      </c>
      <c r="C1065" s="839" t="s">
        <v>3515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4" t="s">
        <v>3370</v>
      </c>
      <c r="I1065" s="1200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 x14ac:dyDescent="0.25">
      <c r="B1066" s="672" t="s">
        <v>215</v>
      </c>
      <c r="C1066" s="839" t="s">
        <v>3515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8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 x14ac:dyDescent="0.25">
      <c r="B1067" s="672" t="s">
        <v>1143</v>
      </c>
      <c r="C1067" s="839" t="s">
        <v>3515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8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 x14ac:dyDescent="0.25">
      <c r="B1068" s="672" t="s">
        <v>1142</v>
      </c>
      <c r="C1068" s="839" t="s">
        <v>3515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4" t="s">
        <v>3370</v>
      </c>
      <c r="I1068" s="1201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 x14ac:dyDescent="0.25">
      <c r="B1069" s="672" t="s">
        <v>1141</v>
      </c>
      <c r="C1069" s="839" t="s">
        <v>3515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8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 x14ac:dyDescent="0.25">
      <c r="B1070" s="672" t="s">
        <v>1140</v>
      </c>
      <c r="C1070" s="839" t="s">
        <v>3515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8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 x14ac:dyDescent="0.25">
      <c r="B1071" s="672" t="s">
        <v>1139</v>
      </c>
      <c r="C1071" s="839" t="s">
        <v>3515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8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 x14ac:dyDescent="0.25">
      <c r="B1072" s="673" t="s">
        <v>1158</v>
      </c>
      <c r="C1072" s="839" t="s">
        <v>3515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4" t="s">
        <v>3370</v>
      </c>
      <c r="I1072" s="1200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254" t="s">
        <v>1209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 x14ac:dyDescent="0.25">
      <c r="B1073" s="673" t="s">
        <v>1157</v>
      </c>
      <c r="C1073" s="839" t="s">
        <v>3515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8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 x14ac:dyDescent="0.25">
      <c r="B1074" s="673" t="s">
        <v>1157</v>
      </c>
      <c r="C1074" s="839" t="s">
        <v>3515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8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 x14ac:dyDescent="0.25">
      <c r="B1075" s="673" t="s">
        <v>1157</v>
      </c>
      <c r="C1075" s="839" t="s">
        <v>3515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00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 x14ac:dyDescent="0.25">
      <c r="B1076" s="673" t="s">
        <v>1156</v>
      </c>
      <c r="C1076" s="839" t="s">
        <v>3515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8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 x14ac:dyDescent="0.25">
      <c r="B1077" s="673" t="s">
        <v>1155</v>
      </c>
      <c r="C1077" s="839" t="s">
        <v>3515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8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 x14ac:dyDescent="0.25">
      <c r="B1078" s="673" t="s">
        <v>1154</v>
      </c>
      <c r="C1078" s="839" t="s">
        <v>3515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00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 x14ac:dyDescent="0.25">
      <c r="B1079" s="673" t="s">
        <v>1153</v>
      </c>
      <c r="C1079" s="839" t="s">
        <v>3515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8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 x14ac:dyDescent="0.25">
      <c r="B1080" s="673" t="s">
        <v>1152</v>
      </c>
      <c r="C1080" s="839" t="s">
        <v>3515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8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 x14ac:dyDescent="0.25">
      <c r="B1081" s="673" t="s">
        <v>1151</v>
      </c>
      <c r="C1081" s="839" t="s">
        <v>3515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8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 x14ac:dyDescent="0.25">
      <c r="B1082" s="673" t="s">
        <v>1151</v>
      </c>
      <c r="C1082" s="839" t="s">
        <v>3515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8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 x14ac:dyDescent="0.25">
      <c r="B1083" s="673" t="s">
        <v>1150</v>
      </c>
      <c r="C1083" s="839" t="s">
        <v>3515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8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 x14ac:dyDescent="0.25">
      <c r="B1084" s="673" t="s">
        <v>1150</v>
      </c>
      <c r="C1084" s="839" t="s">
        <v>3515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4" t="s">
        <v>3370</v>
      </c>
      <c r="I1084" s="1200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254" t="s">
        <v>1209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 x14ac:dyDescent="0.25">
      <c r="B1085" s="673" t="s">
        <v>1149</v>
      </c>
      <c r="C1085" s="839" t="s">
        <v>3515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8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 x14ac:dyDescent="0.25">
      <c r="B1086" s="673" t="s">
        <v>1148</v>
      </c>
      <c r="C1086" s="839" t="s">
        <v>3515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8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 x14ac:dyDescent="0.25">
      <c r="B1087" s="674" t="s">
        <v>1163</v>
      </c>
      <c r="C1087" s="839" t="s">
        <v>3515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8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 x14ac:dyDescent="0.25">
      <c r="B1088" s="674" t="s">
        <v>1162</v>
      </c>
      <c r="C1088" s="839" t="s">
        <v>3515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8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 x14ac:dyDescent="0.25">
      <c r="B1089" s="674" t="s">
        <v>1161</v>
      </c>
      <c r="C1089" s="839" t="s">
        <v>3515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8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 x14ac:dyDescent="0.25">
      <c r="B1090" s="674" t="s">
        <v>1160</v>
      </c>
      <c r="C1090" s="839" t="s">
        <v>3515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8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 x14ac:dyDescent="0.25">
      <c r="B1091" s="674" t="s">
        <v>1159</v>
      </c>
      <c r="C1091" s="839" t="s">
        <v>3515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8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 x14ac:dyDescent="0.25">
      <c r="B1092" s="675" t="s">
        <v>1172</v>
      </c>
      <c r="C1092" s="839" t="s">
        <v>3515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8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 x14ac:dyDescent="0.25">
      <c r="B1093" s="675" t="s">
        <v>1171</v>
      </c>
      <c r="C1093" s="839" t="s">
        <v>3515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8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 x14ac:dyDescent="0.25">
      <c r="B1094" s="675" t="s">
        <v>1170</v>
      </c>
      <c r="C1094" s="839" t="s">
        <v>3515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8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 x14ac:dyDescent="0.25">
      <c r="B1095" s="675" t="s">
        <v>1170</v>
      </c>
      <c r="C1095" s="839" t="s">
        <v>3515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8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 x14ac:dyDescent="0.25">
      <c r="B1096" s="675" t="s">
        <v>1169</v>
      </c>
      <c r="C1096" s="839" t="s">
        <v>3515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4" t="s">
        <v>3370</v>
      </c>
      <c r="I1096" s="1202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 x14ac:dyDescent="0.25">
      <c r="B1097" s="675" t="s">
        <v>1168</v>
      </c>
      <c r="C1097" s="839" t="s">
        <v>3515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178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 x14ac:dyDescent="0.25">
      <c r="B1098" s="675" t="s">
        <v>1168</v>
      </c>
      <c r="C1098" s="839" t="s">
        <v>3515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8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 x14ac:dyDescent="0.25">
      <c r="B1099" s="675" t="s">
        <v>1167</v>
      </c>
      <c r="C1099" s="839" t="s">
        <v>3515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8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 x14ac:dyDescent="0.25">
      <c r="B1100" s="675" t="s">
        <v>1166</v>
      </c>
      <c r="C1100" s="839" t="s">
        <v>3515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8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 x14ac:dyDescent="0.25">
      <c r="B1101" s="675" t="s">
        <v>1165</v>
      </c>
      <c r="C1101" s="839" t="s">
        <v>3515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8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 x14ac:dyDescent="0.25">
      <c r="B1102" s="675" t="s">
        <v>1164</v>
      </c>
      <c r="C1102" s="839" t="s">
        <v>3515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8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 x14ac:dyDescent="0.25">
      <c r="B1103" s="676" t="s">
        <v>1180</v>
      </c>
      <c r="C1103" s="839" t="s">
        <v>3515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4" t="s">
        <v>3370</v>
      </c>
      <c r="I1103" s="1200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 x14ac:dyDescent="0.25">
      <c r="B1104" s="676" t="s">
        <v>1179</v>
      </c>
      <c r="C1104" s="839" t="s">
        <v>3515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3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 x14ac:dyDescent="0.25">
      <c r="B1105" s="676" t="s">
        <v>1178</v>
      </c>
      <c r="C1105" s="839" t="s">
        <v>3515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00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 x14ac:dyDescent="0.25">
      <c r="B1106" s="676" t="s">
        <v>1177</v>
      </c>
      <c r="C1106" s="839" t="s">
        <v>3515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3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 x14ac:dyDescent="0.25">
      <c r="B1107" s="676" t="s">
        <v>1176</v>
      </c>
      <c r="C1107" s="839" t="s">
        <v>3515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4" t="s">
        <v>3370</v>
      </c>
      <c r="I1107" s="1200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 x14ac:dyDescent="0.25">
      <c r="B1108" s="676" t="s">
        <v>1175</v>
      </c>
      <c r="C1108" s="839" t="s">
        <v>3515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3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 x14ac:dyDescent="0.25">
      <c r="B1109" s="676" t="s">
        <v>1174</v>
      </c>
      <c r="C1109" s="839" t="s">
        <v>3515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3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 x14ac:dyDescent="0.25">
      <c r="B1110" s="676" t="s">
        <v>1173</v>
      </c>
      <c r="C1110" s="839" t="s">
        <v>3515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4" t="s">
        <v>3370</v>
      </c>
      <c r="I1110" s="1200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 x14ac:dyDescent="0.25">
      <c r="B1111" s="677" t="s">
        <v>1195</v>
      </c>
      <c r="C1111" s="839" t="s">
        <v>3515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3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 x14ac:dyDescent="0.25">
      <c r="B1112" s="677" t="s">
        <v>1194</v>
      </c>
      <c r="C1112" s="839" t="s">
        <v>3515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3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 x14ac:dyDescent="0.25">
      <c r="B1113" s="677" t="s">
        <v>1193</v>
      </c>
      <c r="C1113" s="839" t="s">
        <v>3515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3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 x14ac:dyDescent="0.25">
      <c r="B1114" s="677" t="s">
        <v>1192</v>
      </c>
      <c r="C1114" s="839" t="s">
        <v>3515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3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 x14ac:dyDescent="0.25">
      <c r="B1115" s="677" t="s">
        <v>1191</v>
      </c>
      <c r="C1115" s="839" t="s">
        <v>3515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3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 x14ac:dyDescent="0.25">
      <c r="B1116" s="677" t="s">
        <v>1190</v>
      </c>
      <c r="C1116" s="839" t="s">
        <v>3515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00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 x14ac:dyDescent="0.25">
      <c r="B1117" s="677" t="s">
        <v>1190</v>
      </c>
      <c r="C1117" s="839" t="s">
        <v>3515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3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 x14ac:dyDescent="0.25">
      <c r="B1118" s="677" t="s">
        <v>1189</v>
      </c>
      <c r="C1118" s="839" t="s">
        <v>3515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4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 x14ac:dyDescent="0.25">
      <c r="B1119" s="677" t="s">
        <v>1188</v>
      </c>
      <c r="C1119" s="839" t="s">
        <v>3515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4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 x14ac:dyDescent="0.25">
      <c r="B1120" s="677" t="s">
        <v>1188</v>
      </c>
      <c r="C1120" s="839" t="s">
        <v>3515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00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 x14ac:dyDescent="0.25">
      <c r="B1121" s="677" t="s">
        <v>1187</v>
      </c>
      <c r="C1121" s="839" t="s">
        <v>3515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4" t="s">
        <v>3370</v>
      </c>
      <c r="I1121" s="1200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 x14ac:dyDescent="0.25">
      <c r="B1122" s="677" t="s">
        <v>1186</v>
      </c>
      <c r="C1122" s="839" t="s">
        <v>3515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3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 x14ac:dyDescent="0.25">
      <c r="B1123" s="677" t="s">
        <v>1185</v>
      </c>
      <c r="C1123" s="839" t="s">
        <v>3515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4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 x14ac:dyDescent="0.25">
      <c r="B1124" s="677" t="s">
        <v>1185</v>
      </c>
      <c r="C1124" s="839" t="s">
        <v>3515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3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 x14ac:dyDescent="0.25">
      <c r="B1125" s="677" t="s">
        <v>1184</v>
      </c>
      <c r="C1125" s="839" t="s">
        <v>3515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4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 x14ac:dyDescent="0.25">
      <c r="B1126" s="677" t="s">
        <v>1183</v>
      </c>
      <c r="C1126" s="839" t="s">
        <v>3515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3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 x14ac:dyDescent="0.25">
      <c r="B1127" s="677" t="s">
        <v>1182</v>
      </c>
      <c r="C1127" s="839" t="s">
        <v>3515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4" t="s">
        <v>3370</v>
      </c>
      <c r="I1127" s="1200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 x14ac:dyDescent="0.25">
      <c r="B1128" s="677" t="s">
        <v>1181</v>
      </c>
      <c r="C1128" s="839" t="s">
        <v>3515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3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 x14ac:dyDescent="0.25">
      <c r="B1129" s="678" t="s">
        <v>1245</v>
      </c>
      <c r="C1129" s="839" t="s">
        <v>3515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3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 x14ac:dyDescent="0.25">
      <c r="B1130" s="678" t="s">
        <v>1244</v>
      </c>
      <c r="C1130" s="839" t="s">
        <v>3515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3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 x14ac:dyDescent="0.25">
      <c r="B1131" s="678" t="s">
        <v>1243</v>
      </c>
      <c r="C1131" s="839" t="s">
        <v>3515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3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 x14ac:dyDescent="0.25">
      <c r="B1132" s="678" t="s">
        <v>1242</v>
      </c>
      <c r="C1132" s="839" t="s">
        <v>3515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00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 x14ac:dyDescent="0.25">
      <c r="B1133" s="678" t="s">
        <v>1241</v>
      </c>
      <c r="C1133" s="839" t="s">
        <v>3515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3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 x14ac:dyDescent="0.25">
      <c r="B1134" s="678" t="s">
        <v>1240</v>
      </c>
      <c r="C1134" s="839" t="s">
        <v>3515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4" t="s">
        <v>3370</v>
      </c>
      <c r="I1134" s="1200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 x14ac:dyDescent="0.25">
      <c r="B1135" s="678" t="s">
        <v>1239</v>
      </c>
      <c r="C1135" s="839" t="s">
        <v>3515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3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 x14ac:dyDescent="0.25">
      <c r="B1136" s="678" t="s">
        <v>1238</v>
      </c>
      <c r="C1136" s="839" t="s">
        <v>3515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3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 x14ac:dyDescent="0.25">
      <c r="B1137" s="678" t="s">
        <v>1237</v>
      </c>
      <c r="C1137" s="839" t="s">
        <v>3515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4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 x14ac:dyDescent="0.25">
      <c r="B1138" s="678" t="s">
        <v>1236</v>
      </c>
      <c r="C1138" s="839" t="s">
        <v>3515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5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 x14ac:dyDescent="0.25">
      <c r="B1139" s="678" t="s">
        <v>1235</v>
      </c>
      <c r="C1139" s="839" t="s">
        <v>3515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5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 x14ac:dyDescent="0.25">
      <c r="B1140" s="678" t="s">
        <v>1234</v>
      </c>
      <c r="C1140" s="839" t="s">
        <v>3515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3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 x14ac:dyDescent="0.25">
      <c r="B1141" s="679" t="s">
        <v>1251</v>
      </c>
      <c r="C1141" s="839" t="s">
        <v>3515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4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 x14ac:dyDescent="0.25">
      <c r="B1142" s="679" t="s">
        <v>1251</v>
      </c>
      <c r="C1142" s="839" t="s">
        <v>3515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4" t="s">
        <v>3370</v>
      </c>
      <c r="I1142" s="1200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 x14ac:dyDescent="0.25">
      <c r="B1143" s="680" t="s">
        <v>1258</v>
      </c>
      <c r="C1143" s="839" t="s">
        <v>3515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3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 x14ac:dyDescent="0.25">
      <c r="B1144" s="680" t="s">
        <v>1257</v>
      </c>
      <c r="C1144" s="839" t="s">
        <v>3515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00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 x14ac:dyDescent="0.25">
      <c r="B1145" s="680" t="s">
        <v>1256</v>
      </c>
      <c r="C1145" s="839" t="s">
        <v>3515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4" t="s">
        <v>3370</v>
      </c>
      <c r="I1145" s="1200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 x14ac:dyDescent="0.25">
      <c r="B1146" s="680" t="s">
        <v>1255</v>
      </c>
      <c r="C1146" s="839" t="s">
        <v>3515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3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 x14ac:dyDescent="0.25">
      <c r="B1147" s="680" t="s">
        <v>1254</v>
      </c>
      <c r="C1147" s="839" t="s">
        <v>3515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3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 x14ac:dyDescent="0.25">
      <c r="B1148" s="680" t="s">
        <v>1253</v>
      </c>
      <c r="C1148" s="839" t="s">
        <v>3515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3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 x14ac:dyDescent="0.25">
      <c r="B1149" s="680" t="s">
        <v>1252</v>
      </c>
      <c r="C1149" s="839" t="s">
        <v>3515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6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 x14ac:dyDescent="0.25">
      <c r="B1150" s="681" t="s">
        <v>1310</v>
      </c>
      <c r="C1150" s="839" t="s">
        <v>3515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3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 x14ac:dyDescent="0.25">
      <c r="B1151" s="681" t="s">
        <v>1309</v>
      </c>
      <c r="C1151" s="839" t="s">
        <v>3515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3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 x14ac:dyDescent="0.25">
      <c r="B1152" s="681" t="s">
        <v>1308</v>
      </c>
      <c r="C1152" s="839" t="s">
        <v>3515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3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 x14ac:dyDescent="0.25">
      <c r="B1153" s="681" t="s">
        <v>1307</v>
      </c>
      <c r="C1153" s="839" t="s">
        <v>3515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3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 x14ac:dyDescent="0.25">
      <c r="B1154" s="681" t="s">
        <v>1306</v>
      </c>
      <c r="C1154" s="839" t="s">
        <v>3515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4" t="s">
        <v>3370</v>
      </c>
      <c r="I1154" s="1200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 x14ac:dyDescent="0.25">
      <c r="B1155" s="681" t="s">
        <v>1305</v>
      </c>
      <c r="C1155" s="839" t="s">
        <v>3515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7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 x14ac:dyDescent="0.25">
      <c r="B1156" s="681" t="s">
        <v>1304</v>
      </c>
      <c r="C1156" s="839" t="s">
        <v>3515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7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 x14ac:dyDescent="0.25">
      <c r="B1157" s="682" t="s">
        <v>1328</v>
      </c>
      <c r="C1157" s="839" t="s">
        <v>3515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8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 x14ac:dyDescent="0.25">
      <c r="B1158" s="682" t="s">
        <v>1327</v>
      </c>
      <c r="C1158" s="839" t="s">
        <v>3515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8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 x14ac:dyDescent="0.25">
      <c r="B1159" s="682" t="s">
        <v>1326</v>
      </c>
      <c r="C1159" s="839" t="s">
        <v>3515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3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 x14ac:dyDescent="0.25">
      <c r="B1160" s="682" t="s">
        <v>1325</v>
      </c>
      <c r="C1160" s="839" t="s">
        <v>3515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4" t="s">
        <v>3370</v>
      </c>
      <c r="I1160" s="1200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 x14ac:dyDescent="0.25">
      <c r="B1161" s="682" t="s">
        <v>1324</v>
      </c>
      <c r="C1161" s="839" t="s">
        <v>3515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3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 x14ac:dyDescent="0.25">
      <c r="B1162" s="682" t="s">
        <v>1323</v>
      </c>
      <c r="C1162" s="839" t="s">
        <v>3515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3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 x14ac:dyDescent="0.25">
      <c r="B1163" s="682" t="s">
        <v>1322</v>
      </c>
      <c r="C1163" s="839" t="s">
        <v>3515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3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 x14ac:dyDescent="0.25">
      <c r="B1164" s="682" t="s">
        <v>1321</v>
      </c>
      <c r="C1164" s="839" t="s">
        <v>3515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3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 x14ac:dyDescent="0.25">
      <c r="B1165" s="682" t="s">
        <v>1320</v>
      </c>
      <c r="C1165" s="839" t="s">
        <v>3515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3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 x14ac:dyDescent="0.25">
      <c r="B1166" s="682" t="s">
        <v>1319</v>
      </c>
      <c r="C1166" s="839" t="s">
        <v>3515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3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 x14ac:dyDescent="0.25">
      <c r="B1167" s="682" t="s">
        <v>1318</v>
      </c>
      <c r="C1167" s="839" t="s">
        <v>3515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3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 x14ac:dyDescent="0.25">
      <c r="B1168" s="682" t="s">
        <v>1317</v>
      </c>
      <c r="C1168" s="839" t="s">
        <v>3515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8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 x14ac:dyDescent="0.25">
      <c r="B1169" s="682" t="s">
        <v>1316</v>
      </c>
      <c r="C1169" s="839" t="s">
        <v>3515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3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 x14ac:dyDescent="0.25">
      <c r="B1170" s="682" t="s">
        <v>1315</v>
      </c>
      <c r="C1170" s="839" t="s">
        <v>3515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8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 x14ac:dyDescent="0.25">
      <c r="B1171" s="682" t="s">
        <v>1314</v>
      </c>
      <c r="C1171" s="839" t="s">
        <v>3515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8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 x14ac:dyDescent="0.25">
      <c r="B1172" s="682" t="s">
        <v>1313</v>
      </c>
      <c r="C1172" s="839" t="s">
        <v>3515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3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 x14ac:dyDescent="0.25">
      <c r="B1173" s="682" t="s">
        <v>1312</v>
      </c>
      <c r="C1173" s="839" t="s">
        <v>3515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8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 x14ac:dyDescent="0.25">
      <c r="B1174" s="683" t="s">
        <v>1337</v>
      </c>
      <c r="C1174" s="839" t="s">
        <v>3515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3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 x14ac:dyDescent="0.25">
      <c r="B1175" s="683" t="s">
        <v>1336</v>
      </c>
      <c r="C1175" s="839" t="s">
        <v>3515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3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 x14ac:dyDescent="0.25">
      <c r="B1176" s="683" t="s">
        <v>1335</v>
      </c>
      <c r="C1176" s="839" t="s">
        <v>3515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3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 x14ac:dyDescent="0.25">
      <c r="B1177" s="683" t="s">
        <v>1334</v>
      </c>
      <c r="C1177" s="839" t="s">
        <v>3515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3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 x14ac:dyDescent="0.25">
      <c r="B1178" s="683" t="s">
        <v>1333</v>
      </c>
      <c r="C1178" s="839" t="s">
        <v>3515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00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 x14ac:dyDescent="0.25">
      <c r="B1179" s="683" t="s">
        <v>1332</v>
      </c>
      <c r="C1179" s="839" t="s">
        <v>3515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4" t="s">
        <v>3370</v>
      </c>
      <c r="I1179" s="1200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 x14ac:dyDescent="0.25">
      <c r="B1180" s="683" t="s">
        <v>1331</v>
      </c>
      <c r="C1180" s="839" t="s">
        <v>3515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8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 x14ac:dyDescent="0.25">
      <c r="B1181" s="683" t="s">
        <v>1330</v>
      </c>
      <c r="C1181" s="839" t="s">
        <v>3515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3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 x14ac:dyDescent="0.25">
      <c r="B1182" s="683" t="s">
        <v>1329</v>
      </c>
      <c r="C1182" s="839" t="s">
        <v>3515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3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 x14ac:dyDescent="0.25">
      <c r="B1183" s="684" t="s">
        <v>1338</v>
      </c>
      <c r="C1183" s="839" t="s">
        <v>3515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8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 x14ac:dyDescent="0.25">
      <c r="B1184" s="685" t="s">
        <v>1346</v>
      </c>
      <c r="C1184" s="839" t="s">
        <v>3515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9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 x14ac:dyDescent="0.25">
      <c r="B1185" s="685" t="s">
        <v>1346</v>
      </c>
      <c r="C1185" s="839" t="s">
        <v>3515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9" t="s">
        <v>1347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 x14ac:dyDescent="0.25">
      <c r="B1186" s="685" t="s">
        <v>1345</v>
      </c>
      <c r="C1186" s="839" t="s">
        <v>3515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3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 x14ac:dyDescent="0.25">
      <c r="B1187" s="685" t="s">
        <v>1344</v>
      </c>
      <c r="C1187" s="839" t="s">
        <v>3515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3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 x14ac:dyDescent="0.25">
      <c r="B1188" s="685" t="s">
        <v>1343</v>
      </c>
      <c r="C1188" s="839" t="s">
        <v>3515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3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 x14ac:dyDescent="0.25">
      <c r="B1189" s="685" t="s">
        <v>1341</v>
      </c>
      <c r="C1189" s="839" t="s">
        <v>3515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09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 x14ac:dyDescent="0.25">
      <c r="B1190" s="685" t="s">
        <v>1341</v>
      </c>
      <c r="C1190" s="839" t="s">
        <v>3515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9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 x14ac:dyDescent="0.25">
      <c r="B1191" s="685" t="s">
        <v>1342</v>
      </c>
      <c r="C1191" s="839" t="s">
        <v>3515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9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 x14ac:dyDescent="0.25">
      <c r="B1192" s="685" t="s">
        <v>1341</v>
      </c>
      <c r="C1192" s="839" t="s">
        <v>3515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9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 x14ac:dyDescent="0.25">
      <c r="B1193" s="685" t="s">
        <v>1340</v>
      </c>
      <c r="C1193" s="839" t="s">
        <v>3515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9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 x14ac:dyDescent="0.25">
      <c r="B1194" s="685" t="s">
        <v>1339</v>
      </c>
      <c r="C1194" s="839" t="s">
        <v>3515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3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 x14ac:dyDescent="0.25">
      <c r="B1195" s="686" t="s">
        <v>1351</v>
      </c>
      <c r="C1195" s="839" t="s">
        <v>3515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3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 x14ac:dyDescent="0.25">
      <c r="B1196" s="686" t="s">
        <v>1354</v>
      </c>
      <c r="C1196" s="839" t="s">
        <v>3515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3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 x14ac:dyDescent="0.25">
      <c r="B1197" s="686" t="s">
        <v>1350</v>
      </c>
      <c r="C1197" s="839" t="s">
        <v>3515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3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 x14ac:dyDescent="0.25">
      <c r="B1198" s="686" t="s">
        <v>1353</v>
      </c>
      <c r="C1198" s="839" t="s">
        <v>3515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4" t="s">
        <v>3370</v>
      </c>
      <c r="I1198" s="1200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 x14ac:dyDescent="0.25">
      <c r="B1199" s="686" t="s">
        <v>1352</v>
      </c>
      <c r="C1199" s="839" t="s">
        <v>3515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10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 x14ac:dyDescent="0.25">
      <c r="B1200" s="686" t="s">
        <v>1351</v>
      </c>
      <c r="C1200" s="839" t="s">
        <v>3515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10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 x14ac:dyDescent="0.25">
      <c r="B1201" s="686" t="s">
        <v>1350</v>
      </c>
      <c r="C1201" s="839" t="s">
        <v>3515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10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 x14ac:dyDescent="0.25">
      <c r="B1202" s="686" t="s">
        <v>1349</v>
      </c>
      <c r="C1202" s="839" t="s">
        <v>3515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3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 x14ac:dyDescent="0.25">
      <c r="B1203" s="686" t="s">
        <v>1348</v>
      </c>
      <c r="C1203" s="839" t="s">
        <v>3515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3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 x14ac:dyDescent="0.25">
      <c r="B1204" s="687" t="s">
        <v>1357</v>
      </c>
      <c r="C1204" s="839" t="s">
        <v>3515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4" t="s">
        <v>3370</v>
      </c>
      <c r="I1204" s="1211" t="s">
        <v>1358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1360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 x14ac:dyDescent="0.25">
      <c r="B1205" s="687" t="s">
        <v>1356</v>
      </c>
      <c r="C1205" s="839" t="s">
        <v>3515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11" t="s">
        <v>1359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1360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 x14ac:dyDescent="0.25">
      <c r="B1206" s="687" t="s">
        <v>1355</v>
      </c>
      <c r="C1206" s="839" t="s">
        <v>3515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1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1360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 x14ac:dyDescent="0.25">
      <c r="B1207" s="688" t="s">
        <v>1378</v>
      </c>
      <c r="C1207" s="839" t="s">
        <v>3515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3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 x14ac:dyDescent="0.25">
      <c r="B1208" s="688" t="s">
        <v>1377</v>
      </c>
      <c r="C1208" s="839" t="s">
        <v>3515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9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 x14ac:dyDescent="0.25">
      <c r="B1209" s="688" t="s">
        <v>1376</v>
      </c>
      <c r="C1209" s="839" t="s">
        <v>3515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4" t="s">
        <v>3370</v>
      </c>
      <c r="I1209" s="1200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 x14ac:dyDescent="0.25">
      <c r="B1210" s="688" t="s">
        <v>1375</v>
      </c>
      <c r="C1210" s="839" t="s">
        <v>3515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3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 x14ac:dyDescent="0.25">
      <c r="B1211" s="688" t="s">
        <v>1374</v>
      </c>
      <c r="C1211" s="839" t="s">
        <v>3515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3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 x14ac:dyDescent="0.25">
      <c r="B1212" s="688" t="s">
        <v>1373</v>
      </c>
      <c r="C1212" s="839" t="s">
        <v>3515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3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 x14ac:dyDescent="0.25">
      <c r="B1213" s="688" t="s">
        <v>1372</v>
      </c>
      <c r="C1213" s="839" t="s">
        <v>3515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3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 x14ac:dyDescent="0.25">
      <c r="B1214" s="688" t="s">
        <v>1371</v>
      </c>
      <c r="C1214" s="839" t="s">
        <v>3515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3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 x14ac:dyDescent="0.25">
      <c r="B1215" s="688" t="s">
        <v>1370</v>
      </c>
      <c r="C1215" s="839" t="s">
        <v>3515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3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 x14ac:dyDescent="0.25">
      <c r="B1216" s="688" t="s">
        <v>1369</v>
      </c>
      <c r="C1216" s="839" t="s">
        <v>3515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3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 x14ac:dyDescent="0.25">
      <c r="B1217" s="688" t="s">
        <v>1368</v>
      </c>
      <c r="C1217" s="839" t="s">
        <v>3515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3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 x14ac:dyDescent="0.25">
      <c r="B1218" s="688" t="s">
        <v>1367</v>
      </c>
      <c r="C1218" s="839" t="s">
        <v>3515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3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 x14ac:dyDescent="0.25">
      <c r="B1219" s="688" t="s">
        <v>1366</v>
      </c>
      <c r="C1219" s="839" t="s">
        <v>3515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2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 x14ac:dyDescent="0.25">
      <c r="B1220" s="688" t="s">
        <v>1365</v>
      </c>
      <c r="C1220" s="839" t="s">
        <v>3515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2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 x14ac:dyDescent="0.25">
      <c r="B1221" s="688" t="s">
        <v>1364</v>
      </c>
      <c r="C1221" s="839" t="s">
        <v>3515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2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 x14ac:dyDescent="0.25">
      <c r="B1222" s="688" t="s">
        <v>1363</v>
      </c>
      <c r="C1222" s="839" t="s">
        <v>3515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3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 x14ac:dyDescent="0.25">
      <c r="B1223" s="688" t="s">
        <v>1362</v>
      </c>
      <c r="C1223" s="839" t="s">
        <v>3515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3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 x14ac:dyDescent="0.25">
      <c r="B1224" s="688" t="s">
        <v>1361</v>
      </c>
      <c r="C1224" s="839" t="s">
        <v>3515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4" t="s">
        <v>3370</v>
      </c>
      <c r="I1224" s="1200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 x14ac:dyDescent="0.25">
      <c r="B1225" s="688" t="s">
        <v>1388</v>
      </c>
      <c r="C1225" s="839" t="s">
        <v>3515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3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 x14ac:dyDescent="0.25">
      <c r="B1226" s="688" t="s">
        <v>1387</v>
      </c>
      <c r="C1226" s="839" t="s">
        <v>3515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3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 x14ac:dyDescent="0.25">
      <c r="B1227" s="688" t="s">
        <v>1386</v>
      </c>
      <c r="C1227" s="839" t="s">
        <v>3515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2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 x14ac:dyDescent="0.25">
      <c r="B1228" s="688" t="s">
        <v>1385</v>
      </c>
      <c r="C1228" s="839" t="s">
        <v>3515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12" t="s">
        <v>1359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 x14ac:dyDescent="0.25">
      <c r="B1229" s="688" t="s">
        <v>1384</v>
      </c>
      <c r="C1229" s="839" t="s">
        <v>3515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2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 x14ac:dyDescent="0.25">
      <c r="B1230" s="688" t="s">
        <v>1383</v>
      </c>
      <c r="C1230" s="839" t="s">
        <v>3515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12" t="s">
        <v>1359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1360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 x14ac:dyDescent="0.25">
      <c r="B1231" s="688" t="s">
        <v>1382</v>
      </c>
      <c r="C1231" s="839" t="s">
        <v>3515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12" t="s">
        <v>1359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1360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 x14ac:dyDescent="0.25">
      <c r="B1232" s="688" t="s">
        <v>1381</v>
      </c>
      <c r="C1232" s="839" t="s">
        <v>3515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12" t="s">
        <v>1359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1360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 x14ac:dyDescent="0.25">
      <c r="B1233" s="688" t="s">
        <v>1380</v>
      </c>
      <c r="C1233" s="839" t="s">
        <v>3515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3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 x14ac:dyDescent="0.25">
      <c r="B1234" s="688" t="s">
        <v>1379</v>
      </c>
      <c r="C1234" s="839" t="s">
        <v>3515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2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1360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 x14ac:dyDescent="0.25">
      <c r="B1235" s="688" t="s">
        <v>1379</v>
      </c>
      <c r="C1235" s="839" t="s">
        <v>3515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3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 x14ac:dyDescent="0.25">
      <c r="B1236" s="689" t="s">
        <v>1390</v>
      </c>
      <c r="C1236" s="839" t="s">
        <v>3515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3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 x14ac:dyDescent="0.25">
      <c r="B1237" s="690" t="s">
        <v>1396</v>
      </c>
      <c r="C1237" s="839" t="s">
        <v>3515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3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 x14ac:dyDescent="0.25">
      <c r="B1238" s="690" t="s">
        <v>1395</v>
      </c>
      <c r="C1238" s="839" t="s">
        <v>3515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3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 x14ac:dyDescent="0.25">
      <c r="B1239" s="690" t="s">
        <v>1394</v>
      </c>
      <c r="C1239" s="839" t="s">
        <v>3515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3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 x14ac:dyDescent="0.25">
      <c r="B1240" s="690" t="s">
        <v>1393</v>
      </c>
      <c r="C1240" s="839" t="s">
        <v>3515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3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 x14ac:dyDescent="0.25">
      <c r="B1241" s="690" t="s">
        <v>1392</v>
      </c>
      <c r="C1241" s="839" t="s">
        <v>3515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3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 x14ac:dyDescent="0.25">
      <c r="B1242" s="690" t="s">
        <v>1391</v>
      </c>
      <c r="C1242" s="839" t="s">
        <v>3515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4" t="s">
        <v>3370</v>
      </c>
      <c r="I1242" s="1200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305" t="s">
        <v>1209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 x14ac:dyDescent="0.25">
      <c r="B1243" s="691" t="s">
        <v>1402</v>
      </c>
      <c r="C1243" s="839" t="s">
        <v>3515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3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 x14ac:dyDescent="0.25">
      <c r="B1244" s="691" t="s">
        <v>1401</v>
      </c>
      <c r="C1244" s="839" t="s">
        <v>3515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2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 x14ac:dyDescent="0.25">
      <c r="B1245" s="691" t="s">
        <v>1400</v>
      </c>
      <c r="C1245" s="839" t="s">
        <v>3515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4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1360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 x14ac:dyDescent="0.25">
      <c r="B1246" s="691" t="s">
        <v>1399</v>
      </c>
      <c r="C1246" s="839" t="s">
        <v>3515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12" t="s">
        <v>1359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1360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 x14ac:dyDescent="0.25">
      <c r="B1247" s="691" t="s">
        <v>1399</v>
      </c>
      <c r="C1247" s="839" t="s">
        <v>3515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3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 x14ac:dyDescent="0.25">
      <c r="B1248" s="691" t="s">
        <v>1398</v>
      </c>
      <c r="C1248" s="839" t="s">
        <v>3515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3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 x14ac:dyDescent="0.25">
      <c r="B1249" s="691" t="s">
        <v>1397</v>
      </c>
      <c r="C1249" s="839" t="s">
        <v>3515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12" t="s">
        <v>1359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1360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 x14ac:dyDescent="0.25">
      <c r="B1250" s="692" t="s">
        <v>1405</v>
      </c>
      <c r="C1250" s="839" t="s">
        <v>3515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3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 x14ac:dyDescent="0.25">
      <c r="B1251" s="692" t="s">
        <v>1404</v>
      </c>
      <c r="C1251" s="839" t="s">
        <v>3515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3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 x14ac:dyDescent="0.25">
      <c r="B1252" s="692" t="s">
        <v>1403</v>
      </c>
      <c r="C1252" s="839" t="s">
        <v>3515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3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 x14ac:dyDescent="0.25">
      <c r="B1253" s="693" t="s">
        <v>1423</v>
      </c>
      <c r="C1253" s="839" t="s">
        <v>3515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3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 x14ac:dyDescent="0.25">
      <c r="B1254" s="693" t="s">
        <v>1422</v>
      </c>
      <c r="C1254" s="839" t="s">
        <v>3515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3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 x14ac:dyDescent="0.25">
      <c r="B1255" s="693" t="s">
        <v>1421</v>
      </c>
      <c r="C1255" s="839" t="s">
        <v>3515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3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 x14ac:dyDescent="0.25">
      <c r="B1256" s="693" t="s">
        <v>1418</v>
      </c>
      <c r="C1256" s="839" t="s">
        <v>3515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3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 x14ac:dyDescent="0.25">
      <c r="B1257" s="693" t="s">
        <v>1420</v>
      </c>
      <c r="C1257" s="839" t="s">
        <v>3515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5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 x14ac:dyDescent="0.25">
      <c r="B1258" s="693" t="s">
        <v>1419</v>
      </c>
      <c r="C1258" s="839" t="s">
        <v>3515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5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 x14ac:dyDescent="0.25">
      <c r="B1259" s="693" t="s">
        <v>1418</v>
      </c>
      <c r="C1259" s="839" t="s">
        <v>3515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5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 x14ac:dyDescent="0.25">
      <c r="B1260" s="693" t="s">
        <v>1417</v>
      </c>
      <c r="C1260" s="839" t="s">
        <v>3515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3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 x14ac:dyDescent="0.25">
      <c r="B1261" s="693" t="s">
        <v>1416</v>
      </c>
      <c r="C1261" s="839" t="s">
        <v>3515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3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 x14ac:dyDescent="0.25">
      <c r="B1262" s="693" t="s">
        <v>1415</v>
      </c>
      <c r="C1262" s="839" t="s">
        <v>3515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3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 x14ac:dyDescent="0.25">
      <c r="B1263" s="693" t="s">
        <v>1414</v>
      </c>
      <c r="C1263" s="839" t="s">
        <v>3515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3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 x14ac:dyDescent="0.25">
      <c r="B1264" s="693" t="s">
        <v>1413</v>
      </c>
      <c r="C1264" s="839" t="s">
        <v>3515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3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 x14ac:dyDescent="0.25">
      <c r="B1265" s="693" t="s">
        <v>1412</v>
      </c>
      <c r="C1265" s="839" t="s">
        <v>3515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5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 x14ac:dyDescent="0.25">
      <c r="B1266" s="693" t="s">
        <v>1411</v>
      </c>
      <c r="C1266" s="839" t="s">
        <v>3515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3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 x14ac:dyDescent="0.25">
      <c r="B1267" s="693" t="s">
        <v>1410</v>
      </c>
      <c r="C1267" s="839" t="s">
        <v>3515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3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 x14ac:dyDescent="0.25">
      <c r="B1268" s="693" t="s">
        <v>1409</v>
      </c>
      <c r="C1268" s="839" t="s">
        <v>3515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5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 x14ac:dyDescent="0.25">
      <c r="B1269" s="693" t="s">
        <v>1409</v>
      </c>
      <c r="C1269" s="839" t="s">
        <v>3515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4" t="s">
        <v>3370</v>
      </c>
      <c r="I1269" s="1215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 x14ac:dyDescent="0.25">
      <c r="B1270" s="693" t="s">
        <v>1408</v>
      </c>
      <c r="C1270" s="839" t="s">
        <v>3515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4" t="s">
        <v>3370</v>
      </c>
      <c r="I1270" s="1215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 x14ac:dyDescent="0.25">
      <c r="B1271" s="693" t="s">
        <v>1407</v>
      </c>
      <c r="C1271" s="839" t="s">
        <v>3515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5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 x14ac:dyDescent="0.25">
      <c r="B1272" s="693" t="s">
        <v>1406</v>
      </c>
      <c r="C1272" s="839" t="s">
        <v>3515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3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 x14ac:dyDescent="0.25">
      <c r="B1273" s="694" t="s">
        <v>1435</v>
      </c>
      <c r="C1273" s="839" t="s">
        <v>3515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3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 x14ac:dyDescent="0.25">
      <c r="B1274" s="694" t="s">
        <v>1436</v>
      </c>
      <c r="C1274" s="839" t="s">
        <v>3515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6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1438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 x14ac:dyDescent="0.25">
      <c r="B1275" s="694" t="s">
        <v>1435</v>
      </c>
      <c r="C1275" s="839" t="s">
        <v>3515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4" t="s">
        <v>3370</v>
      </c>
      <c r="I1275" s="1215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 x14ac:dyDescent="0.25">
      <c r="B1276" s="694" t="s">
        <v>1434</v>
      </c>
      <c r="C1276" s="839" t="s">
        <v>3515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3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 x14ac:dyDescent="0.25">
      <c r="B1277" s="694" t="s">
        <v>1433</v>
      </c>
      <c r="C1277" s="839" t="s">
        <v>3515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6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 x14ac:dyDescent="0.25">
      <c r="B1278" s="694" t="s">
        <v>1433</v>
      </c>
      <c r="C1278" s="839" t="s">
        <v>3515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4" t="s">
        <v>3370</v>
      </c>
      <c r="I1278" s="1215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 x14ac:dyDescent="0.25">
      <c r="B1279" s="694" t="s">
        <v>1432</v>
      </c>
      <c r="C1279" s="839" t="s">
        <v>3515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4" t="s">
        <v>3370</v>
      </c>
      <c r="I1279" s="1215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 x14ac:dyDescent="0.25">
      <c r="B1280" s="694" t="s">
        <v>1431</v>
      </c>
      <c r="C1280" s="839" t="s">
        <v>3515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3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 x14ac:dyDescent="0.25">
      <c r="B1281" s="694" t="s">
        <v>1430</v>
      </c>
      <c r="C1281" s="839" t="s">
        <v>3515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6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1438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 x14ac:dyDescent="0.25">
      <c r="B1282" s="694" t="s">
        <v>1429</v>
      </c>
      <c r="C1282" s="839" t="s">
        <v>3515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4" t="s">
        <v>3370</v>
      </c>
      <c r="I1282" s="1215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 x14ac:dyDescent="0.25">
      <c r="B1283" s="694" t="s">
        <v>1428</v>
      </c>
      <c r="C1283" s="839" t="s">
        <v>3515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6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 x14ac:dyDescent="0.25">
      <c r="B1284" s="694" t="s">
        <v>1427</v>
      </c>
      <c r="C1284" s="839" t="s">
        <v>3515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6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1439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 x14ac:dyDescent="0.25">
      <c r="B1285" s="694" t="s">
        <v>1426</v>
      </c>
      <c r="C1285" s="839" t="s">
        <v>3515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16" t="s">
        <v>1359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 x14ac:dyDescent="0.25">
      <c r="B1286" s="694" t="s">
        <v>1425</v>
      </c>
      <c r="C1286" s="839" t="s">
        <v>3515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3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 x14ac:dyDescent="0.25">
      <c r="B1287" s="694" t="s">
        <v>1424</v>
      </c>
      <c r="C1287" s="839" t="s">
        <v>3515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6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1360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 x14ac:dyDescent="0.25">
      <c r="B1288" s="695" t="s">
        <v>1444</v>
      </c>
      <c r="C1288" s="839" t="s">
        <v>3515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6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 x14ac:dyDescent="0.25">
      <c r="B1289" s="695" t="s">
        <v>1443</v>
      </c>
      <c r="C1289" s="839" t="s">
        <v>3515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3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 x14ac:dyDescent="0.25">
      <c r="B1290" s="695" t="s">
        <v>1442</v>
      </c>
      <c r="C1290" s="839" t="s">
        <v>3515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3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 x14ac:dyDescent="0.25">
      <c r="B1291" s="695" t="s">
        <v>1441</v>
      </c>
      <c r="C1291" s="839" t="s">
        <v>3515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16" t="s">
        <v>1359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1360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 x14ac:dyDescent="0.25">
      <c r="B1292" s="695" t="s">
        <v>1440</v>
      </c>
      <c r="C1292" s="839" t="s">
        <v>3515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16" t="s">
        <v>1359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1360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 x14ac:dyDescent="0.25">
      <c r="B1293" s="695" t="s">
        <v>1440</v>
      </c>
      <c r="C1293" s="839" t="s">
        <v>3515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3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 x14ac:dyDescent="0.25">
      <c r="B1294" s="696" t="s">
        <v>1475</v>
      </c>
      <c r="C1294" s="839" t="s">
        <v>3515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3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 x14ac:dyDescent="0.25">
      <c r="B1295" s="696" t="s">
        <v>1474</v>
      </c>
      <c r="C1295" s="839" t="s">
        <v>3515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3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 x14ac:dyDescent="0.25">
      <c r="B1296" s="696" t="s">
        <v>1473</v>
      </c>
      <c r="C1296" s="839" t="s">
        <v>3515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7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1360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 x14ac:dyDescent="0.25">
      <c r="B1297" s="696" t="s">
        <v>1472</v>
      </c>
      <c r="C1297" s="839" t="s">
        <v>3515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5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1360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 x14ac:dyDescent="0.25">
      <c r="B1298" s="696" t="s">
        <v>1471</v>
      </c>
      <c r="C1298" s="839" t="s">
        <v>3515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3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 x14ac:dyDescent="0.25">
      <c r="B1299" s="696" t="s">
        <v>1470</v>
      </c>
      <c r="C1299" s="839" t="s">
        <v>3515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3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 x14ac:dyDescent="0.25">
      <c r="B1300" s="696" t="s">
        <v>1469</v>
      </c>
      <c r="C1300" s="839" t="s">
        <v>3515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7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 x14ac:dyDescent="0.25">
      <c r="B1301" s="696" t="s">
        <v>1468</v>
      </c>
      <c r="C1301" s="839" t="s">
        <v>3515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4" t="s">
        <v>3370</v>
      </c>
      <c r="I1301" s="1215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77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 x14ac:dyDescent="0.25">
      <c r="B1302" s="696" t="s">
        <v>1467</v>
      </c>
      <c r="C1302" s="839" t="s">
        <v>3515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3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 x14ac:dyDescent="0.25">
      <c r="B1303" s="696" t="s">
        <v>1466</v>
      </c>
      <c r="C1303" s="839" t="s">
        <v>3515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3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 x14ac:dyDescent="0.25">
      <c r="B1304" s="696" t="s">
        <v>1465</v>
      </c>
      <c r="C1304" s="839" t="s">
        <v>3515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3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 x14ac:dyDescent="0.25">
      <c r="B1305" s="696" t="s">
        <v>1464</v>
      </c>
      <c r="C1305" s="839" t="s">
        <v>3515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3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 x14ac:dyDescent="0.25">
      <c r="B1306" s="696" t="s">
        <v>1463</v>
      </c>
      <c r="C1306" s="839" t="s">
        <v>3515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3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 x14ac:dyDescent="0.25">
      <c r="B1307" s="696" t="s">
        <v>1462</v>
      </c>
      <c r="C1307" s="839" t="s">
        <v>3515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7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 x14ac:dyDescent="0.25">
      <c r="B1308" s="696" t="s">
        <v>1461</v>
      </c>
      <c r="C1308" s="839" t="s">
        <v>3515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7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 x14ac:dyDescent="0.25">
      <c r="B1309" s="696" t="s">
        <v>1460</v>
      </c>
      <c r="C1309" s="839" t="s">
        <v>3515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3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 x14ac:dyDescent="0.25">
      <c r="B1310" s="696" t="s">
        <v>1459</v>
      </c>
      <c r="C1310" s="839" t="s">
        <v>3515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7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 x14ac:dyDescent="0.25">
      <c r="B1311" s="696" t="s">
        <v>1458</v>
      </c>
      <c r="C1311" s="839" t="s">
        <v>3515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3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 x14ac:dyDescent="0.25">
      <c r="B1312" s="696" t="s">
        <v>1457</v>
      </c>
      <c r="C1312" s="839" t="s">
        <v>3515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7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 x14ac:dyDescent="0.25">
      <c r="B1313" s="696" t="s">
        <v>1456</v>
      </c>
      <c r="C1313" s="839" t="s">
        <v>3515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3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 x14ac:dyDescent="0.25">
      <c r="B1314" s="696" t="s">
        <v>1455</v>
      </c>
      <c r="C1314" s="839" t="s">
        <v>3515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3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 x14ac:dyDescent="0.25">
      <c r="B1315" s="696" t="s">
        <v>1454</v>
      </c>
      <c r="C1315" s="839" t="s">
        <v>3515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3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 x14ac:dyDescent="0.25">
      <c r="B1316" s="696" t="s">
        <v>1453</v>
      </c>
      <c r="C1316" s="839" t="s">
        <v>3515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3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 x14ac:dyDescent="0.25">
      <c r="B1317" s="696" t="s">
        <v>1452</v>
      </c>
      <c r="C1317" s="839" t="s">
        <v>3515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3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 x14ac:dyDescent="0.25">
      <c r="B1318" s="696" t="s">
        <v>1451</v>
      </c>
      <c r="C1318" s="839" t="s">
        <v>3515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3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 x14ac:dyDescent="0.25">
      <c r="B1319" s="696" t="s">
        <v>1450</v>
      </c>
      <c r="C1319" s="839" t="s">
        <v>3515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3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 x14ac:dyDescent="0.25">
      <c r="B1320" s="696" t="s">
        <v>1449</v>
      </c>
      <c r="C1320" s="839" t="s">
        <v>3515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3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 x14ac:dyDescent="0.25">
      <c r="B1321" s="696" t="s">
        <v>1448</v>
      </c>
      <c r="C1321" s="839" t="s">
        <v>3515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3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 x14ac:dyDescent="0.25">
      <c r="B1322" s="696" t="s">
        <v>1447</v>
      </c>
      <c r="C1322" s="839" t="s">
        <v>3515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3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 x14ac:dyDescent="0.25">
      <c r="B1323" s="696" t="s">
        <v>1446</v>
      </c>
      <c r="C1323" s="839" t="s">
        <v>3515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4" t="s">
        <v>3370</v>
      </c>
      <c r="I1323" s="1215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1360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 x14ac:dyDescent="0.25">
      <c r="B1324" s="696" t="s">
        <v>1445</v>
      </c>
      <c r="C1324" s="839" t="s">
        <v>3515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5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1360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 x14ac:dyDescent="0.25">
      <c r="B1325" s="697" t="s">
        <v>1483</v>
      </c>
      <c r="C1325" s="839" t="s">
        <v>3515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8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 x14ac:dyDescent="0.25">
      <c r="B1326" s="697" t="s">
        <v>1482</v>
      </c>
      <c r="C1326" s="839" t="s">
        <v>3515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8" t="s">
        <v>1484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 x14ac:dyDescent="0.25">
      <c r="B1327" s="697" t="s">
        <v>1481</v>
      </c>
      <c r="C1327" s="839" t="s">
        <v>3515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4" t="s">
        <v>3370</v>
      </c>
      <c r="I1327" s="1215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 x14ac:dyDescent="0.25">
      <c r="B1328" s="697" t="s">
        <v>1480</v>
      </c>
      <c r="C1328" s="839" t="s">
        <v>3515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8" t="s">
        <v>1484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 x14ac:dyDescent="0.25">
      <c r="B1329" s="697" t="s">
        <v>1479</v>
      </c>
      <c r="C1329" s="839" t="s">
        <v>3515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3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 x14ac:dyDescent="0.25">
      <c r="B1330" s="697" t="s">
        <v>1478</v>
      </c>
      <c r="C1330" s="839" t="s">
        <v>3515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3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 x14ac:dyDescent="0.25">
      <c r="B1331" s="697" t="s">
        <v>1477</v>
      </c>
      <c r="C1331" s="839" t="s">
        <v>3515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8" t="s">
        <v>1484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 x14ac:dyDescent="0.25">
      <c r="B1332" s="698" t="s">
        <v>1496</v>
      </c>
      <c r="C1332" s="839" t="s">
        <v>3515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3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 x14ac:dyDescent="0.25">
      <c r="B1333" s="698" t="s">
        <v>1495</v>
      </c>
      <c r="C1333" s="839" t="s">
        <v>3515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3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 x14ac:dyDescent="0.25">
      <c r="B1334" s="698" t="s">
        <v>1494</v>
      </c>
      <c r="C1334" s="839" t="s">
        <v>3515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4" t="s">
        <v>3370</v>
      </c>
      <c r="I1334" s="1215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1497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 x14ac:dyDescent="0.25">
      <c r="B1335" s="698" t="s">
        <v>1493</v>
      </c>
      <c r="C1335" s="839" t="s">
        <v>3515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9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 x14ac:dyDescent="0.25">
      <c r="B1336" s="698" t="s">
        <v>1492</v>
      </c>
      <c r="C1336" s="839" t="s">
        <v>3515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9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 x14ac:dyDescent="0.25">
      <c r="B1337" s="698" t="s">
        <v>1491</v>
      </c>
      <c r="C1337" s="839" t="s">
        <v>3515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3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 x14ac:dyDescent="0.25">
      <c r="B1338" s="698" t="s">
        <v>1490</v>
      </c>
      <c r="C1338" s="839" t="s">
        <v>3515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3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 x14ac:dyDescent="0.25">
      <c r="B1339" s="698" t="s">
        <v>1489</v>
      </c>
      <c r="C1339" s="839" t="s">
        <v>3515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3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 x14ac:dyDescent="0.25">
      <c r="B1340" s="698" t="s">
        <v>1488</v>
      </c>
      <c r="C1340" s="839" t="s">
        <v>3515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3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 x14ac:dyDescent="0.25">
      <c r="B1341" s="698" t="s">
        <v>1487</v>
      </c>
      <c r="C1341" s="839" t="s">
        <v>3515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4" t="s">
        <v>3370</v>
      </c>
      <c r="I1341" s="1215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 x14ac:dyDescent="0.25">
      <c r="B1342" s="698" t="s">
        <v>1486</v>
      </c>
      <c r="C1342" s="839" t="s">
        <v>3515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19" t="s">
        <v>1359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 x14ac:dyDescent="0.25">
      <c r="B1343" s="698" t="s">
        <v>1485</v>
      </c>
      <c r="C1343" s="839" t="s">
        <v>3515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9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 x14ac:dyDescent="0.25">
      <c r="B1344" s="699" t="s">
        <v>1498</v>
      </c>
      <c r="C1344" s="839" t="s">
        <v>3515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9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1499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 x14ac:dyDescent="0.25">
      <c r="B1345" s="700" t="s">
        <v>1507</v>
      </c>
      <c r="C1345" s="839" t="s">
        <v>3515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3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 x14ac:dyDescent="0.25">
      <c r="B1346" s="700" t="s">
        <v>1506</v>
      </c>
      <c r="C1346" s="839" t="s">
        <v>3515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3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 x14ac:dyDescent="0.25">
      <c r="B1347" s="700" t="s">
        <v>1506</v>
      </c>
      <c r="C1347" s="839" t="s">
        <v>3515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20" t="s">
        <v>1508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 x14ac:dyDescent="0.25">
      <c r="B1348" s="700" t="s">
        <v>1505</v>
      </c>
      <c r="C1348" s="839" t="s">
        <v>3515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9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 x14ac:dyDescent="0.25">
      <c r="B1349" s="700" t="s">
        <v>1504</v>
      </c>
      <c r="C1349" s="839" t="s">
        <v>3515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3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 x14ac:dyDescent="0.25">
      <c r="B1350" s="700" t="s">
        <v>1504</v>
      </c>
      <c r="C1350" s="839" t="s">
        <v>3515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20" t="s">
        <v>1508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 x14ac:dyDescent="0.25">
      <c r="B1351" s="700" t="s">
        <v>1503</v>
      </c>
      <c r="C1351" s="839" t="s">
        <v>3515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20" t="s">
        <v>1508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 x14ac:dyDescent="0.25">
      <c r="B1352" s="700" t="s">
        <v>1503</v>
      </c>
      <c r="C1352" s="839" t="s">
        <v>3515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3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 x14ac:dyDescent="0.25">
      <c r="B1353" s="700" t="s">
        <v>1502</v>
      </c>
      <c r="C1353" s="839" t="s">
        <v>3515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20" t="s">
        <v>1484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 x14ac:dyDescent="0.25">
      <c r="B1354" s="700" t="s">
        <v>1501</v>
      </c>
      <c r="C1354" s="839" t="s">
        <v>3515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4" t="s">
        <v>3370</v>
      </c>
      <c r="I1354" s="1215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 x14ac:dyDescent="0.25">
      <c r="B1355" s="700" t="s">
        <v>1500</v>
      </c>
      <c r="C1355" s="839" t="s">
        <v>3515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4" t="s">
        <v>3370</v>
      </c>
      <c r="I1355" s="1215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 x14ac:dyDescent="0.25">
      <c r="B1356" s="701" t="s">
        <v>1523</v>
      </c>
      <c r="C1356" s="839" t="s">
        <v>3515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3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 x14ac:dyDescent="0.25">
      <c r="B1357" s="701" t="s">
        <v>1522</v>
      </c>
      <c r="C1357" s="839" t="s">
        <v>3515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3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 x14ac:dyDescent="0.25">
      <c r="B1358" s="701" t="s">
        <v>1521</v>
      </c>
      <c r="C1358" s="839" t="s">
        <v>3515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3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 x14ac:dyDescent="0.25">
      <c r="B1359" s="701" t="s">
        <v>1520</v>
      </c>
      <c r="C1359" s="839" t="s">
        <v>3515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1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 x14ac:dyDescent="0.25">
      <c r="B1360" s="701" t="s">
        <v>1519</v>
      </c>
      <c r="C1360" s="839" t="s">
        <v>3515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1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 x14ac:dyDescent="0.25">
      <c r="B1361" s="701" t="s">
        <v>1518</v>
      </c>
      <c r="C1361" s="839" t="s">
        <v>3515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3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 x14ac:dyDescent="0.25">
      <c r="B1362" s="701" t="s">
        <v>1517</v>
      </c>
      <c r="C1362" s="839" t="s">
        <v>3515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4" t="s">
        <v>3370</v>
      </c>
      <c r="I1362" s="1215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 x14ac:dyDescent="0.25">
      <c r="B1363" s="701" t="s">
        <v>1516</v>
      </c>
      <c r="C1363" s="839" t="s">
        <v>3515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3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 x14ac:dyDescent="0.25">
      <c r="B1364" s="701" t="s">
        <v>1515</v>
      </c>
      <c r="C1364" s="839" t="s">
        <v>3515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3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 x14ac:dyDescent="0.25">
      <c r="B1365" s="701" t="s">
        <v>1514</v>
      </c>
      <c r="C1365" s="839" t="s">
        <v>3515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4" t="s">
        <v>3370</v>
      </c>
      <c r="I1365" s="1215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 x14ac:dyDescent="0.25">
      <c r="B1366" s="701" t="s">
        <v>1513</v>
      </c>
      <c r="C1366" s="839" t="s">
        <v>3515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3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 x14ac:dyDescent="0.25">
      <c r="B1367" s="701" t="s">
        <v>1512</v>
      </c>
      <c r="C1367" s="839" t="s">
        <v>3515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1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 x14ac:dyDescent="0.25">
      <c r="B1368" s="701" t="s">
        <v>1511</v>
      </c>
      <c r="C1368" s="839" t="s">
        <v>3515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3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 x14ac:dyDescent="0.25">
      <c r="B1369" s="701" t="s">
        <v>1510</v>
      </c>
      <c r="C1369" s="839" t="s">
        <v>3515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1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 x14ac:dyDescent="0.25">
      <c r="B1370" s="701" t="s">
        <v>1509</v>
      </c>
      <c r="C1370" s="839" t="s">
        <v>3515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3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 x14ac:dyDescent="0.25">
      <c r="B1371" s="702" t="s">
        <v>1534</v>
      </c>
      <c r="C1371" s="839" t="s">
        <v>3515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3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 x14ac:dyDescent="0.25">
      <c r="B1372" s="702" t="s">
        <v>1533</v>
      </c>
      <c r="C1372" s="839" t="s">
        <v>3515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3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 x14ac:dyDescent="0.25">
      <c r="B1373" s="702" t="s">
        <v>1532</v>
      </c>
      <c r="C1373" s="839" t="s">
        <v>3515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3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 x14ac:dyDescent="0.25">
      <c r="B1374" s="702" t="s">
        <v>1531</v>
      </c>
      <c r="C1374" s="839" t="s">
        <v>3515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2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 x14ac:dyDescent="0.25">
      <c r="B1375" s="702" t="s">
        <v>1530</v>
      </c>
      <c r="C1375" s="839" t="s">
        <v>3515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4" t="s">
        <v>3370</v>
      </c>
      <c r="I1375" s="1215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1360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 x14ac:dyDescent="0.25">
      <c r="B1376" s="702" t="s">
        <v>1529</v>
      </c>
      <c r="C1376" s="839" t="s">
        <v>3515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3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 x14ac:dyDescent="0.25">
      <c r="B1377" s="702" t="s">
        <v>1528</v>
      </c>
      <c r="C1377" s="839" t="s">
        <v>3515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4" t="s">
        <v>3370</v>
      </c>
      <c r="I1377" s="1215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 x14ac:dyDescent="0.25">
      <c r="B1378" s="702" t="s">
        <v>1527</v>
      </c>
      <c r="C1378" s="839" t="s">
        <v>3515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3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 x14ac:dyDescent="0.25">
      <c r="B1379" s="702" t="s">
        <v>1526</v>
      </c>
      <c r="C1379" s="839" t="s">
        <v>3515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4" t="s">
        <v>3370</v>
      </c>
      <c r="I1379" s="1215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 x14ac:dyDescent="0.25">
      <c r="B1380" s="702" t="s">
        <v>1525</v>
      </c>
      <c r="C1380" s="839" t="s">
        <v>3515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4" t="s">
        <v>3370</v>
      </c>
      <c r="I1380" s="1215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 x14ac:dyDescent="0.25">
      <c r="B1381" s="702" t="s">
        <v>1524</v>
      </c>
      <c r="C1381" s="839" t="s">
        <v>3515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5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 x14ac:dyDescent="0.25">
      <c r="B1382" s="703" t="s">
        <v>1539</v>
      </c>
      <c r="C1382" s="839" t="s">
        <v>3515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3" t="s">
        <v>1508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 x14ac:dyDescent="0.25">
      <c r="B1383" s="703" t="s">
        <v>1538</v>
      </c>
      <c r="C1383" s="839" t="s">
        <v>3515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23" t="s">
        <v>1359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 x14ac:dyDescent="0.25">
      <c r="B1384" s="703" t="s">
        <v>1537</v>
      </c>
      <c r="C1384" s="839" t="s">
        <v>3515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1540</v>
      </c>
      <c r="I1384" s="1223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 x14ac:dyDescent="0.25">
      <c r="B1385" s="704" t="s">
        <v>1542</v>
      </c>
      <c r="C1385" s="839" t="s">
        <v>3515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4" t="s">
        <v>3370</v>
      </c>
      <c r="I1385" s="1215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 x14ac:dyDescent="0.25">
      <c r="B1386" s="704" t="s">
        <v>1541</v>
      </c>
      <c r="C1386" s="839" t="s">
        <v>3515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1543</v>
      </c>
      <c r="I1386" s="1224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 x14ac:dyDescent="0.25">
      <c r="B1387" s="705" t="s">
        <v>1560</v>
      </c>
      <c r="C1387" s="839" t="s">
        <v>3515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1543</v>
      </c>
      <c r="I1387" s="1225" t="s">
        <v>1556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 x14ac:dyDescent="0.25">
      <c r="B1388" s="705" t="s">
        <v>1559</v>
      </c>
      <c r="C1388" s="839" t="s">
        <v>3515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1543</v>
      </c>
      <c r="I1388" s="1224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 x14ac:dyDescent="0.25">
      <c r="B1389" s="705" t="s">
        <v>1558</v>
      </c>
      <c r="C1389" s="839" t="s">
        <v>3515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1543</v>
      </c>
      <c r="I1389" s="1225" t="s">
        <v>1556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 x14ac:dyDescent="0.25">
      <c r="B1390" s="705" t="s">
        <v>1555</v>
      </c>
      <c r="C1390" s="839" t="s">
        <v>3515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1543</v>
      </c>
      <c r="I1390" s="1225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 x14ac:dyDescent="0.25">
      <c r="B1391" s="705" t="s">
        <v>1554</v>
      </c>
      <c r="C1391" s="839" t="s">
        <v>3515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5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 x14ac:dyDescent="0.25">
      <c r="B1392" s="705" t="s">
        <v>1553</v>
      </c>
      <c r="C1392" s="839" t="s">
        <v>3515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4" t="s">
        <v>3370</v>
      </c>
      <c r="I1392" s="1215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 x14ac:dyDescent="0.25">
      <c r="B1393" s="705" t="s">
        <v>1552</v>
      </c>
      <c r="C1393" s="839" t="s">
        <v>3515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1543</v>
      </c>
      <c r="I1393" s="1224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 x14ac:dyDescent="0.25">
      <c r="B1394" s="705" t="s">
        <v>1551</v>
      </c>
      <c r="C1394" s="839" t="s">
        <v>3515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5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 x14ac:dyDescent="0.25">
      <c r="B1395" s="705" t="s">
        <v>1550</v>
      </c>
      <c r="C1395" s="839" t="s">
        <v>3515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5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 x14ac:dyDescent="0.25">
      <c r="B1396" s="705" t="s">
        <v>1549</v>
      </c>
      <c r="C1396" s="839" t="s">
        <v>3515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1540</v>
      </c>
      <c r="I1396" s="1225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 x14ac:dyDescent="0.25">
      <c r="B1397" s="705" t="s">
        <v>1549</v>
      </c>
      <c r="C1397" s="839" t="s">
        <v>3515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4" t="s">
        <v>3370</v>
      </c>
      <c r="I1397" s="1215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 x14ac:dyDescent="0.25">
      <c r="B1398" s="705" t="s">
        <v>1548</v>
      </c>
      <c r="C1398" s="839" t="s">
        <v>3515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1543</v>
      </c>
      <c r="I1398" s="1224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 x14ac:dyDescent="0.25">
      <c r="B1399" s="705" t="s">
        <v>1547</v>
      </c>
      <c r="C1399" s="839" t="s">
        <v>3515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1543</v>
      </c>
      <c r="I1399" s="1225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 x14ac:dyDescent="0.25">
      <c r="B1400" s="705" t="s">
        <v>1546</v>
      </c>
      <c r="C1400" s="839" t="s">
        <v>3515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1543</v>
      </c>
      <c r="I1400" s="1225" t="s">
        <v>1556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 x14ac:dyDescent="0.25">
      <c r="B1401" s="705" t="s">
        <v>1545</v>
      </c>
      <c r="C1401" s="839" t="s">
        <v>3515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1543</v>
      </c>
      <c r="I1401" s="1225" t="s">
        <v>1556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 x14ac:dyDescent="0.25">
      <c r="B1402" s="705" t="s">
        <v>1544</v>
      </c>
      <c r="C1402" s="839" t="s">
        <v>3515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1543</v>
      </c>
      <c r="I1402" s="1225" t="s">
        <v>1556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 x14ac:dyDescent="0.25">
      <c r="B1403" s="706" t="s">
        <v>1576</v>
      </c>
      <c r="C1403" s="839" t="s">
        <v>3515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1543</v>
      </c>
      <c r="I1403" s="1225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 x14ac:dyDescent="0.25">
      <c r="B1404" s="706" t="s">
        <v>1575</v>
      </c>
      <c r="C1404" s="839" t="s">
        <v>3515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1543</v>
      </c>
      <c r="I1404" s="1225" t="s">
        <v>1556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 x14ac:dyDescent="0.25">
      <c r="B1405" s="706" t="s">
        <v>1574</v>
      </c>
      <c r="C1405" s="839" t="s">
        <v>3515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1543</v>
      </c>
      <c r="I1405" s="1225" t="s">
        <v>1556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 x14ac:dyDescent="0.25">
      <c r="B1406" s="706" t="s">
        <v>1573</v>
      </c>
      <c r="C1406" s="839" t="s">
        <v>3515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1543</v>
      </c>
      <c r="I1406" s="1225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 x14ac:dyDescent="0.25">
      <c r="B1407" s="706" t="s">
        <v>1572</v>
      </c>
      <c r="C1407" s="839" t="s">
        <v>3515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1543</v>
      </c>
      <c r="I1407" s="1225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 x14ac:dyDescent="0.25">
      <c r="B1408" s="706" t="s">
        <v>1571</v>
      </c>
      <c r="C1408" s="839" t="s">
        <v>3515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4" t="s">
        <v>3370</v>
      </c>
      <c r="I1408" s="1226" t="s">
        <v>1577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1360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 x14ac:dyDescent="0.25">
      <c r="B1409" s="706" t="s">
        <v>1570</v>
      </c>
      <c r="C1409" s="839" t="s">
        <v>3515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1543</v>
      </c>
      <c r="I1409" s="1225" t="s">
        <v>1556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 x14ac:dyDescent="0.25">
      <c r="B1410" s="706" t="s">
        <v>1569</v>
      </c>
      <c r="C1410" s="839" t="s">
        <v>3515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1540</v>
      </c>
      <c r="I1410" s="1226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 x14ac:dyDescent="0.25">
      <c r="B1411" s="706" t="s">
        <v>1569</v>
      </c>
      <c r="C1411" s="839" t="s">
        <v>3515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5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 x14ac:dyDescent="0.25">
      <c r="B1412" s="706" t="s">
        <v>1568</v>
      </c>
      <c r="C1412" s="839" t="s">
        <v>3515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6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 x14ac:dyDescent="0.25">
      <c r="B1413" s="706" t="s">
        <v>1567</v>
      </c>
      <c r="C1413" s="839" t="s">
        <v>3515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1540</v>
      </c>
      <c r="I1413" s="1226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 x14ac:dyDescent="0.25">
      <c r="B1414" s="706" t="s">
        <v>1566</v>
      </c>
      <c r="C1414" s="839" t="s">
        <v>3515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6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 x14ac:dyDescent="0.25">
      <c r="B1415" s="706" t="s">
        <v>1565</v>
      </c>
      <c r="C1415" s="839" t="s">
        <v>3515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5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1360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 x14ac:dyDescent="0.25">
      <c r="B1416" s="706" t="s">
        <v>1564</v>
      </c>
      <c r="C1416" s="839" t="s">
        <v>3515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1543</v>
      </c>
      <c r="I1416" s="1225" t="s">
        <v>1556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 x14ac:dyDescent="0.25">
      <c r="B1417" s="706" t="s">
        <v>1563</v>
      </c>
      <c r="C1417" s="839" t="s">
        <v>3515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5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1360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 x14ac:dyDescent="0.25">
      <c r="B1418" s="706" t="s">
        <v>1562</v>
      </c>
      <c r="C1418" s="839" t="s">
        <v>3515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1543</v>
      </c>
      <c r="I1418" s="1225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 x14ac:dyDescent="0.25">
      <c r="B1419" s="707" t="s">
        <v>1585</v>
      </c>
      <c r="C1419" s="839" t="s">
        <v>3515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1543</v>
      </c>
      <c r="I1419" s="1225" t="s">
        <v>1556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 x14ac:dyDescent="0.25">
      <c r="B1420" s="707" t="s">
        <v>1584</v>
      </c>
      <c r="C1420" s="839" t="s">
        <v>3515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1543</v>
      </c>
      <c r="I1420" s="1225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 x14ac:dyDescent="0.25">
      <c r="B1421" s="707" t="s">
        <v>1583</v>
      </c>
      <c r="C1421" s="839" t="s">
        <v>3515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27" t="s">
        <v>1644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 x14ac:dyDescent="0.25">
      <c r="B1422" s="707" t="s">
        <v>1582</v>
      </c>
      <c r="C1422" s="839" t="s">
        <v>3515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27" t="s">
        <v>1644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 x14ac:dyDescent="0.25">
      <c r="B1423" s="707" t="s">
        <v>1581</v>
      </c>
      <c r="C1423" s="839" t="s">
        <v>3515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27" t="s">
        <v>1644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 x14ac:dyDescent="0.25">
      <c r="B1424" s="707" t="s">
        <v>1580</v>
      </c>
      <c r="C1424" s="839" t="s">
        <v>3515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1543</v>
      </c>
      <c r="I1424" s="1224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 x14ac:dyDescent="0.25">
      <c r="B1425" s="707" t="s">
        <v>1579</v>
      </c>
      <c r="C1425" s="839" t="s">
        <v>3515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27" t="s">
        <v>1644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1586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 x14ac:dyDescent="0.25">
      <c r="B1426" s="707" t="s">
        <v>1578</v>
      </c>
      <c r="C1426" s="839" t="s">
        <v>3515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4" t="s">
        <v>3370</v>
      </c>
      <c r="I1426" s="1215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1586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 x14ac:dyDescent="0.25">
      <c r="B1427" s="708" t="s">
        <v>1594</v>
      </c>
      <c r="C1427" s="839" t="s">
        <v>3515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27" t="s">
        <v>1644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1596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 x14ac:dyDescent="0.25">
      <c r="B1428" s="708" t="s">
        <v>1593</v>
      </c>
      <c r="C1428" s="839" t="s">
        <v>3515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1543</v>
      </c>
      <c r="I1428" s="1225" t="s">
        <v>1556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 x14ac:dyDescent="0.25">
      <c r="B1429" s="708" t="s">
        <v>1592</v>
      </c>
      <c r="C1429" s="839" t="s">
        <v>3515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1543</v>
      </c>
      <c r="I1429" s="1225" t="s">
        <v>1556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 x14ac:dyDescent="0.25">
      <c r="B1430" s="708" t="s">
        <v>1591</v>
      </c>
      <c r="C1430" s="839" t="s">
        <v>3515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27" t="s">
        <v>1644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1597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 x14ac:dyDescent="0.25">
      <c r="B1431" s="708" t="s">
        <v>1590</v>
      </c>
      <c r="C1431" s="839" t="s">
        <v>3515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27" t="s">
        <v>1644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1597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 x14ac:dyDescent="0.25">
      <c r="B1432" s="708" t="s">
        <v>1589</v>
      </c>
      <c r="C1432" s="839" t="s">
        <v>3515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27" t="s">
        <v>1644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 x14ac:dyDescent="0.25">
      <c r="B1433" s="708" t="s">
        <v>1588</v>
      </c>
      <c r="C1433" s="839" t="s">
        <v>3515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1543</v>
      </c>
      <c r="I1433" s="1225" t="s">
        <v>1556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 x14ac:dyDescent="0.25">
      <c r="B1434" s="708" t="s">
        <v>1587</v>
      </c>
      <c r="C1434" s="839" t="s">
        <v>3515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4" t="s">
        <v>3370</v>
      </c>
      <c r="I1434" s="1215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 x14ac:dyDescent="0.25">
      <c r="B1435" s="708" t="s">
        <v>1587</v>
      </c>
      <c r="C1435" s="839" t="s">
        <v>3515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1540</v>
      </c>
      <c r="I1435" s="1228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 x14ac:dyDescent="0.25">
      <c r="B1436" s="709" t="s">
        <v>1595</v>
      </c>
      <c r="C1436" s="839" t="s">
        <v>3515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27" t="s">
        <v>1644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1598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 x14ac:dyDescent="0.25">
      <c r="B1437" s="710" t="s">
        <v>1643</v>
      </c>
      <c r="C1437" s="839" t="s">
        <v>3515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27" t="s">
        <v>1644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 x14ac:dyDescent="0.25">
      <c r="B1438" s="710" t="s">
        <v>1642</v>
      </c>
      <c r="C1438" s="839" t="s">
        <v>3515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1543</v>
      </c>
      <c r="I1438" s="1225" t="s">
        <v>1556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 x14ac:dyDescent="0.25">
      <c r="B1439" s="710" t="s">
        <v>1641</v>
      </c>
      <c r="C1439" s="839" t="s">
        <v>3515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1543</v>
      </c>
      <c r="I1439" s="1225" t="s">
        <v>1556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 x14ac:dyDescent="0.25">
      <c r="B1440" s="710" t="s">
        <v>1640</v>
      </c>
      <c r="C1440" s="839" t="s">
        <v>3515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1543</v>
      </c>
      <c r="I1440" s="1225" t="s">
        <v>1556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 x14ac:dyDescent="0.25">
      <c r="B1441" s="710" t="s">
        <v>1639</v>
      </c>
      <c r="C1441" s="839" t="s">
        <v>3515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1648</v>
      </c>
      <c r="I1441" s="1229" t="s">
        <v>1697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 x14ac:dyDescent="0.25">
      <c r="B1442" s="710" t="s">
        <v>1638</v>
      </c>
      <c r="C1442" s="839" t="s">
        <v>3515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1648</v>
      </c>
      <c r="I1442" s="1229" t="s">
        <v>1697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 x14ac:dyDescent="0.25">
      <c r="B1443" s="710" t="s">
        <v>1637</v>
      </c>
      <c r="C1443" s="839" t="s">
        <v>3515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1543</v>
      </c>
      <c r="I1443" s="1227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 x14ac:dyDescent="0.25">
      <c r="B1444" s="710" t="s">
        <v>1636</v>
      </c>
      <c r="C1444" s="839" t="s">
        <v>3515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1543</v>
      </c>
      <c r="I1444" s="1225" t="s">
        <v>1556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 x14ac:dyDescent="0.25">
      <c r="B1445" s="710" t="s">
        <v>1635</v>
      </c>
      <c r="C1445" s="839" t="s">
        <v>3515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27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 x14ac:dyDescent="0.25">
      <c r="B1446" s="710" t="s">
        <v>1634</v>
      </c>
      <c r="C1446" s="839" t="s">
        <v>3515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27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 x14ac:dyDescent="0.25">
      <c r="B1447" s="710" t="s">
        <v>1634</v>
      </c>
      <c r="C1447" s="839" t="s">
        <v>3515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1540</v>
      </c>
      <c r="I1447" s="1227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 x14ac:dyDescent="0.25">
      <c r="B1448" s="710" t="s">
        <v>1633</v>
      </c>
      <c r="C1448" s="839" t="s">
        <v>3515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4" t="s">
        <v>3370</v>
      </c>
      <c r="I1448" s="1227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 x14ac:dyDescent="0.25">
      <c r="B1449" s="710" t="s">
        <v>1632</v>
      </c>
      <c r="C1449" s="839" t="s">
        <v>3515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27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 x14ac:dyDescent="0.25">
      <c r="B1450" s="710" t="s">
        <v>1631</v>
      </c>
      <c r="C1450" s="839" t="s">
        <v>3515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4" t="s">
        <v>3370</v>
      </c>
      <c r="I1450" s="1227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 x14ac:dyDescent="0.25">
      <c r="B1451" s="710" t="s">
        <v>1630</v>
      </c>
      <c r="C1451" s="839" t="s">
        <v>3515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1648</v>
      </c>
      <c r="I1451" s="1229" t="s">
        <v>1697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 x14ac:dyDescent="0.25">
      <c r="B1452" s="710" t="s">
        <v>1629</v>
      </c>
      <c r="C1452" s="839" t="s">
        <v>3515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1648</v>
      </c>
      <c r="I1452" s="1229" t="s">
        <v>1697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 x14ac:dyDescent="0.25">
      <c r="B1453" s="710" t="s">
        <v>1628</v>
      </c>
      <c r="C1453" s="839" t="s">
        <v>3515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1543</v>
      </c>
      <c r="I1453" s="1227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 x14ac:dyDescent="0.25">
      <c r="B1454" s="710" t="s">
        <v>1627</v>
      </c>
      <c r="C1454" s="839" t="s">
        <v>3515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1648</v>
      </c>
      <c r="I1454" s="1229" t="s">
        <v>1697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 x14ac:dyDescent="0.25">
      <c r="B1455" s="710" t="s">
        <v>1626</v>
      </c>
      <c r="C1455" s="839" t="s">
        <v>3515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1648</v>
      </c>
      <c r="I1455" s="1229" t="s">
        <v>1543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 x14ac:dyDescent="0.25">
      <c r="B1456" s="710" t="s">
        <v>1625</v>
      </c>
      <c r="C1456" s="839" t="s">
        <v>3515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1648</v>
      </c>
      <c r="I1456" s="1229" t="s">
        <v>1543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 x14ac:dyDescent="0.25">
      <c r="B1457" s="710" t="s">
        <v>1624</v>
      </c>
      <c r="C1457" s="839" t="s">
        <v>3515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1648</v>
      </c>
      <c r="I1457" s="1229" t="s">
        <v>1697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 x14ac:dyDescent="0.25">
      <c r="B1458" s="710" t="s">
        <v>1623</v>
      </c>
      <c r="C1458" s="839" t="s">
        <v>3515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1648</v>
      </c>
      <c r="I1458" s="1229" t="s">
        <v>1697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 x14ac:dyDescent="0.25">
      <c r="B1459" s="710" t="s">
        <v>1622</v>
      </c>
      <c r="C1459" s="839" t="s">
        <v>3515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1648</v>
      </c>
      <c r="I1459" s="1229" t="s">
        <v>1543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 x14ac:dyDescent="0.25">
      <c r="B1460" s="710" t="s">
        <v>1621</v>
      </c>
      <c r="C1460" s="839" t="s">
        <v>3515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1648</v>
      </c>
      <c r="I1460" s="1229" t="s">
        <v>1697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 x14ac:dyDescent="0.25">
      <c r="B1461" s="710" t="s">
        <v>1620</v>
      </c>
      <c r="C1461" s="839" t="s">
        <v>3515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1648</v>
      </c>
      <c r="I1461" s="1229" t="s">
        <v>1543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 x14ac:dyDescent="0.25">
      <c r="B1462" s="710" t="s">
        <v>1619</v>
      </c>
      <c r="C1462" s="839" t="s">
        <v>3515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1648</v>
      </c>
      <c r="I1462" s="1229" t="s">
        <v>1697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 x14ac:dyDescent="0.25">
      <c r="B1463" s="710" t="s">
        <v>1618</v>
      </c>
      <c r="C1463" s="839" t="s">
        <v>3515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1648</v>
      </c>
      <c r="I1463" s="1229" t="s">
        <v>1543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 x14ac:dyDescent="0.25">
      <c r="B1464" s="710" t="s">
        <v>1617</v>
      </c>
      <c r="C1464" s="839" t="s">
        <v>3515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1543</v>
      </c>
      <c r="I1464" s="1227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 x14ac:dyDescent="0.25">
      <c r="B1465" s="710" t="s">
        <v>1616</v>
      </c>
      <c r="C1465" s="839" t="s">
        <v>3515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1543</v>
      </c>
      <c r="I1465" s="1227" t="s">
        <v>1556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 x14ac:dyDescent="0.25">
      <c r="B1466" s="710" t="s">
        <v>1615</v>
      </c>
      <c r="C1466" s="839" t="s">
        <v>3515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1543</v>
      </c>
      <c r="I1466" s="1227" t="s">
        <v>1556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 x14ac:dyDescent="0.25">
      <c r="B1467" s="710" t="s">
        <v>1614</v>
      </c>
      <c r="C1467" s="839" t="s">
        <v>3515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1543</v>
      </c>
      <c r="I1467" s="1227" t="s">
        <v>1556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 x14ac:dyDescent="0.25">
      <c r="B1468" s="710" t="s">
        <v>1614</v>
      </c>
      <c r="C1468" s="839" t="s">
        <v>3515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1648</v>
      </c>
      <c r="I1468" s="1229" t="s">
        <v>1543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 x14ac:dyDescent="0.25">
      <c r="B1469" s="710" t="s">
        <v>1613</v>
      </c>
      <c r="C1469" s="839" t="s">
        <v>3515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1648</v>
      </c>
      <c r="I1469" s="1229" t="s">
        <v>1543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 x14ac:dyDescent="0.25">
      <c r="B1470" s="710" t="s">
        <v>1612</v>
      </c>
      <c r="C1470" s="839" t="s">
        <v>3515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1648</v>
      </c>
      <c r="I1470" s="1229" t="s">
        <v>1697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 x14ac:dyDescent="0.25">
      <c r="B1471" s="710" t="s">
        <v>1611</v>
      </c>
      <c r="C1471" s="839" t="s">
        <v>3515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1648</v>
      </c>
      <c r="I1471" s="1229" t="s">
        <v>1543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 x14ac:dyDescent="0.25">
      <c r="B1472" s="710" t="s">
        <v>1610</v>
      </c>
      <c r="C1472" s="839" t="s">
        <v>3515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1648</v>
      </c>
      <c r="I1472" s="1229" t="s">
        <v>1543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 x14ac:dyDescent="0.25">
      <c r="B1473" s="710" t="s">
        <v>1609</v>
      </c>
      <c r="C1473" s="839" t="s">
        <v>3515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1648</v>
      </c>
      <c r="I1473" s="1229" t="s">
        <v>1543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 x14ac:dyDescent="0.25">
      <c r="B1474" s="710" t="s">
        <v>1608</v>
      </c>
      <c r="C1474" s="839" t="s">
        <v>3515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1543</v>
      </c>
      <c r="I1474" s="1227" t="s">
        <v>1556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 x14ac:dyDescent="0.25">
      <c r="B1475" s="710" t="s">
        <v>1607</v>
      </c>
      <c r="C1475" s="839" t="s">
        <v>3515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1648</v>
      </c>
      <c r="I1475" s="1229" t="s">
        <v>1543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 x14ac:dyDescent="0.25">
      <c r="B1476" s="710" t="s">
        <v>1606</v>
      </c>
      <c r="C1476" s="839" t="s">
        <v>3515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1543</v>
      </c>
      <c r="I1476" s="1227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 x14ac:dyDescent="0.25">
      <c r="B1477" s="710" t="s">
        <v>1605</v>
      </c>
      <c r="C1477" s="839" t="s">
        <v>3515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1543</v>
      </c>
      <c r="I1477" s="1227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 x14ac:dyDescent="0.25">
      <c r="B1478" s="710" t="s">
        <v>1604</v>
      </c>
      <c r="C1478" s="839" t="s">
        <v>3515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1648</v>
      </c>
      <c r="I1478" s="1229" t="s">
        <v>1697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 x14ac:dyDescent="0.25">
      <c r="B1479" s="710" t="s">
        <v>1603</v>
      </c>
      <c r="C1479" s="839" t="s">
        <v>3515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1648</v>
      </c>
      <c r="I1479" s="1227" t="s">
        <v>1645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 x14ac:dyDescent="0.25">
      <c r="B1480" s="710" t="s">
        <v>1602</v>
      </c>
      <c r="C1480" s="839" t="s">
        <v>3515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27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 x14ac:dyDescent="0.25">
      <c r="B1481" s="710" t="s">
        <v>1601</v>
      </c>
      <c r="C1481" s="839" t="s">
        <v>3515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4" t="s">
        <v>3370</v>
      </c>
      <c r="I1481" s="1227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 x14ac:dyDescent="0.25">
      <c r="B1482" s="710" t="s">
        <v>1600</v>
      </c>
      <c r="C1482" s="839" t="s">
        <v>3515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1543</v>
      </c>
      <c r="I1482" s="1227" t="s">
        <v>1556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 x14ac:dyDescent="0.25">
      <c r="B1483" s="710" t="s">
        <v>1600</v>
      </c>
      <c r="C1483" s="839" t="s">
        <v>3515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1648</v>
      </c>
      <c r="I1483" s="1229" t="s">
        <v>1543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 x14ac:dyDescent="0.25">
      <c r="B1484" s="710" t="s">
        <v>1599</v>
      </c>
      <c r="C1484" s="839" t="s">
        <v>3515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27" t="s">
        <v>1358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 x14ac:dyDescent="0.25">
      <c r="B1485" s="711" t="s">
        <v>1646</v>
      </c>
      <c r="C1485" s="839" t="s">
        <v>3515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1648</v>
      </c>
      <c r="I1485" s="1229" t="s">
        <v>1647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 x14ac:dyDescent="0.25">
      <c r="B1486" s="711" t="s">
        <v>1696</v>
      </c>
      <c r="C1486" s="839" t="s">
        <v>3515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1648</v>
      </c>
      <c r="I1486" s="1229" t="s">
        <v>1645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 x14ac:dyDescent="0.25">
      <c r="B1487" s="711" t="s">
        <v>1695</v>
      </c>
      <c r="C1487" s="839" t="s">
        <v>3515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1543</v>
      </c>
      <c r="I1487" s="1227" t="s">
        <v>1556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 x14ac:dyDescent="0.25">
      <c r="B1488" s="711" t="s">
        <v>1694</v>
      </c>
      <c r="C1488" s="839" t="s">
        <v>3515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1543</v>
      </c>
      <c r="I1488" s="1229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 x14ac:dyDescent="0.25">
      <c r="B1489" s="711" t="s">
        <v>1693</v>
      </c>
      <c r="C1489" s="839" t="s">
        <v>3515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1648</v>
      </c>
      <c r="I1489" s="1229" t="s">
        <v>1697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 x14ac:dyDescent="0.25">
      <c r="B1490" s="711" t="s">
        <v>1692</v>
      </c>
      <c r="C1490" s="839" t="s">
        <v>3515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1543</v>
      </c>
      <c r="I1490" s="1229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 x14ac:dyDescent="0.25">
      <c r="B1491" s="711" t="s">
        <v>1691</v>
      </c>
      <c r="C1491" s="839" t="s">
        <v>3515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1648</v>
      </c>
      <c r="I1491" s="1229" t="s">
        <v>1647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 x14ac:dyDescent="0.25">
      <c r="B1492" s="711" t="s">
        <v>1690</v>
      </c>
      <c r="C1492" s="839" t="s">
        <v>3515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1648</v>
      </c>
      <c r="I1492" s="1229" t="s">
        <v>1697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 x14ac:dyDescent="0.25">
      <c r="B1493" s="711" t="s">
        <v>1689</v>
      </c>
      <c r="C1493" s="839" t="s">
        <v>3515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1648</v>
      </c>
      <c r="I1493" s="1229" t="s">
        <v>1698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 x14ac:dyDescent="0.25">
      <c r="B1494" s="711" t="s">
        <v>1688</v>
      </c>
      <c r="C1494" s="839" t="s">
        <v>3515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1648</v>
      </c>
      <c r="I1494" s="1229" t="s">
        <v>1699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 x14ac:dyDescent="0.25">
      <c r="B1495" s="711" t="s">
        <v>1687</v>
      </c>
      <c r="C1495" s="839" t="s">
        <v>3515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1543</v>
      </c>
      <c r="I1495" s="1227" t="s">
        <v>1556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 x14ac:dyDescent="0.25">
      <c r="B1496" s="711" t="s">
        <v>1686</v>
      </c>
      <c r="C1496" s="839" t="s">
        <v>3515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1648</v>
      </c>
      <c r="I1496" s="1229" t="s">
        <v>1700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 x14ac:dyDescent="0.25">
      <c r="B1497" s="711" t="s">
        <v>1685</v>
      </c>
      <c r="C1497" s="839" t="s">
        <v>3515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1648</v>
      </c>
      <c r="I1497" s="1229" t="s">
        <v>1699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 x14ac:dyDescent="0.25">
      <c r="B1498" s="711" t="s">
        <v>1684</v>
      </c>
      <c r="C1498" s="839" t="s">
        <v>3515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1648</v>
      </c>
      <c r="I1498" s="1229" t="s">
        <v>1543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 x14ac:dyDescent="0.25">
      <c r="B1499" s="711" t="s">
        <v>1683</v>
      </c>
      <c r="C1499" s="839" t="s">
        <v>3515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1648</v>
      </c>
      <c r="I1499" s="1229" t="s">
        <v>1698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 x14ac:dyDescent="0.25">
      <c r="B1500" s="711" t="s">
        <v>1682</v>
      </c>
      <c r="C1500" s="839" t="s">
        <v>3515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29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 x14ac:dyDescent="0.25">
      <c r="B1501" s="711" t="s">
        <v>1681</v>
      </c>
      <c r="C1501" s="839" t="s">
        <v>3515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1648</v>
      </c>
      <c r="I1501" s="1229" t="s">
        <v>1543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 x14ac:dyDescent="0.25">
      <c r="B1502" s="711" t="s">
        <v>1680</v>
      </c>
      <c r="C1502" s="839" t="s">
        <v>3515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1648</v>
      </c>
      <c r="I1502" s="1229" t="s">
        <v>1543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 x14ac:dyDescent="0.25">
      <c r="B1503" s="711" t="s">
        <v>1679</v>
      </c>
      <c r="C1503" s="839" t="s">
        <v>3515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1648</v>
      </c>
      <c r="I1503" s="1229" t="s">
        <v>1697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 x14ac:dyDescent="0.25">
      <c r="B1504" s="711" t="s">
        <v>1678</v>
      </c>
      <c r="C1504" s="839" t="s">
        <v>3515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1648</v>
      </c>
      <c r="I1504" s="1229" t="s">
        <v>1697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 x14ac:dyDescent="0.25">
      <c r="B1505" s="711" t="s">
        <v>1677</v>
      </c>
      <c r="C1505" s="839" t="s">
        <v>3515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1648</v>
      </c>
      <c r="I1505" s="1229" t="s">
        <v>1700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 x14ac:dyDescent="0.25">
      <c r="B1506" s="711" t="s">
        <v>1676</v>
      </c>
      <c r="C1506" s="839" t="s">
        <v>3515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1543</v>
      </c>
      <c r="I1506" s="1229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 x14ac:dyDescent="0.25">
      <c r="B1507" s="711" t="s">
        <v>1675</v>
      </c>
      <c r="C1507" s="839" t="s">
        <v>3515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1543</v>
      </c>
      <c r="I1507" s="1229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 x14ac:dyDescent="0.25">
      <c r="B1508" s="711" t="s">
        <v>1674</v>
      </c>
      <c r="C1508" s="839" t="s">
        <v>3515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1648</v>
      </c>
      <c r="I1508" s="1229" t="s">
        <v>1697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 x14ac:dyDescent="0.25">
      <c r="B1509" s="711" t="s">
        <v>1673</v>
      </c>
      <c r="C1509" s="839" t="s">
        <v>3515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1648</v>
      </c>
      <c r="I1509" s="1229" t="s">
        <v>1647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 x14ac:dyDescent="0.25">
      <c r="B1510" s="711" t="s">
        <v>1672</v>
      </c>
      <c r="C1510" s="839" t="s">
        <v>3515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1648</v>
      </c>
      <c r="I1510" s="1229" t="s">
        <v>1645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 x14ac:dyDescent="0.25">
      <c r="B1511" s="711" t="s">
        <v>1671</v>
      </c>
      <c r="C1511" s="839" t="s">
        <v>3515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1648</v>
      </c>
      <c r="I1511" s="1229" t="s">
        <v>1697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 x14ac:dyDescent="0.25">
      <c r="B1512" s="711" t="s">
        <v>1670</v>
      </c>
      <c r="C1512" s="839" t="s">
        <v>3515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1543</v>
      </c>
      <c r="I1512" s="1229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 x14ac:dyDescent="0.25">
      <c r="B1513" s="711" t="s">
        <v>1669</v>
      </c>
      <c r="C1513" s="839" t="s">
        <v>3515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1648</v>
      </c>
      <c r="I1513" s="1229" t="s">
        <v>1700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 x14ac:dyDescent="0.25">
      <c r="B1514" s="711" t="s">
        <v>1668</v>
      </c>
      <c r="C1514" s="839" t="s">
        <v>3515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1648</v>
      </c>
      <c r="I1514" s="1229" t="s">
        <v>1647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 x14ac:dyDescent="0.25">
      <c r="B1515" s="711" t="s">
        <v>1667</v>
      </c>
      <c r="C1515" s="839" t="s">
        <v>3515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29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 x14ac:dyDescent="0.25">
      <c r="B1516" s="711" t="s">
        <v>1666</v>
      </c>
      <c r="C1516" s="839" t="s">
        <v>3515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4" t="s">
        <v>3370</v>
      </c>
      <c r="I1516" s="1229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 x14ac:dyDescent="0.25">
      <c r="B1517" s="711" t="s">
        <v>1666</v>
      </c>
      <c r="C1517" s="839" t="s">
        <v>3515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1540</v>
      </c>
      <c r="I1517" s="1229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 x14ac:dyDescent="0.25">
      <c r="B1518" s="711" t="s">
        <v>1665</v>
      </c>
      <c r="C1518" s="839" t="s">
        <v>3515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1648</v>
      </c>
      <c r="I1518" s="1229" t="s">
        <v>1543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 x14ac:dyDescent="0.25">
      <c r="B1519" s="711" t="s">
        <v>1664</v>
      </c>
      <c r="C1519" s="839" t="s">
        <v>3515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1540</v>
      </c>
      <c r="I1519" s="1229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 x14ac:dyDescent="0.25">
      <c r="B1520" s="711" t="s">
        <v>1663</v>
      </c>
      <c r="C1520" s="839" t="s">
        <v>3515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4" t="s">
        <v>3370</v>
      </c>
      <c r="I1520" s="1229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 x14ac:dyDescent="0.25">
      <c r="B1521" s="711" t="s">
        <v>1662</v>
      </c>
      <c r="C1521" s="839" t="s">
        <v>3515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4" t="s">
        <v>3370</v>
      </c>
      <c r="I1521" s="1229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 x14ac:dyDescent="0.25">
      <c r="B1522" s="711" t="s">
        <v>1662</v>
      </c>
      <c r="C1522" s="839" t="s">
        <v>3515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1648</v>
      </c>
      <c r="I1522" s="1229" t="s">
        <v>1699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 x14ac:dyDescent="0.25">
      <c r="B1523" s="711" t="s">
        <v>1661</v>
      </c>
      <c r="C1523" s="839" t="s">
        <v>3515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1648</v>
      </c>
      <c r="I1523" s="1229" t="s">
        <v>1543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 x14ac:dyDescent="0.25">
      <c r="B1524" s="711" t="s">
        <v>1660</v>
      </c>
      <c r="C1524" s="839" t="s">
        <v>3515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1648</v>
      </c>
      <c r="I1524" s="1229" t="s">
        <v>1697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 x14ac:dyDescent="0.25">
      <c r="B1525" s="711" t="s">
        <v>1659</v>
      </c>
      <c r="C1525" s="839" t="s">
        <v>3515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1648</v>
      </c>
      <c r="I1525" s="1229" t="s">
        <v>1543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 x14ac:dyDescent="0.25">
      <c r="B1526" s="711" t="s">
        <v>1658</v>
      </c>
      <c r="C1526" s="839" t="s">
        <v>3515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1648</v>
      </c>
      <c r="I1526" s="1229" t="s">
        <v>1698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 x14ac:dyDescent="0.25">
      <c r="B1527" s="711" t="s">
        <v>1657</v>
      </c>
      <c r="C1527" s="839" t="s">
        <v>3515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29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 x14ac:dyDescent="0.25">
      <c r="B1528" s="711" t="s">
        <v>1656</v>
      </c>
      <c r="C1528" s="839" t="s">
        <v>3515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1648</v>
      </c>
      <c r="I1528" s="1229" t="s">
        <v>1543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 x14ac:dyDescent="0.25">
      <c r="B1529" s="711" t="s">
        <v>1655</v>
      </c>
      <c r="C1529" s="839" t="s">
        <v>3515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1648</v>
      </c>
      <c r="I1529" s="1229" t="s">
        <v>1697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 x14ac:dyDescent="0.25">
      <c r="B1530" s="711" t="s">
        <v>1654</v>
      </c>
      <c r="C1530" s="839" t="s">
        <v>3515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1648</v>
      </c>
      <c r="I1530" s="1229" t="s">
        <v>1543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 x14ac:dyDescent="0.25">
      <c r="B1531" s="711" t="s">
        <v>1653</v>
      </c>
      <c r="C1531" s="839" t="s">
        <v>3515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1648</v>
      </c>
      <c r="I1531" s="1229" t="s">
        <v>1697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 x14ac:dyDescent="0.25">
      <c r="B1532" s="711" t="s">
        <v>1652</v>
      </c>
      <c r="C1532" s="839" t="s">
        <v>3515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1648</v>
      </c>
      <c r="I1532" s="1229" t="s">
        <v>1700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 x14ac:dyDescent="0.25">
      <c r="B1533" s="711" t="s">
        <v>1651</v>
      </c>
      <c r="C1533" s="839" t="s">
        <v>3515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1648</v>
      </c>
      <c r="I1533" s="1229" t="s">
        <v>1697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 x14ac:dyDescent="0.25">
      <c r="B1534" s="711" t="s">
        <v>1650</v>
      </c>
      <c r="C1534" s="839" t="s">
        <v>3515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1648</v>
      </c>
      <c r="I1534" s="1229" t="s">
        <v>1543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 x14ac:dyDescent="0.25">
      <c r="B1535" s="711" t="s">
        <v>1649</v>
      </c>
      <c r="C1535" s="839" t="s">
        <v>3515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1648</v>
      </c>
      <c r="I1535" s="1229" t="s">
        <v>1698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 x14ac:dyDescent="0.25">
      <c r="B1536" s="711" t="s">
        <v>1729</v>
      </c>
      <c r="C1536" s="839" t="s">
        <v>3515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1648</v>
      </c>
      <c r="I1536" s="1229" t="s">
        <v>1699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 x14ac:dyDescent="0.25">
      <c r="B1537" s="711" t="s">
        <v>1728</v>
      </c>
      <c r="C1537" s="839" t="s">
        <v>3515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1648</v>
      </c>
      <c r="I1537" s="1229" t="s">
        <v>1645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 x14ac:dyDescent="0.25">
      <c r="B1538" s="711" t="s">
        <v>1727</v>
      </c>
      <c r="C1538" s="839" t="s">
        <v>3515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1648</v>
      </c>
      <c r="I1538" s="1229" t="s">
        <v>1697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 x14ac:dyDescent="0.25">
      <c r="B1539" s="711" t="s">
        <v>1726</v>
      </c>
      <c r="C1539" s="839" t="s">
        <v>3515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1648</v>
      </c>
      <c r="I1539" s="1229" t="s">
        <v>1543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 x14ac:dyDescent="0.25">
      <c r="B1540" s="711" t="s">
        <v>1725</v>
      </c>
      <c r="C1540" s="839" t="s">
        <v>3515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1648</v>
      </c>
      <c r="I1540" s="1229" t="s">
        <v>1543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 x14ac:dyDescent="0.25">
      <c r="B1541" s="711" t="s">
        <v>1724</v>
      </c>
      <c r="C1541" s="839" t="s">
        <v>3515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1648</v>
      </c>
      <c r="I1541" s="1229" t="s">
        <v>1699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 x14ac:dyDescent="0.25">
      <c r="B1542" s="711" t="s">
        <v>1723</v>
      </c>
      <c r="C1542" s="839" t="s">
        <v>3515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1648</v>
      </c>
      <c r="I1542" s="1229" t="s">
        <v>1647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 x14ac:dyDescent="0.25">
      <c r="B1543" s="711" t="s">
        <v>1722</v>
      </c>
      <c r="C1543" s="839" t="s">
        <v>3515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1648</v>
      </c>
      <c r="I1543" s="1229" t="s">
        <v>1697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 x14ac:dyDescent="0.25">
      <c r="B1544" s="711" t="s">
        <v>1721</v>
      </c>
      <c r="C1544" s="839" t="s">
        <v>3515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1648</v>
      </c>
      <c r="I1544" s="1229" t="s">
        <v>1543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 x14ac:dyDescent="0.25">
      <c r="B1545" s="711" t="s">
        <v>1720</v>
      </c>
      <c r="C1545" s="839" t="s">
        <v>3515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1648</v>
      </c>
      <c r="I1545" s="1229" t="s">
        <v>1647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 x14ac:dyDescent="0.25">
      <c r="B1546" s="711" t="s">
        <v>1719</v>
      </c>
      <c r="C1546" s="839" t="s">
        <v>3515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1648</v>
      </c>
      <c r="I1546" s="1229" t="s">
        <v>1543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 x14ac:dyDescent="0.25">
      <c r="B1547" s="711" t="s">
        <v>1718</v>
      </c>
      <c r="C1547" s="839" t="s">
        <v>3515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1648</v>
      </c>
      <c r="I1547" s="1229" t="s">
        <v>1543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 x14ac:dyDescent="0.25">
      <c r="B1548" s="711" t="s">
        <v>1717</v>
      </c>
      <c r="C1548" s="839" t="s">
        <v>3515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29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 x14ac:dyDescent="0.25">
      <c r="B1549" s="711" t="s">
        <v>1716</v>
      </c>
      <c r="C1549" s="839" t="s">
        <v>3515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1648</v>
      </c>
      <c r="I1549" s="1229" t="s">
        <v>1543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 x14ac:dyDescent="0.25">
      <c r="B1550" s="711" t="s">
        <v>1715</v>
      </c>
      <c r="C1550" s="839" t="s">
        <v>3515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29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 x14ac:dyDescent="0.25">
      <c r="B1551" s="711" t="s">
        <v>1714</v>
      </c>
      <c r="C1551" s="839" t="s">
        <v>3515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1648</v>
      </c>
      <c r="I1551" s="1229" t="s">
        <v>1697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 x14ac:dyDescent="0.25">
      <c r="B1552" s="711" t="s">
        <v>1713</v>
      </c>
      <c r="C1552" s="839" t="s">
        <v>3515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1648</v>
      </c>
      <c r="I1552" s="1229" t="s">
        <v>1699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 x14ac:dyDescent="0.25">
      <c r="B1553" s="711" t="s">
        <v>1712</v>
      </c>
      <c r="C1553" s="839" t="s">
        <v>3515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29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 x14ac:dyDescent="0.25">
      <c r="B1554" s="711" t="s">
        <v>1711</v>
      </c>
      <c r="C1554" s="839" t="s">
        <v>3515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1648</v>
      </c>
      <c r="I1554" s="1229" t="s">
        <v>1543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 x14ac:dyDescent="0.25">
      <c r="B1555" s="711" t="s">
        <v>1710</v>
      </c>
      <c r="C1555" s="839" t="s">
        <v>3515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29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72" t="s">
        <v>1730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 x14ac:dyDescent="0.25">
      <c r="B1556" s="711" t="s">
        <v>1709</v>
      </c>
      <c r="C1556" s="839" t="s">
        <v>3515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1540</v>
      </c>
      <c r="I1556" s="1229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 x14ac:dyDescent="0.25">
      <c r="B1557" s="711" t="s">
        <v>1709</v>
      </c>
      <c r="C1557" s="839" t="s">
        <v>3515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4" t="s">
        <v>3370</v>
      </c>
      <c r="I1557" s="1229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72" t="s">
        <v>1730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 x14ac:dyDescent="0.25">
      <c r="B1558" s="711" t="s">
        <v>1708</v>
      </c>
      <c r="C1558" s="839" t="s">
        <v>3515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4" t="s">
        <v>3370</v>
      </c>
      <c r="I1558" s="1229" t="s">
        <v>1577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 x14ac:dyDescent="0.25">
      <c r="B1559" s="711" t="s">
        <v>1707</v>
      </c>
      <c r="C1559" s="839" t="s">
        <v>3515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1648</v>
      </c>
      <c r="I1559" s="1229" t="s">
        <v>1698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 x14ac:dyDescent="0.25">
      <c r="B1560" s="711" t="s">
        <v>1706</v>
      </c>
      <c r="C1560" s="839" t="s">
        <v>3515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1648</v>
      </c>
      <c r="I1560" s="1229" t="s">
        <v>1697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 x14ac:dyDescent="0.25">
      <c r="B1561" s="711" t="s">
        <v>1705</v>
      </c>
      <c r="C1561" s="839" t="s">
        <v>3515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29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1360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 x14ac:dyDescent="0.25">
      <c r="B1562" s="711" t="s">
        <v>1704</v>
      </c>
      <c r="C1562" s="839" t="s">
        <v>3515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1648</v>
      </c>
      <c r="I1562" s="1229" t="s">
        <v>1697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 x14ac:dyDescent="0.25">
      <c r="B1563" s="711" t="s">
        <v>1703</v>
      </c>
      <c r="C1563" s="839" t="s">
        <v>3515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1648</v>
      </c>
      <c r="I1563" s="1229" t="s">
        <v>1739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 x14ac:dyDescent="0.25">
      <c r="B1564" s="711" t="s">
        <v>1702</v>
      </c>
      <c r="C1564" s="839" t="s">
        <v>3515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1648</v>
      </c>
      <c r="I1564" s="1229" t="s">
        <v>1543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 x14ac:dyDescent="0.25">
      <c r="B1565" s="711" t="s">
        <v>1701</v>
      </c>
      <c r="C1565" s="839" t="s">
        <v>3515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1648</v>
      </c>
      <c r="I1565" s="1229" t="s">
        <v>1697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 x14ac:dyDescent="0.25">
      <c r="B1566" s="711" t="s">
        <v>1737</v>
      </c>
      <c r="C1566" s="839" t="s">
        <v>3515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1648</v>
      </c>
      <c r="I1566" s="1229" t="s">
        <v>1697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 x14ac:dyDescent="0.25">
      <c r="B1567" s="711" t="s">
        <v>1736</v>
      </c>
      <c r="C1567" s="839" t="s">
        <v>3515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1648</v>
      </c>
      <c r="I1567" s="1229" t="s">
        <v>1697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 x14ac:dyDescent="0.25">
      <c r="B1568" s="711" t="s">
        <v>1735</v>
      </c>
      <c r="C1568" s="839" t="s">
        <v>3515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1648</v>
      </c>
      <c r="I1568" s="1229" t="s">
        <v>1739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 x14ac:dyDescent="0.25">
      <c r="B1569" s="711" t="s">
        <v>1734</v>
      </c>
      <c r="C1569" s="839" t="s">
        <v>3515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1648</v>
      </c>
      <c r="I1569" s="1229" t="s">
        <v>1543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 x14ac:dyDescent="0.25">
      <c r="B1570" s="711" t="s">
        <v>1733</v>
      </c>
      <c r="C1570" s="839" t="s">
        <v>3515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1648</v>
      </c>
      <c r="I1570" s="1229" t="s">
        <v>1738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 x14ac:dyDescent="0.25">
      <c r="B1571" s="711" t="s">
        <v>1733</v>
      </c>
      <c r="C1571" s="839" t="s">
        <v>3515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1648</v>
      </c>
      <c r="I1571" s="1229" t="s">
        <v>1739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 x14ac:dyDescent="0.25">
      <c r="B1572" s="711" t="s">
        <v>1732</v>
      </c>
      <c r="C1572" s="839" t="s">
        <v>3515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4" t="s">
        <v>3370</v>
      </c>
      <c r="I1572" s="1229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 x14ac:dyDescent="0.25">
      <c r="B1573" s="711" t="s">
        <v>1731</v>
      </c>
      <c r="C1573" s="839" t="s">
        <v>3515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1648</v>
      </c>
      <c r="I1573" s="1229" t="s">
        <v>1740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 x14ac:dyDescent="0.25">
      <c r="B1574" s="712" t="s">
        <v>1743</v>
      </c>
      <c r="C1574" s="839" t="s">
        <v>3515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1648</v>
      </c>
      <c r="I1574" s="1229" t="s">
        <v>1543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 x14ac:dyDescent="0.25">
      <c r="B1575" s="712" t="s">
        <v>1742</v>
      </c>
      <c r="C1575" s="839" t="s">
        <v>3515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1648</v>
      </c>
      <c r="I1575" s="1229" t="s">
        <v>1739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 x14ac:dyDescent="0.25">
      <c r="B1576" s="713" t="s">
        <v>1755</v>
      </c>
      <c r="C1576" s="839" t="s">
        <v>3515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1648</v>
      </c>
      <c r="I1576" s="1229" t="s">
        <v>1543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 x14ac:dyDescent="0.25">
      <c r="B1577" s="713" t="s">
        <v>1754</v>
      </c>
      <c r="C1577" s="839" t="s">
        <v>3515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1648</v>
      </c>
      <c r="I1577" s="1229" t="s">
        <v>1697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 x14ac:dyDescent="0.25">
      <c r="B1578" s="713" t="s">
        <v>1753</v>
      </c>
      <c r="C1578" s="839" t="s">
        <v>3515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1648</v>
      </c>
      <c r="I1578" s="1230" t="s">
        <v>1647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 x14ac:dyDescent="0.25">
      <c r="B1579" s="713" t="s">
        <v>1752</v>
      </c>
      <c r="C1579" s="839" t="s">
        <v>3515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1648</v>
      </c>
      <c r="I1579" s="1230" t="s">
        <v>1756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 x14ac:dyDescent="0.25">
      <c r="B1580" s="713" t="s">
        <v>1751</v>
      </c>
      <c r="C1580" s="839" t="s">
        <v>3515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1648</v>
      </c>
      <c r="I1580" s="1230" t="s">
        <v>1699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 x14ac:dyDescent="0.25">
      <c r="B1581" s="713" t="s">
        <v>1750</v>
      </c>
      <c r="C1581" s="839" t="s">
        <v>3515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1648</v>
      </c>
      <c r="I1581" s="1229" t="s">
        <v>1697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 x14ac:dyDescent="0.25">
      <c r="B1582" s="713" t="s">
        <v>1749</v>
      </c>
      <c r="C1582" s="839" t="s">
        <v>3515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1648</v>
      </c>
      <c r="I1582" s="1230" t="s">
        <v>1645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 x14ac:dyDescent="0.25">
      <c r="B1583" s="713" t="s">
        <v>1748</v>
      </c>
      <c r="C1583" s="839" t="s">
        <v>3515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1648</v>
      </c>
      <c r="I1583" s="1230" t="s">
        <v>1740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 x14ac:dyDescent="0.25">
      <c r="B1584" s="713" t="s">
        <v>1747</v>
      </c>
      <c r="C1584" s="839" t="s">
        <v>3515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1648</v>
      </c>
      <c r="I1584" s="1229" t="s">
        <v>1543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 x14ac:dyDescent="0.25">
      <c r="B1585" s="713" t="s">
        <v>1746</v>
      </c>
      <c r="C1585" s="839" t="s">
        <v>3515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1648</v>
      </c>
      <c r="I1585" s="1230" t="s">
        <v>1645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 x14ac:dyDescent="0.25">
      <c r="B1586" s="713" t="s">
        <v>1745</v>
      </c>
      <c r="C1586" s="839" t="s">
        <v>3515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30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 x14ac:dyDescent="0.25">
      <c r="B1587" s="713" t="s">
        <v>1745</v>
      </c>
      <c r="C1587" s="839" t="s">
        <v>3515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1648</v>
      </c>
      <c r="I1587" s="1229" t="s">
        <v>1697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 x14ac:dyDescent="0.25">
      <c r="B1588" s="713" t="s">
        <v>1744</v>
      </c>
      <c r="C1588" s="839" t="s">
        <v>3515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1540</v>
      </c>
      <c r="I1588" s="1230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 x14ac:dyDescent="0.25">
      <c r="B1589" s="714" t="s">
        <v>1816</v>
      </c>
      <c r="C1589" s="839" t="s">
        <v>3515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1648</v>
      </c>
      <c r="I1589" s="1229" t="s">
        <v>1739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 x14ac:dyDescent="0.25">
      <c r="B1590" s="714" t="s">
        <v>1815</v>
      </c>
      <c r="C1590" s="839" t="s">
        <v>3515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1648</v>
      </c>
      <c r="I1590" s="1229" t="s">
        <v>1543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 x14ac:dyDescent="0.25">
      <c r="B1591" s="714" t="s">
        <v>1814</v>
      </c>
      <c r="C1591" s="839" t="s">
        <v>3515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1648</v>
      </c>
      <c r="I1591" s="1229" t="s">
        <v>1739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 x14ac:dyDescent="0.25">
      <c r="B1592" s="714" t="s">
        <v>1813</v>
      </c>
      <c r="C1592" s="839" t="s">
        <v>3515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1648</v>
      </c>
      <c r="I1592" s="1230" t="s">
        <v>1699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 x14ac:dyDescent="0.25">
      <c r="B1593" s="714" t="s">
        <v>1812</v>
      </c>
      <c r="C1593" s="839" t="s">
        <v>3515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1648</v>
      </c>
      <c r="I1593" s="1229" t="s">
        <v>1543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 x14ac:dyDescent="0.25">
      <c r="B1594" s="714" t="s">
        <v>1811</v>
      </c>
      <c r="C1594" s="839" t="s">
        <v>3515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1648</v>
      </c>
      <c r="I1594" s="1230" t="s">
        <v>1699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 x14ac:dyDescent="0.25">
      <c r="B1595" s="714" t="s">
        <v>1810</v>
      </c>
      <c r="C1595" s="839" t="s">
        <v>3515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1648</v>
      </c>
      <c r="I1595" s="1229" t="s">
        <v>1739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 x14ac:dyDescent="0.25">
      <c r="B1596" s="714" t="s">
        <v>1809</v>
      </c>
      <c r="C1596" s="839" t="s">
        <v>3515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31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 x14ac:dyDescent="0.25">
      <c r="B1597" s="714" t="s">
        <v>1809</v>
      </c>
      <c r="C1597" s="839" t="s">
        <v>3515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1648</v>
      </c>
      <c r="I1597" s="1229" t="s">
        <v>1697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 x14ac:dyDescent="0.25">
      <c r="B1598" s="714" t="s">
        <v>1808</v>
      </c>
      <c r="C1598" s="839" t="s">
        <v>3515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1648</v>
      </c>
      <c r="I1598" s="1229" t="s">
        <v>1698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 x14ac:dyDescent="0.25">
      <c r="B1599" s="714" t="s">
        <v>1807</v>
      </c>
      <c r="C1599" s="839" t="s">
        <v>3515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31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 x14ac:dyDescent="0.25">
      <c r="B1600" s="715" t="s">
        <v>1822</v>
      </c>
      <c r="C1600" s="839" t="s">
        <v>3515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1648</v>
      </c>
      <c r="I1600" s="1229" t="s">
        <v>1739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 x14ac:dyDescent="0.25">
      <c r="B1601" s="715" t="s">
        <v>1821</v>
      </c>
      <c r="C1601" s="839" t="s">
        <v>3515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1648</v>
      </c>
      <c r="I1601" s="1229" t="s">
        <v>1697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 x14ac:dyDescent="0.25">
      <c r="B1602" s="715" t="s">
        <v>1820</v>
      </c>
      <c r="C1602" s="839" t="s">
        <v>3515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1648</v>
      </c>
      <c r="I1602" s="1229" t="s">
        <v>1739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 x14ac:dyDescent="0.25">
      <c r="B1603" s="715" t="s">
        <v>1819</v>
      </c>
      <c r="C1603" s="839" t="s">
        <v>3515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32" t="s">
        <v>1823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 x14ac:dyDescent="0.25">
      <c r="B1604" s="715" t="s">
        <v>1929</v>
      </c>
      <c r="C1604" s="839" t="s">
        <v>3515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1648</v>
      </c>
      <c r="I1604" s="1232" t="s">
        <v>1774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 x14ac:dyDescent="0.25">
      <c r="B1605" s="715" t="s">
        <v>1928</v>
      </c>
      <c r="C1605" s="839" t="s">
        <v>3515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32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 x14ac:dyDescent="0.25">
      <c r="B1606" s="715" t="s">
        <v>1927</v>
      </c>
      <c r="C1606" s="839" t="s">
        <v>3515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1648</v>
      </c>
      <c r="I1606" s="1232" t="s">
        <v>1756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 x14ac:dyDescent="0.25">
      <c r="B1607" s="715" t="s">
        <v>1926</v>
      </c>
      <c r="C1607" s="839" t="s">
        <v>3515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1648</v>
      </c>
      <c r="I1607" s="1232" t="s">
        <v>1756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 x14ac:dyDescent="0.25">
      <c r="B1608" s="715" t="s">
        <v>1925</v>
      </c>
      <c r="C1608" s="839" t="s">
        <v>3515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1648</v>
      </c>
      <c r="I1608" s="1232" t="s">
        <v>1543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 x14ac:dyDescent="0.25">
      <c r="B1609" s="715" t="s">
        <v>1924</v>
      </c>
      <c r="C1609" s="839" t="s">
        <v>3515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1648</v>
      </c>
      <c r="I1609" s="1229" t="s">
        <v>1697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 x14ac:dyDescent="0.25">
      <c r="B1610" s="715" t="s">
        <v>1923</v>
      </c>
      <c r="C1610" s="839" t="s">
        <v>3515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1648</v>
      </c>
      <c r="I1610" s="1229" t="s">
        <v>1739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 x14ac:dyDescent="0.25">
      <c r="B1611" s="715" t="s">
        <v>1922</v>
      </c>
      <c r="C1611" s="839" t="s">
        <v>3515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32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 x14ac:dyDescent="0.25">
      <c r="B1612" s="715" t="s">
        <v>1921</v>
      </c>
      <c r="C1612" s="839" t="s">
        <v>3515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1648</v>
      </c>
      <c r="I1612" s="1232" t="s">
        <v>1740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 x14ac:dyDescent="0.25">
      <c r="B1613" s="715" t="s">
        <v>1920</v>
      </c>
      <c r="C1613" s="839" t="s">
        <v>3515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4" t="s">
        <v>3370</v>
      </c>
      <c r="I1613" s="1232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2011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 x14ac:dyDescent="0.25">
      <c r="B1614" s="715" t="s">
        <v>1919</v>
      </c>
      <c r="C1614" s="839" t="s">
        <v>3515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1648</v>
      </c>
      <c r="I1614" s="1232" t="s">
        <v>1774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 x14ac:dyDescent="0.25">
      <c r="B1615" s="715" t="s">
        <v>1918</v>
      </c>
      <c r="C1615" s="839" t="s">
        <v>3515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1648</v>
      </c>
      <c r="I1615" s="1229" t="s">
        <v>1697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 x14ac:dyDescent="0.25">
      <c r="B1616" s="715" t="s">
        <v>1917</v>
      </c>
      <c r="C1616" s="839" t="s">
        <v>3515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1648</v>
      </c>
      <c r="I1616" s="1229" t="s">
        <v>1697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 x14ac:dyDescent="0.25">
      <c r="B1617" s="715" t="s">
        <v>1916</v>
      </c>
      <c r="C1617" s="839" t="s">
        <v>3515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1648</v>
      </c>
      <c r="I1617" s="1232" t="s">
        <v>1645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 x14ac:dyDescent="0.25">
      <c r="B1618" s="715" t="s">
        <v>1915</v>
      </c>
      <c r="C1618" s="839" t="s">
        <v>3515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1648</v>
      </c>
      <c r="I1618" s="1229" t="s">
        <v>1697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 x14ac:dyDescent="0.25">
      <c r="B1619" s="715" t="s">
        <v>1914</v>
      </c>
      <c r="C1619" s="839" t="s">
        <v>3515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1648</v>
      </c>
      <c r="I1619" s="1232" t="s">
        <v>1543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 x14ac:dyDescent="0.25">
      <c r="B1620" s="715" t="s">
        <v>1913</v>
      </c>
      <c r="C1620" s="839" t="s">
        <v>3515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1648</v>
      </c>
      <c r="I1620" s="1232" t="s">
        <v>1699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 x14ac:dyDescent="0.25">
      <c r="B1621" s="715" t="s">
        <v>1912</v>
      </c>
      <c r="C1621" s="839" t="s">
        <v>3515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1648</v>
      </c>
      <c r="I1621" s="1232" t="s">
        <v>1738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 x14ac:dyDescent="0.25">
      <c r="B1622" s="715" t="s">
        <v>1911</v>
      </c>
      <c r="C1622" s="839" t="s">
        <v>3515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32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 x14ac:dyDescent="0.25">
      <c r="B1623" s="715" t="s">
        <v>1910</v>
      </c>
      <c r="C1623" s="839" t="s">
        <v>3515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32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 x14ac:dyDescent="0.25">
      <c r="B1624" s="715" t="s">
        <v>1909</v>
      </c>
      <c r="C1624" s="839" t="s">
        <v>3515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1648</v>
      </c>
      <c r="I1624" s="1229" t="s">
        <v>1739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 x14ac:dyDescent="0.25">
      <c r="B1625" s="715" t="s">
        <v>2010</v>
      </c>
      <c r="C1625" s="839" t="s">
        <v>3515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32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 x14ac:dyDescent="0.25">
      <c r="B1626" s="715" t="s">
        <v>2009</v>
      </c>
      <c r="C1626" s="839" t="s">
        <v>3515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1648</v>
      </c>
      <c r="I1626" s="1232" t="s">
        <v>1774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 x14ac:dyDescent="0.25">
      <c r="B1627" s="715" t="s">
        <v>2008</v>
      </c>
      <c r="C1627" s="839" t="s">
        <v>3515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1648</v>
      </c>
      <c r="I1627" s="1232" t="s">
        <v>1543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 x14ac:dyDescent="0.25">
      <c r="B1628" s="715" t="s">
        <v>2007</v>
      </c>
      <c r="C1628" s="839" t="s">
        <v>3515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1648</v>
      </c>
      <c r="I1628" s="1232" t="s">
        <v>1543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 x14ac:dyDescent="0.25">
      <c r="B1629" s="715" t="s">
        <v>2006</v>
      </c>
      <c r="C1629" s="839" t="s">
        <v>3515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32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 x14ac:dyDescent="0.25">
      <c r="B1630" s="715" t="s">
        <v>2005</v>
      </c>
      <c r="C1630" s="839" t="s">
        <v>3515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1648</v>
      </c>
      <c r="I1630" s="1232" t="s">
        <v>1543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 x14ac:dyDescent="0.25">
      <c r="B1631" s="715" t="s">
        <v>2004</v>
      </c>
      <c r="C1631" s="839" t="s">
        <v>3515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1648</v>
      </c>
      <c r="I1631" s="1229" t="s">
        <v>1739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 x14ac:dyDescent="0.25">
      <c r="B1632" s="715" t="s">
        <v>2003</v>
      </c>
      <c r="C1632" s="839" t="s">
        <v>3515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32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 x14ac:dyDescent="0.25">
      <c r="B1633" s="715" t="s">
        <v>2002</v>
      </c>
      <c r="C1633" s="839" t="s">
        <v>3515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1648</v>
      </c>
      <c r="I1633" s="1232" t="s">
        <v>1738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 x14ac:dyDescent="0.25">
      <c r="B1634" s="715" t="s">
        <v>2002</v>
      </c>
      <c r="C1634" s="839" t="s">
        <v>3515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1648</v>
      </c>
      <c r="I1634" s="1229" t="s">
        <v>1739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 x14ac:dyDescent="0.25">
      <c r="B1635" s="715" t="s">
        <v>2001</v>
      </c>
      <c r="C1635" s="839" t="s">
        <v>3515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32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 x14ac:dyDescent="0.25">
      <c r="B1636" s="715" t="s">
        <v>2000</v>
      </c>
      <c r="C1636" s="839" t="s">
        <v>3515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1648</v>
      </c>
      <c r="I1636" s="1232" t="s">
        <v>1543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 x14ac:dyDescent="0.25">
      <c r="B1637" s="715" t="s">
        <v>1999</v>
      </c>
      <c r="C1637" s="839" t="s">
        <v>3515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1648</v>
      </c>
      <c r="I1637" s="1229" t="s">
        <v>1739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 x14ac:dyDescent="0.25">
      <c r="B1638" s="715" t="s">
        <v>1998</v>
      </c>
      <c r="C1638" s="839" t="s">
        <v>3515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1648</v>
      </c>
      <c r="I1638" s="1232" t="s">
        <v>1700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 x14ac:dyDescent="0.25">
      <c r="B1639" s="715" t="s">
        <v>1997</v>
      </c>
      <c r="C1639" s="839" t="s">
        <v>3515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1648</v>
      </c>
      <c r="I1639" s="1232" t="s">
        <v>1699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 x14ac:dyDescent="0.25">
      <c r="B1640" s="715" t="s">
        <v>1996</v>
      </c>
      <c r="C1640" s="839" t="s">
        <v>3515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1648</v>
      </c>
      <c r="I1640" s="1232" t="s">
        <v>1647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 x14ac:dyDescent="0.25">
      <c r="B1641" s="715" t="s">
        <v>1995</v>
      </c>
      <c r="C1641" s="839" t="s">
        <v>3515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4" t="s">
        <v>3370</v>
      </c>
      <c r="I1641" s="1232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 x14ac:dyDescent="0.25">
      <c r="B1642" s="715" t="s">
        <v>1994</v>
      </c>
      <c r="C1642" s="839" t="s">
        <v>3515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1648</v>
      </c>
      <c r="I1642" s="1232" t="s">
        <v>1738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 x14ac:dyDescent="0.25">
      <c r="B1643" s="715" t="s">
        <v>1993</v>
      </c>
      <c r="C1643" s="839" t="s">
        <v>3515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1648</v>
      </c>
      <c r="I1643" s="1232" t="s">
        <v>1697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 x14ac:dyDescent="0.25">
      <c r="B1644" s="715" t="s">
        <v>1992</v>
      </c>
      <c r="C1644" s="839" t="s">
        <v>3515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1648</v>
      </c>
      <c r="I1644" s="1232" t="s">
        <v>1645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 x14ac:dyDescent="0.25">
      <c r="B1645" s="715" t="s">
        <v>1991</v>
      </c>
      <c r="C1645" s="839" t="s">
        <v>3515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1648</v>
      </c>
      <c r="I1645" s="1232" t="s">
        <v>1645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 x14ac:dyDescent="0.25">
      <c r="B1646" s="715" t="s">
        <v>1990</v>
      </c>
      <c r="C1646" s="839" t="s">
        <v>3515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1648</v>
      </c>
      <c r="I1646" s="1232" t="s">
        <v>1738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 x14ac:dyDescent="0.25">
      <c r="B1647" s="715" t="s">
        <v>1989</v>
      </c>
      <c r="C1647" s="839" t="s">
        <v>3515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1648</v>
      </c>
      <c r="I1647" s="1232" t="s">
        <v>1543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 x14ac:dyDescent="0.25">
      <c r="B1648" s="715" t="s">
        <v>1988</v>
      </c>
      <c r="C1648" s="839" t="s">
        <v>3515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1648</v>
      </c>
      <c r="I1648" s="1232" t="s">
        <v>1645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 x14ac:dyDescent="0.25">
      <c r="B1649" s="715" t="s">
        <v>1987</v>
      </c>
      <c r="C1649" s="839" t="s">
        <v>3515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1648</v>
      </c>
      <c r="I1649" s="1232" t="s">
        <v>1645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 x14ac:dyDescent="0.25">
      <c r="B1650" s="715" t="s">
        <v>1986</v>
      </c>
      <c r="C1650" s="839" t="s">
        <v>3515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32" t="s">
        <v>1823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 x14ac:dyDescent="0.25">
      <c r="B1651" s="715" t="s">
        <v>1985</v>
      </c>
      <c r="C1651" s="839" t="s">
        <v>3515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1648</v>
      </c>
      <c r="I1651" s="1232" t="s">
        <v>1543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 x14ac:dyDescent="0.25">
      <c r="B1652" s="715" t="s">
        <v>1984</v>
      </c>
      <c r="C1652" s="839" t="s">
        <v>3515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32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 x14ac:dyDescent="0.25">
      <c r="B1653" s="715" t="s">
        <v>1983</v>
      </c>
      <c r="C1653" s="839" t="s">
        <v>3515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1648</v>
      </c>
      <c r="I1653" s="1232" t="s">
        <v>1699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 x14ac:dyDescent="0.25">
      <c r="B1654" s="715" t="s">
        <v>1982</v>
      </c>
      <c r="C1654" s="839" t="s">
        <v>3515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1648</v>
      </c>
      <c r="I1654" s="1232" t="s">
        <v>1700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 x14ac:dyDescent="0.25">
      <c r="B1655" s="715" t="s">
        <v>1981</v>
      </c>
      <c r="C1655" s="839" t="s">
        <v>3515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1648</v>
      </c>
      <c r="I1655" s="1232" t="s">
        <v>1645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 x14ac:dyDescent="0.25">
      <c r="B1656" s="715" t="s">
        <v>1980</v>
      </c>
      <c r="C1656" s="839" t="s">
        <v>3515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1648</v>
      </c>
      <c r="I1656" s="1232" t="s">
        <v>1647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 x14ac:dyDescent="0.25">
      <c r="B1657" s="715" t="s">
        <v>1979</v>
      </c>
      <c r="C1657" s="839" t="s">
        <v>3515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1648</v>
      </c>
      <c r="I1657" s="1232" t="s">
        <v>1740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 x14ac:dyDescent="0.25">
      <c r="B1658" s="715" t="s">
        <v>1978</v>
      </c>
      <c r="C1658" s="839" t="s">
        <v>3515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32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 x14ac:dyDescent="0.25">
      <c r="B1659" s="715" t="s">
        <v>1977</v>
      </c>
      <c r="C1659" s="839" t="s">
        <v>3515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1648</v>
      </c>
      <c r="I1659" s="1232" t="s">
        <v>1697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 x14ac:dyDescent="0.25">
      <c r="B1660" s="715" t="s">
        <v>1976</v>
      </c>
      <c r="C1660" s="839" t="s">
        <v>3515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1648</v>
      </c>
      <c r="I1660" s="1232" t="s">
        <v>1740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 x14ac:dyDescent="0.25">
      <c r="B1661" s="715" t="s">
        <v>1975</v>
      </c>
      <c r="C1661" s="839" t="s">
        <v>3515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1648</v>
      </c>
      <c r="I1661" s="1232" t="s">
        <v>1740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 x14ac:dyDescent="0.25">
      <c r="B1662" s="715" t="s">
        <v>1974</v>
      </c>
      <c r="C1662" s="839" t="s">
        <v>3515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1648</v>
      </c>
      <c r="I1662" s="1232" t="s">
        <v>1645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 x14ac:dyDescent="0.25">
      <c r="B1663" s="715" t="s">
        <v>1973</v>
      </c>
      <c r="C1663" s="839" t="s">
        <v>3515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4" t="s">
        <v>3370</v>
      </c>
      <c r="I1663" s="1232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 x14ac:dyDescent="0.25">
      <c r="B1664" s="715" t="s">
        <v>1972</v>
      </c>
      <c r="C1664" s="839" t="s">
        <v>3515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1648</v>
      </c>
      <c r="I1664" s="1232" t="s">
        <v>1543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 x14ac:dyDescent="0.25">
      <c r="B1665" s="715" t="s">
        <v>1971</v>
      </c>
      <c r="C1665" s="839" t="s">
        <v>3515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1648</v>
      </c>
      <c r="I1665" s="1232" t="s">
        <v>1543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 x14ac:dyDescent="0.25">
      <c r="B1666" s="715" t="s">
        <v>1970</v>
      </c>
      <c r="C1666" s="839" t="s">
        <v>3515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1648</v>
      </c>
      <c r="I1666" s="1232" t="s">
        <v>1774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 x14ac:dyDescent="0.25">
      <c r="B1667" s="715" t="s">
        <v>1969</v>
      </c>
      <c r="C1667" s="839" t="s">
        <v>3515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1648</v>
      </c>
      <c r="I1667" s="1232" t="s">
        <v>1543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 x14ac:dyDescent="0.25">
      <c r="B1668" s="715" t="s">
        <v>1968</v>
      </c>
      <c r="C1668" s="839" t="s">
        <v>3515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1648</v>
      </c>
      <c r="I1668" s="1232" t="s">
        <v>1543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 x14ac:dyDescent="0.25">
      <c r="B1669" s="715" t="s">
        <v>1967</v>
      </c>
      <c r="C1669" s="839" t="s">
        <v>3515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32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 x14ac:dyDescent="0.25">
      <c r="B1670" s="715" t="s">
        <v>1966</v>
      </c>
      <c r="C1670" s="839" t="s">
        <v>3515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4" t="s">
        <v>3370</v>
      </c>
      <c r="I1670" s="1232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 x14ac:dyDescent="0.25">
      <c r="B1671" s="715" t="s">
        <v>1965</v>
      </c>
      <c r="C1671" s="839" t="s">
        <v>3515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1648</v>
      </c>
      <c r="I1671" s="1232" t="s">
        <v>1739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 x14ac:dyDescent="0.25">
      <c r="B1672" s="715" t="s">
        <v>1964</v>
      </c>
      <c r="C1672" s="839" t="s">
        <v>3515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1648</v>
      </c>
      <c r="I1672" s="1232" t="s">
        <v>1697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 x14ac:dyDescent="0.25">
      <c r="B1673" s="715" t="s">
        <v>1963</v>
      </c>
      <c r="C1673" s="839" t="s">
        <v>3515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1540</v>
      </c>
      <c r="I1673" s="1232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 x14ac:dyDescent="0.25">
      <c r="B1674" s="715" t="s">
        <v>1962</v>
      </c>
      <c r="C1674" s="839" t="s">
        <v>3515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32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 x14ac:dyDescent="0.25">
      <c r="B1675" s="715" t="s">
        <v>1961</v>
      </c>
      <c r="C1675" s="839" t="s">
        <v>3515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1648</v>
      </c>
      <c r="I1675" s="1232" t="s">
        <v>1543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 x14ac:dyDescent="0.25">
      <c r="B1676" s="715" t="s">
        <v>1960</v>
      </c>
      <c r="C1676" s="839" t="s">
        <v>3515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32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 x14ac:dyDescent="0.25">
      <c r="B1677" s="715" t="s">
        <v>1959</v>
      </c>
      <c r="C1677" s="839" t="s">
        <v>3515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1648</v>
      </c>
      <c r="I1677" s="1232" t="s">
        <v>1774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 x14ac:dyDescent="0.25">
      <c r="B1678" s="715" t="s">
        <v>1958</v>
      </c>
      <c r="C1678" s="839" t="s">
        <v>3515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1648</v>
      </c>
      <c r="I1678" s="1232" t="s">
        <v>1645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 x14ac:dyDescent="0.25">
      <c r="B1679" s="715" t="s">
        <v>1957</v>
      </c>
      <c r="C1679" s="839" t="s">
        <v>3515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1648</v>
      </c>
      <c r="I1679" s="1232" t="s">
        <v>1697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 x14ac:dyDescent="0.25">
      <c r="B1680" s="715" t="s">
        <v>1956</v>
      </c>
      <c r="C1680" s="839" t="s">
        <v>3515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1648</v>
      </c>
      <c r="I1680" s="1232" t="s">
        <v>1739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 x14ac:dyDescent="0.25">
      <c r="B1681" s="715" t="s">
        <v>1955</v>
      </c>
      <c r="C1681" s="839" t="s">
        <v>3515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1648</v>
      </c>
      <c r="I1681" s="1232" t="s">
        <v>1543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 x14ac:dyDescent="0.25">
      <c r="B1682" s="715" t="s">
        <v>1954</v>
      </c>
      <c r="C1682" s="839" t="s">
        <v>3515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1648</v>
      </c>
      <c r="I1682" s="1232" t="s">
        <v>1740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 x14ac:dyDescent="0.25">
      <c r="B1683" s="715" t="s">
        <v>1953</v>
      </c>
      <c r="C1683" s="839" t="s">
        <v>3515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1648</v>
      </c>
      <c r="I1683" s="1232" t="s">
        <v>1740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 x14ac:dyDescent="0.25">
      <c r="B1684" s="715" t="s">
        <v>1952</v>
      </c>
      <c r="C1684" s="839" t="s">
        <v>3515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1648</v>
      </c>
      <c r="I1684" s="1232" t="s">
        <v>1647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 x14ac:dyDescent="0.25">
      <c r="B1685" s="715" t="s">
        <v>1951</v>
      </c>
      <c r="C1685" s="839" t="s">
        <v>3515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32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 x14ac:dyDescent="0.25">
      <c r="B1686" s="715" t="s">
        <v>1950</v>
      </c>
      <c r="C1686" s="839" t="s">
        <v>3515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1648</v>
      </c>
      <c r="I1686" s="1232" t="s">
        <v>1645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 x14ac:dyDescent="0.25">
      <c r="B1687" s="715" t="s">
        <v>1949</v>
      </c>
      <c r="C1687" s="839" t="s">
        <v>3515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32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1360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 x14ac:dyDescent="0.25">
      <c r="B1688" s="715" t="s">
        <v>1948</v>
      </c>
      <c r="C1688" s="839" t="s">
        <v>3515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32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 x14ac:dyDescent="0.25">
      <c r="B1689" s="715" t="s">
        <v>1947</v>
      </c>
      <c r="C1689" s="839" t="s">
        <v>3515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1648</v>
      </c>
      <c r="I1689" s="1232" t="s">
        <v>1645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 x14ac:dyDescent="0.25">
      <c r="B1690" s="715" t="s">
        <v>1946</v>
      </c>
      <c r="C1690" s="839" t="s">
        <v>3515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1648</v>
      </c>
      <c r="I1690" s="1232" t="s">
        <v>1756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 x14ac:dyDescent="0.25">
      <c r="B1691" s="715" t="s">
        <v>1945</v>
      </c>
      <c r="C1691" s="839" t="s">
        <v>3515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1648</v>
      </c>
      <c r="I1691" s="1232" t="s">
        <v>1543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 x14ac:dyDescent="0.25">
      <c r="B1692" s="715" t="s">
        <v>1944</v>
      </c>
      <c r="C1692" s="839" t="s">
        <v>3515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4" t="s">
        <v>3370</v>
      </c>
      <c r="I1692" s="1232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 x14ac:dyDescent="0.25">
      <c r="B1693" s="715" t="s">
        <v>1944</v>
      </c>
      <c r="C1693" s="839" t="s">
        <v>3515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1540</v>
      </c>
      <c r="I1693" s="1232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 x14ac:dyDescent="0.25">
      <c r="B1694" s="715" t="s">
        <v>1943</v>
      </c>
      <c r="C1694" s="839" t="s">
        <v>3515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1648</v>
      </c>
      <c r="I1694" s="1232" t="s">
        <v>1739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 x14ac:dyDescent="0.25">
      <c r="B1695" s="715" t="s">
        <v>1942</v>
      </c>
      <c r="C1695" s="839" t="s">
        <v>3515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1648</v>
      </c>
      <c r="I1695" s="1232" t="s">
        <v>1543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 x14ac:dyDescent="0.25">
      <c r="B1696" s="715" t="s">
        <v>1941</v>
      </c>
      <c r="C1696" s="839" t="s">
        <v>3515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1648</v>
      </c>
      <c r="I1696" s="1232" t="s">
        <v>1697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 x14ac:dyDescent="0.25">
      <c r="B1697" s="715" t="s">
        <v>1940</v>
      </c>
      <c r="C1697" s="839" t="s">
        <v>3515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4" t="s">
        <v>3370</v>
      </c>
      <c r="I1697" s="1232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1360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 x14ac:dyDescent="0.25">
      <c r="B1698" s="715" t="s">
        <v>1940</v>
      </c>
      <c r="C1698" s="839" t="s">
        <v>3515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1648</v>
      </c>
      <c r="I1698" s="1232" t="s">
        <v>1756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 x14ac:dyDescent="0.25">
      <c r="B1699" s="715" t="s">
        <v>1939</v>
      </c>
      <c r="C1699" s="839" t="s">
        <v>3515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1648</v>
      </c>
      <c r="I1699" s="1232" t="s">
        <v>1543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 x14ac:dyDescent="0.25">
      <c r="B1700" s="715" t="s">
        <v>1938</v>
      </c>
      <c r="C1700" s="839" t="s">
        <v>3515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1648</v>
      </c>
      <c r="I1700" s="1232" t="s">
        <v>1697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 x14ac:dyDescent="0.25">
      <c r="B1701" s="715" t="s">
        <v>1937</v>
      </c>
      <c r="C1701" s="839" t="s">
        <v>3515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1648</v>
      </c>
      <c r="I1701" s="1232" t="s">
        <v>1697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 x14ac:dyDescent="0.25">
      <c r="B1702" s="715" t="s">
        <v>1936</v>
      </c>
      <c r="C1702" s="839" t="s">
        <v>3515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32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1360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 x14ac:dyDescent="0.25">
      <c r="B1703" s="715" t="s">
        <v>1935</v>
      </c>
      <c r="C1703" s="839" t="s">
        <v>3515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1648</v>
      </c>
      <c r="I1703" s="1232" t="s">
        <v>1738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 x14ac:dyDescent="0.25">
      <c r="B1704" s="715" t="s">
        <v>1934</v>
      </c>
      <c r="C1704" s="839" t="s">
        <v>3515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4" t="s">
        <v>3370</v>
      </c>
      <c r="I1704" s="1232" t="s">
        <v>1577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1360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 x14ac:dyDescent="0.25">
      <c r="B1705" s="715" t="s">
        <v>1933</v>
      </c>
      <c r="C1705" s="839" t="s">
        <v>3515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1648</v>
      </c>
      <c r="I1705" s="1232" t="s">
        <v>1699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 x14ac:dyDescent="0.25">
      <c r="B1706" s="715" t="s">
        <v>1932</v>
      </c>
      <c r="C1706" s="839" t="s">
        <v>3515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1648</v>
      </c>
      <c r="I1706" s="1232" t="s">
        <v>1697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 x14ac:dyDescent="0.25">
      <c r="B1707" s="715" t="s">
        <v>1931</v>
      </c>
      <c r="C1707" s="839" t="s">
        <v>3515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32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 x14ac:dyDescent="0.25">
      <c r="B1708" s="715" t="s">
        <v>1930</v>
      </c>
      <c r="C1708" s="839" t="s">
        <v>3515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1648</v>
      </c>
      <c r="I1708" s="1232" t="s">
        <v>1697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 x14ac:dyDescent="0.25">
      <c r="B1709" s="715" t="s">
        <v>2068</v>
      </c>
      <c r="C1709" s="839" t="s">
        <v>3515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1648</v>
      </c>
      <c r="I1709" s="1232" t="s">
        <v>1739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 x14ac:dyDescent="0.25">
      <c r="B1710" s="715" t="s">
        <v>2067</v>
      </c>
      <c r="C1710" s="839" t="s">
        <v>3515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1648</v>
      </c>
      <c r="I1710" s="1232" t="s">
        <v>1739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 x14ac:dyDescent="0.25">
      <c r="B1711" s="715" t="s">
        <v>2066</v>
      </c>
      <c r="C1711" s="839" t="s">
        <v>3515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1648</v>
      </c>
      <c r="I1711" s="1232" t="s">
        <v>1543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 x14ac:dyDescent="0.25">
      <c r="B1712" s="715" t="s">
        <v>2065</v>
      </c>
      <c r="C1712" s="839" t="s">
        <v>3515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1648</v>
      </c>
      <c r="I1712" s="1232" t="s">
        <v>1740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 x14ac:dyDescent="0.25">
      <c r="B1713" s="715" t="s">
        <v>2064</v>
      </c>
      <c r="C1713" s="839" t="s">
        <v>3515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1648</v>
      </c>
      <c r="I1713" s="1232" t="s">
        <v>1774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 x14ac:dyDescent="0.25">
      <c r="B1714" s="715" t="s">
        <v>2063</v>
      </c>
      <c r="C1714" s="839" t="s">
        <v>3515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1648</v>
      </c>
      <c r="I1714" s="1232" t="s">
        <v>1543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 x14ac:dyDescent="0.25">
      <c r="B1715" s="715" t="s">
        <v>2062</v>
      </c>
      <c r="C1715" s="839" t="s">
        <v>3515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1648</v>
      </c>
      <c r="I1715" s="1232" t="s">
        <v>1697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 x14ac:dyDescent="0.25">
      <c r="B1716" s="715" t="s">
        <v>2061</v>
      </c>
      <c r="C1716" s="839" t="s">
        <v>3515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1648</v>
      </c>
      <c r="I1716" s="1232" t="s">
        <v>1739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 x14ac:dyDescent="0.25">
      <c r="B1717" s="715" t="s">
        <v>2060</v>
      </c>
      <c r="C1717" s="839" t="s">
        <v>3515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1648</v>
      </c>
      <c r="I1717" s="1232" t="s">
        <v>1697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 x14ac:dyDescent="0.25">
      <c r="B1718" s="715" t="s">
        <v>2059</v>
      </c>
      <c r="C1718" s="839" t="s">
        <v>3515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1648</v>
      </c>
      <c r="I1718" s="1232" t="s">
        <v>1739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 x14ac:dyDescent="0.25">
      <c r="B1719" s="715" t="s">
        <v>2058</v>
      </c>
      <c r="C1719" s="839" t="s">
        <v>3515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1648</v>
      </c>
      <c r="I1719" s="1232" t="s">
        <v>1774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 x14ac:dyDescent="0.25">
      <c r="B1720" s="715" t="s">
        <v>2057</v>
      </c>
      <c r="C1720" s="839" t="s">
        <v>3515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32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 x14ac:dyDescent="0.25">
      <c r="B1721" s="715" t="s">
        <v>2056</v>
      </c>
      <c r="C1721" s="839" t="s">
        <v>3515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1648</v>
      </c>
      <c r="I1721" s="1232" t="s">
        <v>1699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 x14ac:dyDescent="0.25">
      <c r="B1722" s="715" t="s">
        <v>2055</v>
      </c>
      <c r="C1722" s="839" t="s">
        <v>3515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1648</v>
      </c>
      <c r="I1722" s="1232" t="s">
        <v>1699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 x14ac:dyDescent="0.25">
      <c r="B1723" s="715" t="s">
        <v>2054</v>
      </c>
      <c r="C1723" s="839" t="s">
        <v>3515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1648</v>
      </c>
      <c r="I1723" s="1232" t="s">
        <v>1543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 x14ac:dyDescent="0.25">
      <c r="B1724" s="715" t="s">
        <v>2053</v>
      </c>
      <c r="C1724" s="839" t="s">
        <v>3515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1648</v>
      </c>
      <c r="I1724" s="1232" t="s">
        <v>1739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 x14ac:dyDescent="0.25">
      <c r="B1725" s="715" t="s">
        <v>2052</v>
      </c>
      <c r="C1725" s="839" t="s">
        <v>3515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1648</v>
      </c>
      <c r="I1725" s="1232" t="s">
        <v>1647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 x14ac:dyDescent="0.25">
      <c r="B1726" s="715" t="s">
        <v>2051</v>
      </c>
      <c r="C1726" s="839" t="s">
        <v>3515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1648</v>
      </c>
      <c r="I1726" s="1232" t="s">
        <v>1740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 x14ac:dyDescent="0.25">
      <c r="B1727" s="715" t="s">
        <v>2050</v>
      </c>
      <c r="C1727" s="839" t="s">
        <v>3515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32" t="s">
        <v>1823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 x14ac:dyDescent="0.25">
      <c r="B1728" s="715" t="s">
        <v>2049</v>
      </c>
      <c r="C1728" s="839" t="s">
        <v>3515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1648</v>
      </c>
      <c r="I1728" s="1232" t="s">
        <v>1697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 x14ac:dyDescent="0.25">
      <c r="B1729" s="715" t="s">
        <v>2048</v>
      </c>
      <c r="C1729" s="839" t="s">
        <v>3515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1648</v>
      </c>
      <c r="I1729" s="1232" t="s">
        <v>1543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 x14ac:dyDescent="0.25">
      <c r="B1730" s="715" t="s">
        <v>2047</v>
      </c>
      <c r="C1730" s="839" t="s">
        <v>3515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1648</v>
      </c>
      <c r="I1730" s="1232" t="s">
        <v>1774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 x14ac:dyDescent="0.25">
      <c r="B1731" s="715" t="s">
        <v>2046</v>
      </c>
      <c r="C1731" s="839" t="s">
        <v>3515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32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 x14ac:dyDescent="0.25">
      <c r="B1732" s="715" t="s">
        <v>2045</v>
      </c>
      <c r="C1732" s="839" t="s">
        <v>3515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32" t="s">
        <v>1823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 x14ac:dyDescent="0.25">
      <c r="B1733" s="715" t="s">
        <v>2044</v>
      </c>
      <c r="C1733" s="839" t="s">
        <v>3515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1648</v>
      </c>
      <c r="I1733" s="1232" t="s">
        <v>1647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 x14ac:dyDescent="0.25">
      <c r="B1734" s="715" t="s">
        <v>2043</v>
      </c>
      <c r="C1734" s="839" t="s">
        <v>3515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32" t="s">
        <v>1823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 x14ac:dyDescent="0.25">
      <c r="B1735" s="715" t="s">
        <v>2042</v>
      </c>
      <c r="C1735" s="839" t="s">
        <v>3515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1648</v>
      </c>
      <c r="I1735" s="1232" t="s">
        <v>1543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 x14ac:dyDescent="0.25">
      <c r="B1736" s="715" t="s">
        <v>2041</v>
      </c>
      <c r="C1736" s="839" t="s">
        <v>3515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1648</v>
      </c>
      <c r="I1736" s="1232" t="s">
        <v>1739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 x14ac:dyDescent="0.25">
      <c r="B1737" s="715" t="s">
        <v>2040</v>
      </c>
      <c r="C1737" s="839" t="s">
        <v>3515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1648</v>
      </c>
      <c r="I1737" s="1232" t="s">
        <v>1543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 x14ac:dyDescent="0.25">
      <c r="B1738" s="715" t="s">
        <v>2039</v>
      </c>
      <c r="C1738" s="839" t="s">
        <v>3515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1648</v>
      </c>
      <c r="I1738" s="1232" t="s">
        <v>1697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 x14ac:dyDescent="0.25">
      <c r="B1739" s="715" t="s">
        <v>2038</v>
      </c>
      <c r="C1739" s="839" t="s">
        <v>3515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1648</v>
      </c>
      <c r="I1739" s="1232" t="s">
        <v>1739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 x14ac:dyDescent="0.25">
      <c r="B1740" s="715" t="s">
        <v>2037</v>
      </c>
      <c r="C1740" s="839" t="s">
        <v>3515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1648</v>
      </c>
      <c r="I1740" s="1232" t="s">
        <v>1647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 x14ac:dyDescent="0.25">
      <c r="B1741" s="715" t="s">
        <v>2036</v>
      </c>
      <c r="C1741" s="839" t="s">
        <v>3515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4" t="s">
        <v>3370</v>
      </c>
      <c r="I1741" s="1232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 x14ac:dyDescent="0.25">
      <c r="B1742" s="715" t="s">
        <v>2035</v>
      </c>
      <c r="C1742" s="839" t="s">
        <v>3515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32" t="s">
        <v>1823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 x14ac:dyDescent="0.25">
      <c r="B1743" s="715" t="s">
        <v>2034</v>
      </c>
      <c r="C1743" s="839" t="s">
        <v>3515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1648</v>
      </c>
      <c r="I1743" s="1232" t="s">
        <v>1543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 x14ac:dyDescent="0.25">
      <c r="B1744" s="715" t="s">
        <v>2033</v>
      </c>
      <c r="C1744" s="839" t="s">
        <v>3515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1648</v>
      </c>
      <c r="I1744" s="1232" t="s">
        <v>1739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 x14ac:dyDescent="0.25">
      <c r="B1745" s="715" t="s">
        <v>2032</v>
      </c>
      <c r="C1745" s="839" t="s">
        <v>3515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32" t="s">
        <v>1823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 x14ac:dyDescent="0.25">
      <c r="B1746" s="715" t="s">
        <v>2031</v>
      </c>
      <c r="C1746" s="839" t="s">
        <v>3515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1648</v>
      </c>
      <c r="I1746" s="1232" t="s">
        <v>1697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 x14ac:dyDescent="0.25">
      <c r="B1747" s="715" t="s">
        <v>2030</v>
      </c>
      <c r="C1747" s="839" t="s">
        <v>3515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1648</v>
      </c>
      <c r="I1747" s="1232" t="s">
        <v>1543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 x14ac:dyDescent="0.25">
      <c r="B1748" s="715" t="s">
        <v>2029</v>
      </c>
      <c r="C1748" s="839" t="s">
        <v>3515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32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 x14ac:dyDescent="0.25">
      <c r="B1749" s="715" t="s">
        <v>2029</v>
      </c>
      <c r="C1749" s="839" t="s">
        <v>3515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1648</v>
      </c>
      <c r="I1749" s="1232" t="s">
        <v>1647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 x14ac:dyDescent="0.25">
      <c r="B1750" s="715" t="s">
        <v>2028</v>
      </c>
      <c r="C1750" s="839" t="s">
        <v>3515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32" t="s">
        <v>1823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 x14ac:dyDescent="0.25">
      <c r="B1751" s="715" t="s">
        <v>2027</v>
      </c>
      <c r="C1751" s="839" t="s">
        <v>3515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32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 x14ac:dyDescent="0.25">
      <c r="B1752" s="715" t="s">
        <v>2026</v>
      </c>
      <c r="C1752" s="839" t="s">
        <v>3515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1648</v>
      </c>
      <c r="I1752" s="1232" t="s">
        <v>1543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 x14ac:dyDescent="0.25">
      <c r="B1753" s="715" t="s">
        <v>2025</v>
      </c>
      <c r="C1753" s="839" t="s">
        <v>3515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4" t="s">
        <v>3370</v>
      </c>
      <c r="I1753" s="1232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 x14ac:dyDescent="0.25">
      <c r="B1754" s="715" t="s">
        <v>2024</v>
      </c>
      <c r="C1754" s="839" t="s">
        <v>3515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1648</v>
      </c>
      <c r="I1754" s="1232" t="s">
        <v>1543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 x14ac:dyDescent="0.25">
      <c r="B1755" s="715" t="s">
        <v>2024</v>
      </c>
      <c r="C1755" s="839" t="s">
        <v>3515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33" t="s">
        <v>1823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 x14ac:dyDescent="0.25">
      <c r="B1756" s="715" t="s">
        <v>2023</v>
      </c>
      <c r="C1756" s="839" t="s">
        <v>3515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32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 x14ac:dyDescent="0.25">
      <c r="B1757" s="715" t="s">
        <v>2022</v>
      </c>
      <c r="C1757" s="839" t="s">
        <v>3515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32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1360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 x14ac:dyDescent="0.25">
      <c r="B1758" s="715" t="s">
        <v>2021</v>
      </c>
      <c r="C1758" s="839" t="s">
        <v>3515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32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1360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 x14ac:dyDescent="0.25">
      <c r="B1759" s="715" t="s">
        <v>2020</v>
      </c>
      <c r="C1759" s="839" t="s">
        <v>3515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1648</v>
      </c>
      <c r="I1759" s="1232" t="s">
        <v>1738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 x14ac:dyDescent="0.25">
      <c r="B1760" s="715" t="s">
        <v>2019</v>
      </c>
      <c r="C1760" s="839" t="s">
        <v>3515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1648</v>
      </c>
      <c r="I1760" s="1232" t="s">
        <v>1756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 x14ac:dyDescent="0.25">
      <c r="B1761" s="715" t="s">
        <v>2018</v>
      </c>
      <c r="C1761" s="839" t="s">
        <v>3515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1648</v>
      </c>
      <c r="I1761" s="1232" t="s">
        <v>1699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 x14ac:dyDescent="0.25">
      <c r="B1762" s="715" t="s">
        <v>2018</v>
      </c>
      <c r="C1762" s="839" t="s">
        <v>3515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1648</v>
      </c>
      <c r="I1762" s="1232" t="s">
        <v>1756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 x14ac:dyDescent="0.25">
      <c r="B1763" s="715" t="s">
        <v>2018</v>
      </c>
      <c r="C1763" s="839" t="s">
        <v>3515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32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2069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 x14ac:dyDescent="0.25">
      <c r="B1764" s="715" t="s">
        <v>2017</v>
      </c>
      <c r="C1764" s="839" t="s">
        <v>3515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32" t="s">
        <v>1823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 x14ac:dyDescent="0.25">
      <c r="B1765" s="715" t="s">
        <v>2016</v>
      </c>
      <c r="C1765" s="839" t="s">
        <v>3515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1648</v>
      </c>
      <c r="I1765" s="1232" t="s">
        <v>1697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 x14ac:dyDescent="0.25">
      <c r="B1766" s="715" t="s">
        <v>2015</v>
      </c>
      <c r="C1766" s="839" t="s">
        <v>3515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1648</v>
      </c>
      <c r="I1766" s="1232" t="s">
        <v>1739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 x14ac:dyDescent="0.25">
      <c r="B1767" s="715" t="s">
        <v>2014</v>
      </c>
      <c r="C1767" s="839" t="s">
        <v>3515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1648</v>
      </c>
      <c r="I1767" s="1232" t="s">
        <v>1698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 x14ac:dyDescent="0.25">
      <c r="B1768" s="715" t="s">
        <v>2014</v>
      </c>
      <c r="C1768" s="839" t="s">
        <v>3515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1648</v>
      </c>
      <c r="I1768" s="1232" t="s">
        <v>1543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 x14ac:dyDescent="0.25">
      <c r="B1769" s="715" t="s">
        <v>2013</v>
      </c>
      <c r="C1769" s="839" t="s">
        <v>3515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1648</v>
      </c>
      <c r="I1769" s="1232" t="s">
        <v>1699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 x14ac:dyDescent="0.25">
      <c r="B1770" s="715" t="s">
        <v>2012</v>
      </c>
      <c r="C1770" s="839" t="s">
        <v>3515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32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 x14ac:dyDescent="0.25">
      <c r="B1771" s="715" t="s">
        <v>2080</v>
      </c>
      <c r="C1771" s="839" t="s">
        <v>3515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32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 x14ac:dyDescent="0.25">
      <c r="B1772" s="715" t="s">
        <v>2079</v>
      </c>
      <c r="C1772" s="839" t="s">
        <v>3515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1648</v>
      </c>
      <c r="I1772" s="1232" t="s">
        <v>1698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 x14ac:dyDescent="0.25">
      <c r="B1773" s="715" t="s">
        <v>2078</v>
      </c>
      <c r="C1773" s="839" t="s">
        <v>3515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1648</v>
      </c>
      <c r="I1773" s="1232" t="s">
        <v>1543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 x14ac:dyDescent="0.25">
      <c r="B1774" s="715" t="s">
        <v>1907</v>
      </c>
      <c r="C1774" s="839" t="s">
        <v>3515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32" t="s">
        <v>1823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 x14ac:dyDescent="0.25">
      <c r="B1775" s="715" t="s">
        <v>2077</v>
      </c>
      <c r="C1775" s="839" t="s">
        <v>3515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1648</v>
      </c>
      <c r="I1775" s="1232" t="s">
        <v>1645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 x14ac:dyDescent="0.25">
      <c r="B1776" s="715" t="s">
        <v>2076</v>
      </c>
      <c r="C1776" s="839" t="s">
        <v>3515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1648</v>
      </c>
      <c r="I1776" s="1232" t="s">
        <v>1697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 x14ac:dyDescent="0.25">
      <c r="B1777" s="715" t="s">
        <v>2075</v>
      </c>
      <c r="C1777" s="839" t="s">
        <v>3515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32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 x14ac:dyDescent="0.25">
      <c r="B1778" s="715" t="s">
        <v>2074</v>
      </c>
      <c r="C1778" s="839" t="s">
        <v>3515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1648</v>
      </c>
      <c r="I1778" s="1232" t="s">
        <v>1697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 x14ac:dyDescent="0.25">
      <c r="B1779" s="715" t="s">
        <v>2073</v>
      </c>
      <c r="C1779" s="839" t="s">
        <v>3515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32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 x14ac:dyDescent="0.25">
      <c r="B1780" s="715" t="s">
        <v>2072</v>
      </c>
      <c r="C1780" s="839" t="s">
        <v>3515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32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 x14ac:dyDescent="0.25">
      <c r="B1781" s="715" t="s">
        <v>2071</v>
      </c>
      <c r="C1781" s="839" t="s">
        <v>3515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1648</v>
      </c>
      <c r="I1781" s="1232" t="s">
        <v>1738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 x14ac:dyDescent="0.25">
      <c r="B1782" s="715" t="s">
        <v>2070</v>
      </c>
      <c r="C1782" s="839" t="s">
        <v>3515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1648</v>
      </c>
      <c r="I1782" s="1232" t="s">
        <v>1738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 x14ac:dyDescent="0.25">
      <c r="B1783" s="715" t="s">
        <v>2088</v>
      </c>
      <c r="C1783" s="839" t="s">
        <v>3515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1648</v>
      </c>
      <c r="I1783" s="1232" t="s">
        <v>1697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 x14ac:dyDescent="0.25">
      <c r="B1784" s="715" t="s">
        <v>2087</v>
      </c>
      <c r="C1784" s="839" t="s">
        <v>3515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1648</v>
      </c>
      <c r="I1784" s="1232" t="s">
        <v>1543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 x14ac:dyDescent="0.25">
      <c r="B1785" s="715" t="s">
        <v>2086</v>
      </c>
      <c r="C1785" s="839" t="s">
        <v>3515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1648</v>
      </c>
      <c r="I1785" s="1232" t="s">
        <v>1697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 x14ac:dyDescent="0.25">
      <c r="B1786" s="715" t="s">
        <v>2085</v>
      </c>
      <c r="C1786" s="839" t="s">
        <v>3515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1648</v>
      </c>
      <c r="I1786" s="1232" t="s">
        <v>1739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 x14ac:dyDescent="0.25">
      <c r="B1787" s="715" t="s">
        <v>2084</v>
      </c>
      <c r="C1787" s="839" t="s">
        <v>3515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32" t="s">
        <v>1823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 x14ac:dyDescent="0.25">
      <c r="B1788" s="715" t="s">
        <v>2083</v>
      </c>
      <c r="C1788" s="839" t="s">
        <v>3515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4" t="s">
        <v>3370</v>
      </c>
      <c r="I1788" s="1232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 x14ac:dyDescent="0.25">
      <c r="B1789" s="715" t="s">
        <v>2082</v>
      </c>
      <c r="C1789" s="839" t="s">
        <v>3515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32" t="s">
        <v>1823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 x14ac:dyDescent="0.25">
      <c r="B1790" s="715" t="s">
        <v>2081</v>
      </c>
      <c r="C1790" s="839" t="s">
        <v>3515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1648</v>
      </c>
      <c r="I1790" s="1232" t="s">
        <v>1739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 x14ac:dyDescent="0.25">
      <c r="B1791" s="715" t="s">
        <v>2091</v>
      </c>
      <c r="C1791" s="839" t="s">
        <v>3515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1648</v>
      </c>
      <c r="I1791" s="1232" t="s">
        <v>1543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 x14ac:dyDescent="0.25">
      <c r="B1792" s="715" t="s">
        <v>2090</v>
      </c>
      <c r="C1792" s="839" t="s">
        <v>3515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1648</v>
      </c>
      <c r="I1792" s="1232" t="s">
        <v>1543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 x14ac:dyDescent="0.25">
      <c r="B1793" s="715" t="s">
        <v>2089</v>
      </c>
      <c r="C1793" s="839" t="s">
        <v>3515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1648</v>
      </c>
      <c r="I1793" s="1232" t="s">
        <v>1756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 x14ac:dyDescent="0.25">
      <c r="B1794" s="715" t="s">
        <v>2093</v>
      </c>
      <c r="C1794" s="839" t="s">
        <v>3515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4" t="s">
        <v>3370</v>
      </c>
      <c r="I1794" s="1232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 x14ac:dyDescent="0.25">
      <c r="B1795" s="715" t="s">
        <v>2092</v>
      </c>
      <c r="C1795" s="839" t="s">
        <v>3515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1648</v>
      </c>
      <c r="I1795" s="1232" t="s">
        <v>1697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 x14ac:dyDescent="0.25">
      <c r="B1796" s="715" t="s">
        <v>2126</v>
      </c>
      <c r="C1796" s="839" t="s">
        <v>3515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2127</v>
      </c>
      <c r="I1796" s="1232" t="s">
        <v>1774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 x14ac:dyDescent="0.25">
      <c r="B1797" s="715" t="s">
        <v>2125</v>
      </c>
      <c r="C1797" s="839" t="s">
        <v>3515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2127</v>
      </c>
      <c r="I1797" s="1232" t="s">
        <v>1774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 x14ac:dyDescent="0.25">
      <c r="B1798" s="715" t="s">
        <v>2124</v>
      </c>
      <c r="C1798" s="839" t="s">
        <v>3515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2127</v>
      </c>
      <c r="I1798" s="1232" t="s">
        <v>1774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 x14ac:dyDescent="0.25">
      <c r="B1799" s="715" t="s">
        <v>2123</v>
      </c>
      <c r="C1799" s="839" t="s">
        <v>3515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2127</v>
      </c>
      <c r="I1799" s="1232" t="s">
        <v>1774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 x14ac:dyDescent="0.25">
      <c r="B1800" s="715" t="s">
        <v>2122</v>
      </c>
      <c r="C1800" s="839" t="s">
        <v>3515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2127</v>
      </c>
      <c r="I1800" s="1232" t="s">
        <v>1774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 x14ac:dyDescent="0.25">
      <c r="B1801" s="715" t="s">
        <v>2121</v>
      </c>
      <c r="C1801" s="839" t="s">
        <v>3515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2127</v>
      </c>
      <c r="I1801" s="1232" t="s">
        <v>1774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 x14ac:dyDescent="0.25">
      <c r="B1802" s="715" t="s">
        <v>2120</v>
      </c>
      <c r="C1802" s="839" t="s">
        <v>3515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2127</v>
      </c>
      <c r="I1802" s="1232" t="s">
        <v>2128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 x14ac:dyDescent="0.25">
      <c r="B1803" s="715" t="s">
        <v>2119</v>
      </c>
      <c r="C1803" s="839" t="s">
        <v>3515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1648</v>
      </c>
      <c r="I1803" s="1232" t="s">
        <v>1697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 x14ac:dyDescent="0.25">
      <c r="B1804" s="715" t="s">
        <v>2118</v>
      </c>
      <c r="C1804" s="839" t="s">
        <v>3515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2127</v>
      </c>
      <c r="I1804" s="1232" t="s">
        <v>2128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 x14ac:dyDescent="0.25">
      <c r="B1805" s="715" t="s">
        <v>2117</v>
      </c>
      <c r="C1805" s="839" t="s">
        <v>3515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1648</v>
      </c>
      <c r="I1805" s="1232" t="s">
        <v>1543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 x14ac:dyDescent="0.25">
      <c r="B1806" s="715" t="s">
        <v>2116</v>
      </c>
      <c r="C1806" s="839" t="s">
        <v>3515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2127</v>
      </c>
      <c r="I1806" s="1232" t="s">
        <v>1774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 x14ac:dyDescent="0.25">
      <c r="B1807" s="715" t="s">
        <v>2115</v>
      </c>
      <c r="C1807" s="839" t="s">
        <v>3515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32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 x14ac:dyDescent="0.25">
      <c r="B1808" s="715" t="s">
        <v>2114</v>
      </c>
      <c r="C1808" s="839" t="s">
        <v>3515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1648</v>
      </c>
      <c r="I1808" s="1232" t="s">
        <v>1645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 x14ac:dyDescent="0.25">
      <c r="B1809" s="715" t="s">
        <v>2113</v>
      </c>
      <c r="C1809" s="839" t="s">
        <v>3515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2127</v>
      </c>
      <c r="I1809" s="1232" t="s">
        <v>2128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 x14ac:dyDescent="0.25">
      <c r="B1810" s="715" t="s">
        <v>2112</v>
      </c>
      <c r="C1810" s="839" t="s">
        <v>3515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1648</v>
      </c>
      <c r="I1810" s="1232" t="s">
        <v>1543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 x14ac:dyDescent="0.25">
      <c r="B1811" s="715" t="s">
        <v>2111</v>
      </c>
      <c r="C1811" s="839" t="s">
        <v>3515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32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 x14ac:dyDescent="0.25">
      <c r="B1812" s="715" t="s">
        <v>2110</v>
      </c>
      <c r="C1812" s="839" t="s">
        <v>3515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1648</v>
      </c>
      <c r="I1812" s="1232" t="s">
        <v>1543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 x14ac:dyDescent="0.25">
      <c r="B1813" s="715" t="s">
        <v>2109</v>
      </c>
      <c r="C1813" s="839" t="s">
        <v>3515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1648</v>
      </c>
      <c r="I1813" s="1232" t="s">
        <v>1543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 x14ac:dyDescent="0.25">
      <c r="B1814" s="715" t="s">
        <v>2108</v>
      </c>
      <c r="C1814" s="839" t="s">
        <v>3515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32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 x14ac:dyDescent="0.25">
      <c r="B1815" s="715" t="s">
        <v>2107</v>
      </c>
      <c r="C1815" s="839" t="s">
        <v>3515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2127</v>
      </c>
      <c r="I1815" s="1232" t="s">
        <v>1774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 x14ac:dyDescent="0.25">
      <c r="B1816" s="715" t="s">
        <v>2106</v>
      </c>
      <c r="C1816" s="839" t="s">
        <v>3515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1648</v>
      </c>
      <c r="I1816" s="1232" t="s">
        <v>1774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 x14ac:dyDescent="0.25">
      <c r="B1817" s="715" t="s">
        <v>2105</v>
      </c>
      <c r="C1817" s="839" t="s">
        <v>3515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1648</v>
      </c>
      <c r="I1817" s="1232" t="s">
        <v>1543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 x14ac:dyDescent="0.25">
      <c r="B1818" s="715" t="s">
        <v>2104</v>
      </c>
      <c r="C1818" s="839" t="s">
        <v>3515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1648</v>
      </c>
      <c r="I1818" s="1232" t="s">
        <v>1740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 x14ac:dyDescent="0.25">
      <c r="B1819" s="715" t="s">
        <v>2103</v>
      </c>
      <c r="C1819" s="839" t="s">
        <v>3515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1648</v>
      </c>
      <c r="I1819" s="1232" t="s">
        <v>1697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 x14ac:dyDescent="0.25">
      <c r="B1820" s="715" t="s">
        <v>1881</v>
      </c>
      <c r="C1820" s="839" t="s">
        <v>3515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1648</v>
      </c>
      <c r="I1820" s="1232" t="s">
        <v>1698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 x14ac:dyDescent="0.25">
      <c r="B1821" s="715" t="s">
        <v>2102</v>
      </c>
      <c r="C1821" s="839" t="s">
        <v>3515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32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 x14ac:dyDescent="0.25">
      <c r="B1822" s="715" t="s">
        <v>2101</v>
      </c>
      <c r="C1822" s="839" t="s">
        <v>3515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1648</v>
      </c>
      <c r="I1822" s="1232" t="s">
        <v>1697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 x14ac:dyDescent="0.25">
      <c r="B1823" s="715" t="s">
        <v>2100</v>
      </c>
      <c r="C1823" s="839" t="s">
        <v>3515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1648</v>
      </c>
      <c r="I1823" s="1232" t="s">
        <v>1756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 x14ac:dyDescent="0.25">
      <c r="B1824" s="715" t="s">
        <v>2099</v>
      </c>
      <c r="C1824" s="839" t="s">
        <v>3515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1648</v>
      </c>
      <c r="I1824" s="1232" t="s">
        <v>1697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 x14ac:dyDescent="0.25">
      <c r="B1825" s="715" t="s">
        <v>2098</v>
      </c>
      <c r="C1825" s="839" t="s">
        <v>3515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1648</v>
      </c>
      <c r="I1825" s="1232" t="s">
        <v>1739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 x14ac:dyDescent="0.25">
      <c r="B1826" s="715" t="s">
        <v>2097</v>
      </c>
      <c r="C1826" s="839" t="s">
        <v>3515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4" t="s">
        <v>3370</v>
      </c>
      <c r="I1826" s="1232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2129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 x14ac:dyDescent="0.25">
      <c r="B1827" s="715" t="s">
        <v>2096</v>
      </c>
      <c r="C1827" s="839" t="s">
        <v>3515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1648</v>
      </c>
      <c r="I1827" s="1232" t="s">
        <v>1645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 x14ac:dyDescent="0.25">
      <c r="B1828" s="715" t="s">
        <v>1878</v>
      </c>
      <c r="C1828" s="839" t="s">
        <v>3515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1648</v>
      </c>
      <c r="I1828" s="1232" t="s">
        <v>1699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 x14ac:dyDescent="0.25">
      <c r="B1829" s="715" t="s">
        <v>1878</v>
      </c>
      <c r="C1829" s="839" t="s">
        <v>3515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2127</v>
      </c>
      <c r="I1829" s="1232" t="s">
        <v>2130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 x14ac:dyDescent="0.25">
      <c r="B1830" s="715" t="s">
        <v>1878</v>
      </c>
      <c r="C1830" s="839" t="s">
        <v>3515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32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 x14ac:dyDescent="0.25">
      <c r="B1831" s="715" t="s">
        <v>2095</v>
      </c>
      <c r="C1831" s="839" t="s">
        <v>3515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1648</v>
      </c>
      <c r="I1831" s="1232" t="s">
        <v>1697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 x14ac:dyDescent="0.25">
      <c r="B1832" s="715" t="s">
        <v>2094</v>
      </c>
      <c r="C1832" s="839" t="s">
        <v>3515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4" t="s">
        <v>3370</v>
      </c>
      <c r="I1832" s="1232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2131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 x14ac:dyDescent="0.25">
      <c r="B1833" s="715" t="s">
        <v>2206</v>
      </c>
      <c r="C1833" s="839" t="s">
        <v>3515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2127</v>
      </c>
      <c r="I1833" s="1232" t="s">
        <v>2128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 x14ac:dyDescent="0.25">
      <c r="B1834" s="715" t="s">
        <v>2205</v>
      </c>
      <c r="C1834" s="839" t="s">
        <v>3515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1648</v>
      </c>
      <c r="I1834" s="1232" t="s">
        <v>1543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 x14ac:dyDescent="0.25">
      <c r="B1835" s="715" t="s">
        <v>2204</v>
      </c>
      <c r="C1835" s="839" t="s">
        <v>3515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2127</v>
      </c>
      <c r="I1835" s="1232" t="s">
        <v>1774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 x14ac:dyDescent="0.25">
      <c r="B1836" s="715" t="s">
        <v>2203</v>
      </c>
      <c r="C1836" s="839" t="s">
        <v>3515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2127</v>
      </c>
      <c r="I1836" s="1232" t="s">
        <v>1774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 x14ac:dyDescent="0.25">
      <c r="B1837" s="715" t="s">
        <v>2202</v>
      </c>
      <c r="C1837" s="839" t="s">
        <v>3515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2127</v>
      </c>
      <c r="I1837" s="1232" t="s">
        <v>1774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 x14ac:dyDescent="0.25">
      <c r="B1838" s="715" t="s">
        <v>2201</v>
      </c>
      <c r="C1838" s="839" t="s">
        <v>3515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32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 x14ac:dyDescent="0.25">
      <c r="B1839" s="715" t="s">
        <v>2200</v>
      </c>
      <c r="C1839" s="839" t="s">
        <v>3515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32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 x14ac:dyDescent="0.25">
      <c r="B1840" s="715" t="s">
        <v>2199</v>
      </c>
      <c r="C1840" s="839" t="s">
        <v>3515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2127</v>
      </c>
      <c r="I1840" s="1232" t="s">
        <v>1774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 x14ac:dyDescent="0.25">
      <c r="B1841" s="715" t="s">
        <v>2198</v>
      </c>
      <c r="C1841" s="839" t="s">
        <v>3515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32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 x14ac:dyDescent="0.25">
      <c r="B1842" s="715" t="s">
        <v>2197</v>
      </c>
      <c r="C1842" s="839" t="s">
        <v>3515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2127</v>
      </c>
      <c r="I1842" s="1232" t="s">
        <v>1774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 x14ac:dyDescent="0.25">
      <c r="B1843" s="715" t="s">
        <v>2196</v>
      </c>
      <c r="C1843" s="839" t="s">
        <v>3515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2127</v>
      </c>
      <c r="I1843" s="1232" t="s">
        <v>2128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 x14ac:dyDescent="0.25">
      <c r="B1844" s="715" t="s">
        <v>2195</v>
      </c>
      <c r="C1844" s="839" t="s">
        <v>3515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1648</v>
      </c>
      <c r="I1844" s="1232" t="s">
        <v>1645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 x14ac:dyDescent="0.25">
      <c r="B1845" s="715" t="s">
        <v>2194</v>
      </c>
      <c r="C1845" s="839" t="s">
        <v>3515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1648</v>
      </c>
      <c r="I1845" s="1232" t="s">
        <v>1543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 x14ac:dyDescent="0.25">
      <c r="B1846" s="715" t="s">
        <v>2193</v>
      </c>
      <c r="C1846" s="839" t="s">
        <v>3515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1648</v>
      </c>
      <c r="I1846" s="1232" t="s">
        <v>1774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 x14ac:dyDescent="0.25">
      <c r="B1847" s="715" t="s">
        <v>2192</v>
      </c>
      <c r="C1847" s="839" t="s">
        <v>3515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2127</v>
      </c>
      <c r="I1847" s="1232" t="s">
        <v>1774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 x14ac:dyDescent="0.25">
      <c r="B1848" s="715" t="s">
        <v>2191</v>
      </c>
      <c r="C1848" s="839" t="s">
        <v>3515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2127</v>
      </c>
      <c r="I1848" s="1232" t="s">
        <v>1774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 x14ac:dyDescent="0.25">
      <c r="B1849" s="715" t="s">
        <v>2190</v>
      </c>
      <c r="C1849" s="839" t="s">
        <v>3515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1648</v>
      </c>
      <c r="I1849" s="1232" t="s">
        <v>1645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 x14ac:dyDescent="0.25">
      <c r="B1850" s="715" t="s">
        <v>2189</v>
      </c>
      <c r="C1850" s="839" t="s">
        <v>3515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1648</v>
      </c>
      <c r="I1850" s="1232" t="s">
        <v>1697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 x14ac:dyDescent="0.25">
      <c r="B1851" s="715" t="s">
        <v>2188</v>
      </c>
      <c r="C1851" s="839" t="s">
        <v>3515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2127</v>
      </c>
      <c r="I1851" s="1232" t="s">
        <v>2128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 x14ac:dyDescent="0.25">
      <c r="B1852" s="715" t="s">
        <v>2187</v>
      </c>
      <c r="C1852" s="839" t="s">
        <v>3515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1648</v>
      </c>
      <c r="I1852" s="1232" t="s">
        <v>1698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 x14ac:dyDescent="0.25">
      <c r="B1853" s="715" t="s">
        <v>2186</v>
      </c>
      <c r="C1853" s="839" t="s">
        <v>3515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2127</v>
      </c>
      <c r="I1853" s="1232" t="s">
        <v>1774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 x14ac:dyDescent="0.25">
      <c r="B1854" s="715" t="s">
        <v>2185</v>
      </c>
      <c r="C1854" s="839" t="s">
        <v>3515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1648</v>
      </c>
      <c r="I1854" s="1232" t="s">
        <v>1739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 x14ac:dyDescent="0.25">
      <c r="B1855" s="715" t="s">
        <v>2184</v>
      </c>
      <c r="C1855" s="839" t="s">
        <v>3515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32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 x14ac:dyDescent="0.25">
      <c r="B1856" s="715" t="s">
        <v>2184</v>
      </c>
      <c r="C1856" s="839" t="s">
        <v>3515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1648</v>
      </c>
      <c r="I1856" s="1232" t="s">
        <v>1647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 x14ac:dyDescent="0.25">
      <c r="B1857" s="715" t="s">
        <v>2183</v>
      </c>
      <c r="C1857" s="839" t="s">
        <v>3515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1648</v>
      </c>
      <c r="I1857" s="1232" t="s">
        <v>1645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 x14ac:dyDescent="0.25">
      <c r="B1858" s="715" t="s">
        <v>2181</v>
      </c>
      <c r="C1858" s="839" t="s">
        <v>3515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1648</v>
      </c>
      <c r="I1858" s="1232" t="s">
        <v>1700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 x14ac:dyDescent="0.25">
      <c r="B1859" s="715" t="s">
        <v>2182</v>
      </c>
      <c r="C1859" s="839" t="s">
        <v>3515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2127</v>
      </c>
      <c r="I1859" s="1232" t="s">
        <v>2128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 x14ac:dyDescent="0.25">
      <c r="B1860" s="715" t="s">
        <v>2180</v>
      </c>
      <c r="C1860" s="839" t="s">
        <v>3515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32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 x14ac:dyDescent="0.25">
      <c r="B1861" s="715" t="s">
        <v>2179</v>
      </c>
      <c r="C1861" s="839" t="s">
        <v>3515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1648</v>
      </c>
      <c r="I1861" s="1232" t="s">
        <v>1739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 x14ac:dyDescent="0.25">
      <c r="B1862" s="715" t="s">
        <v>2178</v>
      </c>
      <c r="C1862" s="839" t="s">
        <v>3515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2127</v>
      </c>
      <c r="I1862" s="1232" t="s">
        <v>1774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 x14ac:dyDescent="0.25">
      <c r="B1863" s="715" t="s">
        <v>2177</v>
      </c>
      <c r="C1863" s="839" t="s">
        <v>3515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1648</v>
      </c>
      <c r="I1863" s="1232" t="s">
        <v>1739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 x14ac:dyDescent="0.25">
      <c r="B1864" s="715" t="s">
        <v>2176</v>
      </c>
      <c r="C1864" s="839" t="s">
        <v>3515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2127</v>
      </c>
      <c r="I1864" s="1232" t="s">
        <v>1774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 x14ac:dyDescent="0.25">
      <c r="B1865" s="715" t="s">
        <v>2175</v>
      </c>
      <c r="C1865" s="839" t="s">
        <v>3515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1648</v>
      </c>
      <c r="I1865" s="1232" t="s">
        <v>1774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 x14ac:dyDescent="0.25">
      <c r="B1866" s="715" t="s">
        <v>2174</v>
      </c>
      <c r="C1866" s="839" t="s">
        <v>3515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2127</v>
      </c>
      <c r="I1866" s="1232" t="s">
        <v>1774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 x14ac:dyDescent="0.25">
      <c r="B1867" s="715" t="s">
        <v>2173</v>
      </c>
      <c r="C1867" s="839" t="s">
        <v>3515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2127</v>
      </c>
      <c r="I1867" s="1232" t="s">
        <v>1774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 x14ac:dyDescent="0.25">
      <c r="B1868" s="715" t="s">
        <v>2172</v>
      </c>
      <c r="C1868" s="839" t="s">
        <v>3515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1540</v>
      </c>
      <c r="I1868" s="1232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 x14ac:dyDescent="0.25">
      <c r="B1869" s="715" t="s">
        <v>2171</v>
      </c>
      <c r="C1869" s="839" t="s">
        <v>3515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32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 x14ac:dyDescent="0.25">
      <c r="B1870" s="715" t="s">
        <v>1874</v>
      </c>
      <c r="C1870" s="839" t="s">
        <v>3515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1540</v>
      </c>
      <c r="I1870" s="1232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 x14ac:dyDescent="0.25">
      <c r="B1871" s="715" t="s">
        <v>1874</v>
      </c>
      <c r="C1871" s="839" t="s">
        <v>3515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4" t="s">
        <v>3370</v>
      </c>
      <c r="I1871" s="1232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 x14ac:dyDescent="0.25">
      <c r="B1872" s="715" t="s">
        <v>2170</v>
      </c>
      <c r="C1872" s="839" t="s">
        <v>3515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1648</v>
      </c>
      <c r="I1872" s="1232" t="s">
        <v>1738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 x14ac:dyDescent="0.25">
      <c r="B1873" s="715" t="s">
        <v>2169</v>
      </c>
      <c r="C1873" s="839" t="s">
        <v>3515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1648</v>
      </c>
      <c r="I1873" s="1232" t="s">
        <v>1645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 x14ac:dyDescent="0.25">
      <c r="B1874" s="715" t="s">
        <v>2168</v>
      </c>
      <c r="C1874" s="839" t="s">
        <v>3515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32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 x14ac:dyDescent="0.25">
      <c r="B1875" s="715" t="s">
        <v>2167</v>
      </c>
      <c r="C1875" s="839" t="s">
        <v>3515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1648</v>
      </c>
      <c r="I1875" s="1232" t="s">
        <v>1739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 x14ac:dyDescent="0.25">
      <c r="B1876" s="715" t="s">
        <v>1873</v>
      </c>
      <c r="C1876" s="839" t="s">
        <v>3515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2127</v>
      </c>
      <c r="I1876" s="1232" t="s">
        <v>1774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 x14ac:dyDescent="0.25">
      <c r="B1877" s="715" t="s">
        <v>2166</v>
      </c>
      <c r="C1877" s="839" t="s">
        <v>3515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32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 x14ac:dyDescent="0.25">
      <c r="B1878" s="715" t="s">
        <v>2165</v>
      </c>
      <c r="C1878" s="839" t="s">
        <v>3515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4" t="s">
        <v>3370</v>
      </c>
      <c r="I1878" s="1232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 x14ac:dyDescent="0.25">
      <c r="B1879" s="715" t="s">
        <v>2164</v>
      </c>
      <c r="C1879" s="839" t="s">
        <v>3515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2127</v>
      </c>
      <c r="I1879" s="1232" t="s">
        <v>1774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 x14ac:dyDescent="0.25">
      <c r="B1880" s="715" t="s">
        <v>2163</v>
      </c>
      <c r="C1880" s="839" t="s">
        <v>3515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1648</v>
      </c>
      <c r="I1880" s="1232" t="s">
        <v>1543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 x14ac:dyDescent="0.25">
      <c r="B1881" s="715" t="s">
        <v>2162</v>
      </c>
      <c r="C1881" s="839" t="s">
        <v>3515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2127</v>
      </c>
      <c r="I1881" s="1232" t="s">
        <v>1774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 x14ac:dyDescent="0.25">
      <c r="B1882" s="715" t="s">
        <v>2161</v>
      </c>
      <c r="C1882" s="839" t="s">
        <v>3515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2127</v>
      </c>
      <c r="I1882" s="1232" t="s">
        <v>1774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 x14ac:dyDescent="0.25">
      <c r="B1883" s="715" t="s">
        <v>2160</v>
      </c>
      <c r="C1883" s="839" t="s">
        <v>3515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1648</v>
      </c>
      <c r="I1883" s="1232" t="s">
        <v>1697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 x14ac:dyDescent="0.25">
      <c r="B1884" s="715" t="s">
        <v>2159</v>
      </c>
      <c r="C1884" s="839" t="s">
        <v>3515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1648</v>
      </c>
      <c r="I1884" s="1232" t="s">
        <v>1697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 x14ac:dyDescent="0.25">
      <c r="B1885" s="715" t="s">
        <v>2158</v>
      </c>
      <c r="C1885" s="839" t="s">
        <v>3515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2127</v>
      </c>
      <c r="I1885" s="1232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 x14ac:dyDescent="0.25">
      <c r="B1886" s="715" t="s">
        <v>2157</v>
      </c>
      <c r="C1886" s="839" t="s">
        <v>3515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2127</v>
      </c>
      <c r="I1886" s="1232" t="s">
        <v>2128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 x14ac:dyDescent="0.25">
      <c r="B1887" s="715" t="s">
        <v>2156</v>
      </c>
      <c r="C1887" s="839" t="s">
        <v>3515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1648</v>
      </c>
      <c r="I1887" s="1232" t="s">
        <v>1647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 x14ac:dyDescent="0.25">
      <c r="B1888" s="715" t="s">
        <v>2155</v>
      </c>
      <c r="C1888" s="839" t="s">
        <v>3515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2127</v>
      </c>
      <c r="I1888" s="1232" t="s">
        <v>2128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 x14ac:dyDescent="0.25">
      <c r="B1889" s="715" t="s">
        <v>2154</v>
      </c>
      <c r="C1889" s="839" t="s">
        <v>3515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2127</v>
      </c>
      <c r="I1889" s="1232" t="s">
        <v>2128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 x14ac:dyDescent="0.25">
      <c r="B1890" s="715" t="s">
        <v>2153</v>
      </c>
      <c r="C1890" s="839" t="s">
        <v>3515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1648</v>
      </c>
      <c r="I1890" s="1232" t="s">
        <v>1697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 x14ac:dyDescent="0.25">
      <c r="B1891" s="715" t="s">
        <v>2152</v>
      </c>
      <c r="C1891" s="839" t="s">
        <v>3515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1648</v>
      </c>
      <c r="I1891" s="1232" t="s">
        <v>1700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 x14ac:dyDescent="0.25">
      <c r="B1892" s="715" t="s">
        <v>2151</v>
      </c>
      <c r="C1892" s="839" t="s">
        <v>3515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2127</v>
      </c>
      <c r="I1892" s="1232" t="s">
        <v>2128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 x14ac:dyDescent="0.25">
      <c r="B1893" s="715" t="s">
        <v>2150</v>
      </c>
      <c r="C1893" s="839" t="s">
        <v>3515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1648</v>
      </c>
      <c r="I1893" s="1232" t="s">
        <v>1645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 x14ac:dyDescent="0.25">
      <c r="B1894" s="715" t="s">
        <v>2149</v>
      </c>
      <c r="C1894" s="839" t="s">
        <v>3515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32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 x14ac:dyDescent="0.25">
      <c r="B1895" s="715" t="s">
        <v>2148</v>
      </c>
      <c r="C1895" s="839" t="s">
        <v>3515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2127</v>
      </c>
      <c r="I1895" s="1232" t="s">
        <v>2128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 x14ac:dyDescent="0.25">
      <c r="B1896" s="715" t="s">
        <v>2147</v>
      </c>
      <c r="C1896" s="839" t="s">
        <v>3515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1648</v>
      </c>
      <c r="I1896" s="1232" t="s">
        <v>1739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 x14ac:dyDescent="0.25">
      <c r="B1897" s="715" t="s">
        <v>2146</v>
      </c>
      <c r="C1897" s="839" t="s">
        <v>3515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1648</v>
      </c>
      <c r="I1897" s="1232" t="s">
        <v>1543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 x14ac:dyDescent="0.25">
      <c r="B1898" s="715" t="s">
        <v>2145</v>
      </c>
      <c r="C1898" s="839" t="s">
        <v>3515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1648</v>
      </c>
      <c r="I1898" s="1232" t="s">
        <v>1697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 x14ac:dyDescent="0.25">
      <c r="B1899" s="715" t="s">
        <v>2144</v>
      </c>
      <c r="C1899" s="839" t="s">
        <v>3515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1648</v>
      </c>
      <c r="I1899" s="1232" t="s">
        <v>1738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 x14ac:dyDescent="0.25">
      <c r="B1900" s="715" t="s">
        <v>2143</v>
      </c>
      <c r="C1900" s="839" t="s">
        <v>3515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2127</v>
      </c>
      <c r="I1900" s="1232" t="s">
        <v>2128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 x14ac:dyDescent="0.25">
      <c r="B1901" s="715" t="s">
        <v>2142</v>
      </c>
      <c r="C1901" s="839" t="s">
        <v>3515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1648</v>
      </c>
      <c r="I1901" s="1232" t="s">
        <v>1543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 x14ac:dyDescent="0.25">
      <c r="B1902" s="715" t="s">
        <v>2141</v>
      </c>
      <c r="C1902" s="839" t="s">
        <v>3515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1648</v>
      </c>
      <c r="I1902" s="1232" t="s">
        <v>1543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 x14ac:dyDescent="0.25">
      <c r="B1903" s="715" t="s">
        <v>2140</v>
      </c>
      <c r="C1903" s="839" t="s">
        <v>3515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1648</v>
      </c>
      <c r="I1903" s="1232" t="s">
        <v>1697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 x14ac:dyDescent="0.25">
      <c r="B1904" s="715" t="s">
        <v>2139</v>
      </c>
      <c r="C1904" s="839" t="s">
        <v>3515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2127</v>
      </c>
      <c r="I1904" s="1232" t="s">
        <v>1774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 x14ac:dyDescent="0.25">
      <c r="B1905" s="715" t="s">
        <v>2138</v>
      </c>
      <c r="C1905" s="839" t="s">
        <v>3515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1648</v>
      </c>
      <c r="I1905" s="1232" t="s">
        <v>1697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 x14ac:dyDescent="0.25">
      <c r="B1906" s="715" t="s">
        <v>1871</v>
      </c>
      <c r="C1906" s="839" t="s">
        <v>3515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1648</v>
      </c>
      <c r="I1906" s="1232" t="s">
        <v>2207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 x14ac:dyDescent="0.25">
      <c r="B1907" s="715" t="s">
        <v>2137</v>
      </c>
      <c r="C1907" s="839" t="s">
        <v>3515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1648</v>
      </c>
      <c r="I1907" s="1232" t="s">
        <v>1697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 x14ac:dyDescent="0.25">
      <c r="B1908" s="715" t="s">
        <v>2136</v>
      </c>
      <c r="C1908" s="839" t="s">
        <v>3515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1648</v>
      </c>
      <c r="I1908" s="1232" t="s">
        <v>2207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 x14ac:dyDescent="0.25">
      <c r="B1909" s="715" t="s">
        <v>2135</v>
      </c>
      <c r="C1909" s="839" t="s">
        <v>3515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32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 x14ac:dyDescent="0.25">
      <c r="B1910" s="715" t="s">
        <v>2135</v>
      </c>
      <c r="C1910" s="839" t="s">
        <v>3515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1648</v>
      </c>
      <c r="I1910" s="1232" t="s">
        <v>2207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 x14ac:dyDescent="0.25">
      <c r="B1911" s="715" t="s">
        <v>2134</v>
      </c>
      <c r="C1911" s="839" t="s">
        <v>3515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1648</v>
      </c>
      <c r="I1911" s="1232" t="s">
        <v>2207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 x14ac:dyDescent="0.25">
      <c r="B1912" s="715" t="s">
        <v>2133</v>
      </c>
      <c r="C1912" s="839" t="s">
        <v>3515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1648</v>
      </c>
      <c r="I1912" s="1232" t="s">
        <v>1698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 x14ac:dyDescent="0.25">
      <c r="B1913" s="715" t="s">
        <v>2132</v>
      </c>
      <c r="C1913" s="839" t="s">
        <v>3515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2127</v>
      </c>
      <c r="I1913" s="1232" t="s">
        <v>1774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 x14ac:dyDescent="0.25">
      <c r="B1914" s="715" t="s">
        <v>2276</v>
      </c>
      <c r="C1914" s="839" t="s">
        <v>3515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2127</v>
      </c>
      <c r="I1914" s="1232" t="s">
        <v>2128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 x14ac:dyDescent="0.25">
      <c r="B1915" s="715" t="s">
        <v>2275</v>
      </c>
      <c r="C1915" s="839" t="s">
        <v>3515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1648</v>
      </c>
      <c r="I1915" s="1232" t="s">
        <v>2207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 x14ac:dyDescent="0.25">
      <c r="B1916" s="715" t="s">
        <v>2274</v>
      </c>
      <c r="C1916" s="839" t="s">
        <v>3515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1648</v>
      </c>
      <c r="I1916" s="1232" t="s">
        <v>2207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 x14ac:dyDescent="0.25">
      <c r="B1917" s="715" t="s">
        <v>2273</v>
      </c>
      <c r="C1917" s="839" t="s">
        <v>3515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1648</v>
      </c>
      <c r="I1917" s="1232" t="s">
        <v>1738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 x14ac:dyDescent="0.25">
      <c r="B1918" s="715" t="s">
        <v>2272</v>
      </c>
      <c r="C1918" s="839" t="s">
        <v>3515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1648</v>
      </c>
      <c r="I1918" s="1232" t="s">
        <v>1697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 x14ac:dyDescent="0.25">
      <c r="B1919" s="715" t="s">
        <v>2271</v>
      </c>
      <c r="C1919" s="839" t="s">
        <v>3515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1648</v>
      </c>
      <c r="I1919" s="1232" t="s">
        <v>2207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 x14ac:dyDescent="0.25">
      <c r="B1920" s="715" t="s">
        <v>2270</v>
      </c>
      <c r="C1920" s="839" t="s">
        <v>3515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1648</v>
      </c>
      <c r="I1920" s="1232" t="s">
        <v>1543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 x14ac:dyDescent="0.25">
      <c r="B1921" s="715" t="s">
        <v>2269</v>
      </c>
      <c r="C1921" s="839" t="s">
        <v>3515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1648</v>
      </c>
      <c r="I1921" s="1232" t="s">
        <v>1543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 x14ac:dyDescent="0.25">
      <c r="B1922" s="715" t="s">
        <v>2268</v>
      </c>
      <c r="C1922" s="839" t="s">
        <v>3515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2127</v>
      </c>
      <c r="I1922" s="1232" t="s">
        <v>2130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 x14ac:dyDescent="0.25">
      <c r="B1923" s="715" t="s">
        <v>2267</v>
      </c>
      <c r="C1923" s="839" t="s">
        <v>3515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2127</v>
      </c>
      <c r="I1923" s="1232" t="s">
        <v>2128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 x14ac:dyDescent="0.25">
      <c r="B1924" s="715" t="s">
        <v>2266</v>
      </c>
      <c r="C1924" s="839" t="s">
        <v>3515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1648</v>
      </c>
      <c r="I1924" s="1232" t="s">
        <v>1739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 x14ac:dyDescent="0.25">
      <c r="B1925" s="715" t="s">
        <v>2265</v>
      </c>
      <c r="C1925" s="839" t="s">
        <v>3515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2127</v>
      </c>
      <c r="I1925" s="1232" t="s">
        <v>2128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 x14ac:dyDescent="0.25">
      <c r="B1926" s="715" t="s">
        <v>2264</v>
      </c>
      <c r="C1926" s="839" t="s">
        <v>3515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1648</v>
      </c>
      <c r="I1926" s="1232" t="s">
        <v>1739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 x14ac:dyDescent="0.25">
      <c r="B1927" s="715" t="s">
        <v>2263</v>
      </c>
      <c r="C1927" s="839" t="s">
        <v>3515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2127</v>
      </c>
      <c r="I1927" s="1232" t="s">
        <v>1774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 x14ac:dyDescent="0.25">
      <c r="B1928" s="715" t="s">
        <v>2262</v>
      </c>
      <c r="C1928" s="839" t="s">
        <v>3515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2127</v>
      </c>
      <c r="I1928" s="1232" t="s">
        <v>2128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 x14ac:dyDescent="0.25">
      <c r="B1929" s="715" t="s">
        <v>2261</v>
      </c>
      <c r="C1929" s="839" t="s">
        <v>3515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1648</v>
      </c>
      <c r="I1929" s="1232" t="s">
        <v>1739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 x14ac:dyDescent="0.25">
      <c r="B1930" s="715" t="s">
        <v>2260</v>
      </c>
      <c r="C1930" s="839" t="s">
        <v>3515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1648</v>
      </c>
      <c r="I1930" s="1232" t="s">
        <v>2207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 x14ac:dyDescent="0.25">
      <c r="B1931" s="715" t="s">
        <v>2259</v>
      </c>
      <c r="C1931" s="839" t="s">
        <v>3515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1648</v>
      </c>
      <c r="I1931" s="1232" t="s">
        <v>1543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 x14ac:dyDescent="0.25">
      <c r="B1932" s="715" t="s">
        <v>2258</v>
      </c>
      <c r="C1932" s="839" t="s">
        <v>3515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1648</v>
      </c>
      <c r="I1932" s="1232" t="s">
        <v>2207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 x14ac:dyDescent="0.25">
      <c r="B1933" s="715" t="s">
        <v>2257</v>
      </c>
      <c r="C1933" s="839" t="s">
        <v>3515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1648</v>
      </c>
      <c r="I1933" s="1232" t="s">
        <v>1740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 x14ac:dyDescent="0.25">
      <c r="B1934" s="715" t="s">
        <v>2256</v>
      </c>
      <c r="C1934" s="839" t="s">
        <v>3515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2127</v>
      </c>
      <c r="I1934" s="1232" t="s">
        <v>1774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 x14ac:dyDescent="0.25">
      <c r="B1935" s="715" t="s">
        <v>2255</v>
      </c>
      <c r="C1935" s="839" t="s">
        <v>3515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1648</v>
      </c>
      <c r="I1935" s="1232" t="s">
        <v>1697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 x14ac:dyDescent="0.25">
      <c r="B1936" s="715" t="s">
        <v>2254</v>
      </c>
      <c r="C1936" s="839" t="s">
        <v>3515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1648</v>
      </c>
      <c r="I1936" s="1232" t="s">
        <v>1697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 x14ac:dyDescent="0.25">
      <c r="B1937" s="715" t="s">
        <v>2253</v>
      </c>
      <c r="C1937" s="839" t="s">
        <v>3515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1648</v>
      </c>
      <c r="I1937" s="1232" t="s">
        <v>2207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 x14ac:dyDescent="0.25">
      <c r="B1938" s="715" t="s">
        <v>2252</v>
      </c>
      <c r="C1938" s="839" t="s">
        <v>3515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1648</v>
      </c>
      <c r="I1938" s="1232" t="s">
        <v>1697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 x14ac:dyDescent="0.25">
      <c r="B1939" s="715" t="s">
        <v>2251</v>
      </c>
      <c r="C1939" s="839" t="s">
        <v>3515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1648</v>
      </c>
      <c r="I1939" s="1232" t="s">
        <v>1756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 x14ac:dyDescent="0.25">
      <c r="B1940" s="715" t="s">
        <v>2250</v>
      </c>
      <c r="C1940" s="839" t="s">
        <v>3515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1648</v>
      </c>
      <c r="I1940" s="1232" t="s">
        <v>1543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 x14ac:dyDescent="0.25">
      <c r="B1941" s="715" t="s">
        <v>2249</v>
      </c>
      <c r="C1941" s="839" t="s">
        <v>3515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1648</v>
      </c>
      <c r="I1941" s="1232" t="s">
        <v>1647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 x14ac:dyDescent="0.25">
      <c r="B1942" s="715" t="s">
        <v>2248</v>
      </c>
      <c r="C1942" s="839" t="s">
        <v>3515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1648</v>
      </c>
      <c r="I1942" s="1232" t="s">
        <v>1645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 x14ac:dyDescent="0.25">
      <c r="B1943" s="715" t="s">
        <v>2247</v>
      </c>
      <c r="C1943" s="839" t="s">
        <v>3515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32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 x14ac:dyDescent="0.25">
      <c r="B1944" s="715" t="s">
        <v>2246</v>
      </c>
      <c r="C1944" s="839" t="s">
        <v>3515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32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 x14ac:dyDescent="0.25">
      <c r="B1945" s="715" t="s">
        <v>2244</v>
      </c>
      <c r="C1945" s="839" t="s">
        <v>3515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1648</v>
      </c>
      <c r="I1945" s="1232" t="s">
        <v>1647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 x14ac:dyDescent="0.25">
      <c r="B1946" s="715" t="s">
        <v>2245</v>
      </c>
      <c r="C1946" s="839" t="s">
        <v>3515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1648</v>
      </c>
      <c r="I1946" s="1232" t="s">
        <v>1645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 x14ac:dyDescent="0.25">
      <c r="B1947" s="715" t="s">
        <v>2243</v>
      </c>
      <c r="C1947" s="839" t="s">
        <v>3515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1648</v>
      </c>
      <c r="I1947" s="1232" t="s">
        <v>1774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 x14ac:dyDescent="0.25">
      <c r="B1948" s="715" t="s">
        <v>1867</v>
      </c>
      <c r="C1948" s="839" t="s">
        <v>3515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2127</v>
      </c>
      <c r="I1948" s="1232" t="s">
        <v>1774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 x14ac:dyDescent="0.25">
      <c r="B1949" s="715" t="s">
        <v>1867</v>
      </c>
      <c r="C1949" s="839" t="s">
        <v>3515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1648</v>
      </c>
      <c r="I1949" s="1232" t="s">
        <v>1774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 x14ac:dyDescent="0.25">
      <c r="B1950" s="715" t="s">
        <v>2242</v>
      </c>
      <c r="C1950" s="839" t="s">
        <v>3515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1648</v>
      </c>
      <c r="I1950" s="1232" t="s">
        <v>1543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 x14ac:dyDescent="0.25">
      <c r="B1951" s="715" t="s">
        <v>2241</v>
      </c>
      <c r="C1951" s="839" t="s">
        <v>3515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1648</v>
      </c>
      <c r="I1951" s="1232" t="s">
        <v>1543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 x14ac:dyDescent="0.25">
      <c r="B1952" s="715" t="s">
        <v>2240</v>
      </c>
      <c r="C1952" s="839" t="s">
        <v>3515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1648</v>
      </c>
      <c r="I1952" s="1232" t="s">
        <v>1697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 x14ac:dyDescent="0.25">
      <c r="B1953" s="715" t="s">
        <v>2239</v>
      </c>
      <c r="C1953" s="839" t="s">
        <v>3515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1648</v>
      </c>
      <c r="I1953" s="1232" t="s">
        <v>1543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 x14ac:dyDescent="0.25">
      <c r="B1954" s="715" t="s">
        <v>2238</v>
      </c>
      <c r="C1954" s="839" t="s">
        <v>3515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2127</v>
      </c>
      <c r="I1954" s="1232" t="s">
        <v>2128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 x14ac:dyDescent="0.25">
      <c r="B1955" s="715" t="s">
        <v>2237</v>
      </c>
      <c r="C1955" s="839" t="s">
        <v>3515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1648</v>
      </c>
      <c r="I1955" s="1232" t="s">
        <v>1738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 x14ac:dyDescent="0.25">
      <c r="B1956" s="715" t="s">
        <v>2236</v>
      </c>
      <c r="C1956" s="839" t="s">
        <v>3515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2127</v>
      </c>
      <c r="I1956" s="1232" t="s">
        <v>2128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 x14ac:dyDescent="0.25">
      <c r="B1957" s="715" t="s">
        <v>2235</v>
      </c>
      <c r="C1957" s="839" t="s">
        <v>3515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2127</v>
      </c>
      <c r="I1957" s="1232" t="s">
        <v>2130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 x14ac:dyDescent="0.25">
      <c r="B1958" s="715" t="s">
        <v>2234</v>
      </c>
      <c r="C1958" s="839" t="s">
        <v>3515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2127</v>
      </c>
      <c r="I1958" s="1232" t="s">
        <v>2128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 x14ac:dyDescent="0.25">
      <c r="B1959" s="715" t="s">
        <v>2233</v>
      </c>
      <c r="C1959" s="839" t="s">
        <v>3515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1648</v>
      </c>
      <c r="I1959" s="1232" t="s">
        <v>1543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 x14ac:dyDescent="0.25">
      <c r="B1960" s="715" t="s">
        <v>2232</v>
      </c>
      <c r="C1960" s="839" t="s">
        <v>3515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1648</v>
      </c>
      <c r="I1960" s="1232" t="s">
        <v>1739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 x14ac:dyDescent="0.25">
      <c r="B1961" s="715" t="s">
        <v>2231</v>
      </c>
      <c r="C1961" s="839" t="s">
        <v>3515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1648</v>
      </c>
      <c r="I1961" s="1232" t="s">
        <v>1740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 x14ac:dyDescent="0.25">
      <c r="B1962" s="715" t="s">
        <v>2230</v>
      </c>
      <c r="C1962" s="839" t="s">
        <v>3515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1648</v>
      </c>
      <c r="I1962" s="1232" t="s">
        <v>1543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 x14ac:dyDescent="0.25">
      <c r="B1963" s="715" t="s">
        <v>2229</v>
      </c>
      <c r="C1963" s="839" t="s">
        <v>3515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1648</v>
      </c>
      <c r="I1963" s="1232" t="s">
        <v>1740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 x14ac:dyDescent="0.25">
      <c r="B1964" s="715" t="s">
        <v>2228</v>
      </c>
      <c r="C1964" s="839" t="s">
        <v>3515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2127</v>
      </c>
      <c r="I1964" s="1232" t="s">
        <v>2128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 x14ac:dyDescent="0.25">
      <c r="B1965" s="715" t="s">
        <v>2227</v>
      </c>
      <c r="C1965" s="839" t="s">
        <v>3515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1648</v>
      </c>
      <c r="I1965" s="1232" t="s">
        <v>1543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 x14ac:dyDescent="0.25">
      <c r="B1966" s="715" t="s">
        <v>2226</v>
      </c>
      <c r="C1966" s="839" t="s">
        <v>3515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1648</v>
      </c>
      <c r="I1966" s="1232" t="s">
        <v>1697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 x14ac:dyDescent="0.25">
      <c r="B1967" s="715" t="s">
        <v>2225</v>
      </c>
      <c r="C1967" s="839" t="s">
        <v>3515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32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 x14ac:dyDescent="0.25">
      <c r="B1968" s="715" t="s">
        <v>2224</v>
      </c>
      <c r="C1968" s="839" t="s">
        <v>3515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1648</v>
      </c>
      <c r="I1968" s="1232" t="s">
        <v>1697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 x14ac:dyDescent="0.25">
      <c r="B1969" s="715" t="s">
        <v>2223</v>
      </c>
      <c r="C1969" s="839" t="s">
        <v>3515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1648</v>
      </c>
      <c r="I1969" s="1232" t="s">
        <v>1543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 x14ac:dyDescent="0.25">
      <c r="B1970" s="715" t="s">
        <v>1859</v>
      </c>
      <c r="C1970" s="839" t="s">
        <v>3515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2127</v>
      </c>
      <c r="I1970" s="1232" t="s">
        <v>1774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 x14ac:dyDescent="0.25">
      <c r="B1971" s="715" t="s">
        <v>1859</v>
      </c>
      <c r="C1971" s="839" t="s">
        <v>3515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1648</v>
      </c>
      <c r="I1971" s="1232" t="s">
        <v>1774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 x14ac:dyDescent="0.25">
      <c r="B1972" s="715" t="s">
        <v>2222</v>
      </c>
      <c r="C1972" s="839" t="s">
        <v>3515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32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 x14ac:dyDescent="0.25">
      <c r="B1973" s="715" t="s">
        <v>2221</v>
      </c>
      <c r="C1973" s="839" t="s">
        <v>3515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1648</v>
      </c>
      <c r="I1973" s="1232" t="s">
        <v>1645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 x14ac:dyDescent="0.25">
      <c r="B1974" s="715" t="s">
        <v>2220</v>
      </c>
      <c r="C1974" s="839" t="s">
        <v>3515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1648</v>
      </c>
      <c r="I1974" s="1232" t="s">
        <v>1738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 x14ac:dyDescent="0.25">
      <c r="B1975" s="715" t="s">
        <v>2219</v>
      </c>
      <c r="C1975" s="839" t="s">
        <v>3515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1648</v>
      </c>
      <c r="I1975" s="1232" t="s">
        <v>1699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 x14ac:dyDescent="0.25">
      <c r="B1976" s="715" t="s">
        <v>2218</v>
      </c>
      <c r="C1976" s="839" t="s">
        <v>3515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2127</v>
      </c>
      <c r="I1976" s="1232" t="s">
        <v>2128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 x14ac:dyDescent="0.25">
      <c r="B1977" s="715" t="s">
        <v>2217</v>
      </c>
      <c r="C1977" s="839" t="s">
        <v>3515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2127</v>
      </c>
      <c r="I1977" s="1232" t="s">
        <v>1774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 x14ac:dyDescent="0.25">
      <c r="B1978" s="715" t="s">
        <v>2216</v>
      </c>
      <c r="C1978" s="839" t="s">
        <v>3515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1648</v>
      </c>
      <c r="I1978" s="1232" t="s">
        <v>1774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 x14ac:dyDescent="0.25">
      <c r="B1979" s="715" t="s">
        <v>2215</v>
      </c>
      <c r="C1979" s="839" t="s">
        <v>3515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1648</v>
      </c>
      <c r="I1979" s="1232" t="s">
        <v>1738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 x14ac:dyDescent="0.25">
      <c r="B1980" s="715" t="s">
        <v>2214</v>
      </c>
      <c r="C1980" s="839" t="s">
        <v>3515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1648</v>
      </c>
      <c r="I1980" s="1232" t="s">
        <v>2277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 x14ac:dyDescent="0.25">
      <c r="B1981" s="715" t="s">
        <v>2213</v>
      </c>
      <c r="C1981" s="839" t="s">
        <v>3515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2127</v>
      </c>
      <c r="I1981" s="1232" t="s">
        <v>2128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 x14ac:dyDescent="0.25">
      <c r="B1982" s="715" t="s">
        <v>2212</v>
      </c>
      <c r="C1982" s="839" t="s">
        <v>3515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1648</v>
      </c>
      <c r="I1982" s="1232" t="s">
        <v>1697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 x14ac:dyDescent="0.25">
      <c r="B1983" s="715" t="s">
        <v>2211</v>
      </c>
      <c r="C1983" s="839" t="s">
        <v>3515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32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 x14ac:dyDescent="0.25">
      <c r="B1984" s="715" t="s">
        <v>2210</v>
      </c>
      <c r="C1984" s="839" t="s">
        <v>3515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1648</v>
      </c>
      <c r="I1984" s="1232" t="s">
        <v>1697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 x14ac:dyDescent="0.25">
      <c r="B1985" s="715" t="s">
        <v>2209</v>
      </c>
      <c r="C1985" s="839" t="s">
        <v>3515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32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 x14ac:dyDescent="0.25">
      <c r="B1986" s="716" t="s">
        <v>2306</v>
      </c>
      <c r="C1986" s="839" t="s">
        <v>3515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2127</v>
      </c>
      <c r="I1986" s="1232" t="s">
        <v>1774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 x14ac:dyDescent="0.25">
      <c r="B1987" s="716" t="s">
        <v>2305</v>
      </c>
      <c r="C1987" s="839" t="s">
        <v>3515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1648</v>
      </c>
      <c r="I1987" s="1232" t="s">
        <v>1697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 x14ac:dyDescent="0.25">
      <c r="B1988" s="716" t="s">
        <v>2304</v>
      </c>
      <c r="C1988" s="839" t="s">
        <v>3515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1648</v>
      </c>
      <c r="I1988" s="1232" t="s">
        <v>1738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 x14ac:dyDescent="0.25">
      <c r="B1989" s="716" t="s">
        <v>2303</v>
      </c>
      <c r="C1989" s="839" t="s">
        <v>3515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2127</v>
      </c>
      <c r="I1989" s="1232" t="s">
        <v>1774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 x14ac:dyDescent="0.25">
      <c r="B1990" s="716" t="s">
        <v>2302</v>
      </c>
      <c r="C1990" s="839" t="s">
        <v>3515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2127</v>
      </c>
      <c r="I1990" s="1232" t="s">
        <v>1774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 x14ac:dyDescent="0.25">
      <c r="B1991" s="716" t="s">
        <v>2301</v>
      </c>
      <c r="C1991" s="839" t="s">
        <v>3515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1648</v>
      </c>
      <c r="I1991" s="1232" t="s">
        <v>1774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 x14ac:dyDescent="0.25">
      <c r="B1992" s="716" t="s">
        <v>2300</v>
      </c>
      <c r="C1992" s="839" t="s">
        <v>3515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2127</v>
      </c>
      <c r="I1992" s="1233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 x14ac:dyDescent="0.25">
      <c r="B1993" s="716" t="s">
        <v>2299</v>
      </c>
      <c r="C1993" s="839" t="s">
        <v>3515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2127</v>
      </c>
      <c r="I1993" s="1233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 x14ac:dyDescent="0.25">
      <c r="B1994" s="716" t="s">
        <v>2298</v>
      </c>
      <c r="C1994" s="839" t="s">
        <v>3515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1648</v>
      </c>
      <c r="I1994" s="1233" t="s">
        <v>1543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 x14ac:dyDescent="0.25">
      <c r="B1995" s="716" t="s">
        <v>2297</v>
      </c>
      <c r="C1995" s="839" t="s">
        <v>3515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1648</v>
      </c>
      <c r="I1995" s="1232" t="s">
        <v>1697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 x14ac:dyDescent="0.25">
      <c r="B1996" s="716" t="s">
        <v>2296</v>
      </c>
      <c r="C1996" s="839" t="s">
        <v>3515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1648</v>
      </c>
      <c r="I1996" s="1233" t="s">
        <v>1739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 x14ac:dyDescent="0.25">
      <c r="B1997" s="716" t="s">
        <v>2295</v>
      </c>
      <c r="C1997" s="839" t="s">
        <v>3515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2127</v>
      </c>
      <c r="I1997" s="1233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 x14ac:dyDescent="0.25">
      <c r="B1998" s="716" t="s">
        <v>2294</v>
      </c>
      <c r="C1998" s="839" t="s">
        <v>3515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4" t="s">
        <v>3370</v>
      </c>
      <c r="I1998" s="1233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419" t="s">
        <v>2409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 x14ac:dyDescent="0.25">
      <c r="B1999" s="716" t="s">
        <v>2294</v>
      </c>
      <c r="C1999" s="839" t="s">
        <v>3515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1648</v>
      </c>
      <c r="I1999" s="1233" t="s">
        <v>1699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 x14ac:dyDescent="0.25">
      <c r="B2000" s="716" t="s">
        <v>2293</v>
      </c>
      <c r="C2000" s="839" t="s">
        <v>3515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2127</v>
      </c>
      <c r="I2000" s="1233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 x14ac:dyDescent="0.25">
      <c r="B2001" s="716" t="s">
        <v>2292</v>
      </c>
      <c r="C2001" s="839" t="s">
        <v>3515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1648</v>
      </c>
      <c r="I2001" s="1232" t="s">
        <v>1697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 x14ac:dyDescent="0.25">
      <c r="B2002" s="716" t="s">
        <v>2291</v>
      </c>
      <c r="C2002" s="839" t="s">
        <v>3515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1648</v>
      </c>
      <c r="I2002" s="1233" t="s">
        <v>1543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 x14ac:dyDescent="0.25">
      <c r="B2003" s="716" t="s">
        <v>2290</v>
      </c>
      <c r="C2003" s="839" t="s">
        <v>3515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2127</v>
      </c>
      <c r="I2003" s="1233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 x14ac:dyDescent="0.25">
      <c r="B2004" s="716" t="s">
        <v>2289</v>
      </c>
      <c r="C2004" s="839" t="s">
        <v>3515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1648</v>
      </c>
      <c r="I2004" s="1232" t="s">
        <v>1774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 x14ac:dyDescent="0.25">
      <c r="B2005" s="716" t="s">
        <v>2288</v>
      </c>
      <c r="C2005" s="839" t="s">
        <v>3515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1648</v>
      </c>
      <c r="I2005" s="1233" t="s">
        <v>2307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 x14ac:dyDescent="0.25">
      <c r="B2006" s="716" t="s">
        <v>2287</v>
      </c>
      <c r="C2006" s="839" t="s">
        <v>3515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1648</v>
      </c>
      <c r="I2006" s="1233" t="s">
        <v>2307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 x14ac:dyDescent="0.25">
      <c r="B2007" s="716" t="s">
        <v>2287</v>
      </c>
      <c r="C2007" s="839" t="s">
        <v>3515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2127</v>
      </c>
      <c r="I2007" s="1233" t="s">
        <v>2128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 x14ac:dyDescent="0.25">
      <c r="B2008" s="716" t="s">
        <v>2286</v>
      </c>
      <c r="C2008" s="839" t="s">
        <v>3515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1648</v>
      </c>
      <c r="I2008" s="1232" t="s">
        <v>1697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 x14ac:dyDescent="0.25">
      <c r="B2009" s="716" t="s">
        <v>2285</v>
      </c>
      <c r="C2009" s="839" t="s">
        <v>3515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33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 x14ac:dyDescent="0.25">
      <c r="B2010" s="716" t="s">
        <v>2284</v>
      </c>
      <c r="C2010" s="839" t="s">
        <v>3515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1648</v>
      </c>
      <c r="I2010" s="1233" t="s">
        <v>1740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 x14ac:dyDescent="0.25">
      <c r="B2011" s="716" t="s">
        <v>2283</v>
      </c>
      <c r="C2011" s="839" t="s">
        <v>3515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33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 x14ac:dyDescent="0.25">
      <c r="B2012" s="716" t="s">
        <v>2282</v>
      </c>
      <c r="C2012" s="839" t="s">
        <v>3515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1648</v>
      </c>
      <c r="I2012" s="1233" t="s">
        <v>2307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 x14ac:dyDescent="0.25">
      <c r="B2013" s="716" t="s">
        <v>2281</v>
      </c>
      <c r="C2013" s="839" t="s">
        <v>3515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1648</v>
      </c>
      <c r="I2013" s="1232" t="s">
        <v>1697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 x14ac:dyDescent="0.25">
      <c r="B2014" s="716" t="s">
        <v>2280</v>
      </c>
      <c r="C2014" s="839" t="s">
        <v>3515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1648</v>
      </c>
      <c r="I2014" s="1233" t="s">
        <v>1739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 x14ac:dyDescent="0.25">
      <c r="B2015" s="716" t="s">
        <v>2279</v>
      </c>
      <c r="C2015" s="839" t="s">
        <v>3515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1648</v>
      </c>
      <c r="I2015" s="1233" t="s">
        <v>1699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 x14ac:dyDescent="0.25">
      <c r="B2016" s="716" t="s">
        <v>2278</v>
      </c>
      <c r="C2016" s="839" t="s">
        <v>3515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1648</v>
      </c>
      <c r="I2016" s="1233" t="s">
        <v>2277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 x14ac:dyDescent="0.25">
      <c r="B2017" s="717" t="s">
        <v>2336</v>
      </c>
      <c r="C2017" s="839" t="s">
        <v>3515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1648</v>
      </c>
      <c r="I2017" s="1234" t="s">
        <v>1774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 x14ac:dyDescent="0.25">
      <c r="B2018" s="717" t="s">
        <v>2335</v>
      </c>
      <c r="C2018" s="839" t="s">
        <v>3515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2127</v>
      </c>
      <c r="I2018" s="1234" t="s">
        <v>1774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 x14ac:dyDescent="0.25">
      <c r="B2019" s="717" t="s">
        <v>2334</v>
      </c>
      <c r="C2019" s="839" t="s">
        <v>3515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1648</v>
      </c>
      <c r="I2019" s="1232" t="s">
        <v>1697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 x14ac:dyDescent="0.25">
      <c r="B2020" s="717" t="s">
        <v>2333</v>
      </c>
      <c r="C2020" s="839" t="s">
        <v>3515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2127</v>
      </c>
      <c r="I2020" s="1234" t="s">
        <v>1774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 x14ac:dyDescent="0.25">
      <c r="B2021" s="717" t="s">
        <v>2332</v>
      </c>
      <c r="C2021" s="839" t="s">
        <v>3515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1648</v>
      </c>
      <c r="I2021" s="1234" t="s">
        <v>2337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 x14ac:dyDescent="0.25">
      <c r="B2022" s="717" t="s">
        <v>2331</v>
      </c>
      <c r="C2022" s="839" t="s">
        <v>3515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33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 x14ac:dyDescent="0.25">
      <c r="B2023" s="717" t="s">
        <v>2330</v>
      </c>
      <c r="C2023" s="839" t="s">
        <v>3515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1648</v>
      </c>
      <c r="I2023" s="1234" t="s">
        <v>1699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 x14ac:dyDescent="0.25">
      <c r="B2024" s="717" t="s">
        <v>2329</v>
      </c>
      <c r="C2024" s="839" t="s">
        <v>3515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2127</v>
      </c>
      <c r="I2024" s="1234" t="s">
        <v>1774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 x14ac:dyDescent="0.25">
      <c r="B2025" s="717" t="s">
        <v>2328</v>
      </c>
      <c r="C2025" s="839" t="s">
        <v>3515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2127</v>
      </c>
      <c r="I2025" s="1234" t="s">
        <v>1774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 x14ac:dyDescent="0.25">
      <c r="B2026" s="717" t="s">
        <v>2327</v>
      </c>
      <c r="C2026" s="839" t="s">
        <v>3515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1648</v>
      </c>
      <c r="I2026" s="1234" t="s">
        <v>1647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 x14ac:dyDescent="0.25">
      <c r="B2027" s="717" t="s">
        <v>2326</v>
      </c>
      <c r="C2027" s="839" t="s">
        <v>3515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33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 x14ac:dyDescent="0.25">
      <c r="B2028" s="717" t="s">
        <v>2325</v>
      </c>
      <c r="C2028" s="839" t="s">
        <v>3515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34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 x14ac:dyDescent="0.25">
      <c r="B2029" s="717" t="s">
        <v>2325</v>
      </c>
      <c r="C2029" s="839" t="s">
        <v>3515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1648</v>
      </c>
      <c r="I2029" s="1232" t="s">
        <v>1697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 x14ac:dyDescent="0.25">
      <c r="B2030" s="717" t="s">
        <v>2324</v>
      </c>
      <c r="C2030" s="839" t="s">
        <v>3515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1648</v>
      </c>
      <c r="I2030" s="1234" t="s">
        <v>1739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 x14ac:dyDescent="0.25">
      <c r="B2031" s="717" t="s">
        <v>2323</v>
      </c>
      <c r="C2031" s="839" t="s">
        <v>3515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34" t="s">
        <v>1823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 x14ac:dyDescent="0.25">
      <c r="B2032" s="717" t="s">
        <v>2322</v>
      </c>
      <c r="C2032" s="839" t="s">
        <v>3515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34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 x14ac:dyDescent="0.25">
      <c r="B2033" s="717" t="s">
        <v>2321</v>
      </c>
      <c r="C2033" s="839" t="s">
        <v>3515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1648</v>
      </c>
      <c r="I2033" s="1232" t="s">
        <v>1697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 x14ac:dyDescent="0.25">
      <c r="B2034" s="717" t="s">
        <v>2321</v>
      </c>
      <c r="C2034" s="839" t="s">
        <v>3515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34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2922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 x14ac:dyDescent="0.25">
      <c r="B2035" s="717" t="s">
        <v>2320</v>
      </c>
      <c r="C2035" s="839" t="s">
        <v>3515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2127</v>
      </c>
      <c r="I2035" s="1234" t="s">
        <v>2128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 x14ac:dyDescent="0.25">
      <c r="B2036" s="717" t="s">
        <v>2319</v>
      </c>
      <c r="C2036" s="839" t="s">
        <v>3515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2127</v>
      </c>
      <c r="I2036" s="1234" t="s">
        <v>2128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 x14ac:dyDescent="0.25">
      <c r="B2037" s="717" t="s">
        <v>2318</v>
      </c>
      <c r="C2037" s="839" t="s">
        <v>3515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1648</v>
      </c>
      <c r="I2037" s="1232" t="s">
        <v>1697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 x14ac:dyDescent="0.25">
      <c r="B2038" s="717" t="s">
        <v>2317</v>
      </c>
      <c r="C2038" s="839" t="s">
        <v>3515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1648</v>
      </c>
      <c r="I2038" s="1233" t="s">
        <v>2277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 x14ac:dyDescent="0.25">
      <c r="B2039" s="717" t="s">
        <v>2316</v>
      </c>
      <c r="C2039" s="839" t="s">
        <v>3515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1648</v>
      </c>
      <c r="I2039" s="1232" t="s">
        <v>1697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 x14ac:dyDescent="0.25">
      <c r="B2040" s="717" t="s">
        <v>2315</v>
      </c>
      <c r="C2040" s="839" t="s">
        <v>3515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1648</v>
      </c>
      <c r="I2040" s="1234" t="s">
        <v>2338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 x14ac:dyDescent="0.25">
      <c r="B2041" s="717" t="s">
        <v>2314</v>
      </c>
      <c r="C2041" s="839" t="s">
        <v>3515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1648</v>
      </c>
      <c r="I2041" s="1234" t="s">
        <v>1543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 x14ac:dyDescent="0.25">
      <c r="B2042" s="717" t="s">
        <v>2313</v>
      </c>
      <c r="C2042" s="839" t="s">
        <v>3515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1648</v>
      </c>
      <c r="I2042" s="1234" t="s">
        <v>1543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 x14ac:dyDescent="0.25">
      <c r="B2043" s="717" t="s">
        <v>2312</v>
      </c>
      <c r="C2043" s="839" t="s">
        <v>3515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1648</v>
      </c>
      <c r="I2043" s="1232" t="s">
        <v>1697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 x14ac:dyDescent="0.25">
      <c r="B2044" s="717" t="s">
        <v>2311</v>
      </c>
      <c r="C2044" s="839" t="s">
        <v>3515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1648</v>
      </c>
      <c r="I2044" s="1234" t="s">
        <v>1543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 x14ac:dyDescent="0.25">
      <c r="B2045" s="718" t="s">
        <v>2398</v>
      </c>
      <c r="C2045" s="839" t="s">
        <v>3515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1648</v>
      </c>
      <c r="I2045" s="1235" t="s">
        <v>1698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 x14ac:dyDescent="0.25">
      <c r="B2046" s="718" t="s">
        <v>2397</v>
      </c>
      <c r="C2046" s="839" t="s">
        <v>3515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2127</v>
      </c>
      <c r="I2046" s="1235" t="s">
        <v>1774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 x14ac:dyDescent="0.25">
      <c r="B2047" s="718" t="s">
        <v>2399</v>
      </c>
      <c r="C2047" s="839" t="s">
        <v>3515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2127</v>
      </c>
      <c r="I2047" s="1234" t="s">
        <v>2128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 x14ac:dyDescent="0.25">
      <c r="B2048" s="718" t="s">
        <v>2396</v>
      </c>
      <c r="C2048" s="839" t="s">
        <v>3515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2127</v>
      </c>
      <c r="I2048" s="1235" t="s">
        <v>1774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 x14ac:dyDescent="0.25">
      <c r="B2049" s="718" t="s">
        <v>2395</v>
      </c>
      <c r="C2049" s="839" t="s">
        <v>3515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1648</v>
      </c>
      <c r="I2049" s="1235" t="s">
        <v>1699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 x14ac:dyDescent="0.25">
      <c r="B2050" s="718" t="s">
        <v>2394</v>
      </c>
      <c r="C2050" s="839" t="s">
        <v>3515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2127</v>
      </c>
      <c r="I2050" s="1235" t="s">
        <v>1774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 x14ac:dyDescent="0.25">
      <c r="B2051" s="718" t="s">
        <v>2393</v>
      </c>
      <c r="C2051" s="839" t="s">
        <v>3515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2127</v>
      </c>
      <c r="I2051" s="1235" t="s">
        <v>1774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 x14ac:dyDescent="0.25">
      <c r="B2052" s="718" t="s">
        <v>2392</v>
      </c>
      <c r="C2052" s="839" t="s">
        <v>3515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1648</v>
      </c>
      <c r="I2052" s="1235" t="s">
        <v>1647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 x14ac:dyDescent="0.25">
      <c r="B2053" s="718" t="s">
        <v>2391</v>
      </c>
      <c r="C2053" s="839" t="s">
        <v>3515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35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 x14ac:dyDescent="0.25">
      <c r="B2054" s="718" t="s">
        <v>2400</v>
      </c>
      <c r="C2054" s="839" t="s">
        <v>3515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2127</v>
      </c>
      <c r="I2054" s="1235" t="s">
        <v>2130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 x14ac:dyDescent="0.25">
      <c r="B2055" s="718" t="s">
        <v>2390</v>
      </c>
      <c r="C2055" s="839" t="s">
        <v>3515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2127</v>
      </c>
      <c r="I2055" s="1235" t="s">
        <v>2128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 x14ac:dyDescent="0.25">
      <c r="B2056" s="718" t="s">
        <v>2389</v>
      </c>
      <c r="C2056" s="839" t="s">
        <v>3515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1648</v>
      </c>
      <c r="I2056" s="1235" t="s">
        <v>2338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 x14ac:dyDescent="0.25">
      <c r="B2057" s="718" t="s">
        <v>2388</v>
      </c>
      <c r="C2057" s="839" t="s">
        <v>3515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2127</v>
      </c>
      <c r="I2057" s="1235" t="s">
        <v>1774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 x14ac:dyDescent="0.25">
      <c r="B2058" s="718" t="s">
        <v>2387</v>
      </c>
      <c r="C2058" s="839" t="s">
        <v>3515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2127</v>
      </c>
      <c r="I2058" s="1235" t="s">
        <v>2128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 x14ac:dyDescent="0.25">
      <c r="B2059" s="718" t="s">
        <v>2386</v>
      </c>
      <c r="C2059" s="839" t="s">
        <v>3515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2127</v>
      </c>
      <c r="I2059" s="1235" t="s">
        <v>2128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 x14ac:dyDescent="0.25">
      <c r="B2060" s="718" t="s">
        <v>2385</v>
      </c>
      <c r="C2060" s="839" t="s">
        <v>3515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2127</v>
      </c>
      <c r="I2060" s="1235" t="s">
        <v>2128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 x14ac:dyDescent="0.25">
      <c r="B2061" s="718" t="s">
        <v>2384</v>
      </c>
      <c r="C2061" s="839" t="s">
        <v>3515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2127</v>
      </c>
      <c r="I2061" s="1235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 x14ac:dyDescent="0.25">
      <c r="B2062" s="718" t="s">
        <v>2383</v>
      </c>
      <c r="C2062" s="839" t="s">
        <v>3515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2127</v>
      </c>
      <c r="I2062" s="1235" t="s">
        <v>1774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 x14ac:dyDescent="0.25">
      <c r="B2063" s="718" t="s">
        <v>2382</v>
      </c>
      <c r="C2063" s="839" t="s">
        <v>3515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2127</v>
      </c>
      <c r="I2063" s="1235" t="s">
        <v>1774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 x14ac:dyDescent="0.25">
      <c r="B2064" s="718" t="s">
        <v>2381</v>
      </c>
      <c r="C2064" s="839" t="s">
        <v>3515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2127</v>
      </c>
      <c r="I2064" s="1235" t="s">
        <v>1774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 x14ac:dyDescent="0.25">
      <c r="B2065" s="718" t="s">
        <v>2380</v>
      </c>
      <c r="C2065" s="839" t="s">
        <v>3515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1648</v>
      </c>
      <c r="I2065" s="1235" t="s">
        <v>2337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 x14ac:dyDescent="0.25">
      <c r="B2066" s="718" t="s">
        <v>2379</v>
      </c>
      <c r="C2066" s="839" t="s">
        <v>3515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1648</v>
      </c>
      <c r="I2066" s="1235" t="s">
        <v>1774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 x14ac:dyDescent="0.25">
      <c r="B2067" s="718" t="s">
        <v>2378</v>
      </c>
      <c r="C2067" s="839" t="s">
        <v>3515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1648</v>
      </c>
      <c r="I2067" s="1235" t="s">
        <v>1543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 x14ac:dyDescent="0.25">
      <c r="B2068" s="718" t="s">
        <v>2377</v>
      </c>
      <c r="C2068" s="839" t="s">
        <v>3515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35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 x14ac:dyDescent="0.25">
      <c r="B2069" s="718" t="s">
        <v>2376</v>
      </c>
      <c r="C2069" s="839" t="s">
        <v>3515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2127</v>
      </c>
      <c r="I2069" s="1235" t="s">
        <v>2128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 x14ac:dyDescent="0.25">
      <c r="B2070" s="718" t="s">
        <v>2375</v>
      </c>
      <c r="C2070" s="839" t="s">
        <v>3515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1648</v>
      </c>
      <c r="I2070" s="1235" t="s">
        <v>2338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 x14ac:dyDescent="0.25">
      <c r="B2071" s="718" t="s">
        <v>2374</v>
      </c>
      <c r="C2071" s="839" t="s">
        <v>3515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35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 x14ac:dyDescent="0.25">
      <c r="B2072" s="718" t="s">
        <v>2373</v>
      </c>
      <c r="C2072" s="839" t="s">
        <v>3515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1648</v>
      </c>
      <c r="I2072" s="1235" t="s">
        <v>1756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 x14ac:dyDescent="0.25">
      <c r="B2073" s="718" t="s">
        <v>2372</v>
      </c>
      <c r="C2073" s="839" t="s">
        <v>3515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4" t="s">
        <v>3370</v>
      </c>
      <c r="I2073" s="1235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 x14ac:dyDescent="0.25">
      <c r="B2074" s="718" t="s">
        <v>2371</v>
      </c>
      <c r="C2074" s="839" t="s">
        <v>3515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1648</v>
      </c>
      <c r="I2074" s="1235" t="s">
        <v>1543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 x14ac:dyDescent="0.25">
      <c r="B2075" s="718" t="s">
        <v>2371</v>
      </c>
      <c r="C2075" s="839" t="s">
        <v>3515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1648</v>
      </c>
      <c r="I2075" s="1235" t="s">
        <v>2338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 x14ac:dyDescent="0.25">
      <c r="B2076" s="718" t="s">
        <v>2370</v>
      </c>
      <c r="C2076" s="839" t="s">
        <v>3515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35" t="s">
        <v>1358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 x14ac:dyDescent="0.25">
      <c r="B2077" s="718" t="s">
        <v>2369</v>
      </c>
      <c r="C2077" s="839" t="s">
        <v>3515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1648</v>
      </c>
      <c r="I2077" s="1235" t="s">
        <v>1645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 x14ac:dyDescent="0.25">
      <c r="B2078" s="718" t="s">
        <v>2368</v>
      </c>
      <c r="C2078" s="839" t="s">
        <v>3515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1648</v>
      </c>
      <c r="I2078" s="1235" t="s">
        <v>1647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 x14ac:dyDescent="0.25">
      <c r="B2079" s="718" t="s">
        <v>2367</v>
      </c>
      <c r="C2079" s="839" t="s">
        <v>3515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1648</v>
      </c>
      <c r="I2079" s="1235" t="s">
        <v>1543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 x14ac:dyDescent="0.25">
      <c r="B2080" s="718" t="s">
        <v>2366</v>
      </c>
      <c r="C2080" s="839" t="s">
        <v>3515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1648</v>
      </c>
      <c r="I2080" s="1235" t="s">
        <v>1543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 x14ac:dyDescent="0.25">
      <c r="B2081" s="718" t="s">
        <v>2365</v>
      </c>
      <c r="C2081" s="839" t="s">
        <v>3515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1648</v>
      </c>
      <c r="I2081" s="1235" t="s">
        <v>1697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 x14ac:dyDescent="0.25">
      <c r="B2082" s="718" t="s">
        <v>2364</v>
      </c>
      <c r="C2082" s="839" t="s">
        <v>3515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2127</v>
      </c>
      <c r="I2082" s="1235" t="s">
        <v>1774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 x14ac:dyDescent="0.25">
      <c r="B2083" s="718" t="s">
        <v>2363</v>
      </c>
      <c r="C2083" s="839" t="s">
        <v>3515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2127</v>
      </c>
      <c r="I2083" s="1235" t="s">
        <v>1774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 x14ac:dyDescent="0.25">
      <c r="B2084" s="718" t="s">
        <v>2362</v>
      </c>
      <c r="C2084" s="839" t="s">
        <v>3515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2127</v>
      </c>
      <c r="I2084" s="1235" t="s">
        <v>1774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 x14ac:dyDescent="0.25">
      <c r="B2085" s="718" t="s">
        <v>2361</v>
      </c>
      <c r="C2085" s="839" t="s">
        <v>3515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1648</v>
      </c>
      <c r="I2085" s="1235" t="s">
        <v>1697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 x14ac:dyDescent="0.25">
      <c r="B2086" s="718" t="s">
        <v>2360</v>
      </c>
      <c r="C2086" s="839" t="s">
        <v>3515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35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 x14ac:dyDescent="0.25">
      <c r="B2087" s="718" t="s">
        <v>2359</v>
      </c>
      <c r="C2087" s="839" t="s">
        <v>3515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1648</v>
      </c>
      <c r="I2087" s="1235" t="s">
        <v>1543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 x14ac:dyDescent="0.25">
      <c r="B2088" s="718" t="s">
        <v>2358</v>
      </c>
      <c r="C2088" s="839" t="s">
        <v>3515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1648</v>
      </c>
      <c r="I2088" s="1235" t="s">
        <v>1697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 x14ac:dyDescent="0.25">
      <c r="B2089" s="718" t="s">
        <v>2357</v>
      </c>
      <c r="C2089" s="839" t="s">
        <v>3515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2127</v>
      </c>
      <c r="I2089" s="1235" t="s">
        <v>1774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 x14ac:dyDescent="0.25">
      <c r="B2090" s="718" t="s">
        <v>2356</v>
      </c>
      <c r="C2090" s="839" t="s">
        <v>3515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1648</v>
      </c>
      <c r="I2090" s="1235" t="s">
        <v>1699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 x14ac:dyDescent="0.25">
      <c r="B2091" s="718" t="s">
        <v>2355</v>
      </c>
      <c r="C2091" s="839" t="s">
        <v>3515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35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 x14ac:dyDescent="0.25">
      <c r="B2092" s="718" t="s">
        <v>2354</v>
      </c>
      <c r="C2092" s="839" t="s">
        <v>3515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1648</v>
      </c>
      <c r="I2092" s="1235" t="s">
        <v>1543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 x14ac:dyDescent="0.25">
      <c r="B2093" s="718" t="s">
        <v>2353</v>
      </c>
      <c r="C2093" s="839" t="s">
        <v>3515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2127</v>
      </c>
      <c r="I2093" s="1235" t="s">
        <v>1774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 x14ac:dyDescent="0.25">
      <c r="B2094" s="718" t="s">
        <v>2352</v>
      </c>
      <c r="C2094" s="839" t="s">
        <v>3515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1648</v>
      </c>
      <c r="I2094" s="1235" t="s">
        <v>1697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 x14ac:dyDescent="0.25">
      <c r="B2095" s="718" t="s">
        <v>2351</v>
      </c>
      <c r="C2095" s="839" t="s">
        <v>3515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1648</v>
      </c>
      <c r="I2095" s="1235" t="s">
        <v>1543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 x14ac:dyDescent="0.25">
      <c r="B2096" s="718" t="s">
        <v>2350</v>
      </c>
      <c r="C2096" s="839" t="s">
        <v>3515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1648</v>
      </c>
      <c r="I2096" s="1235" t="s">
        <v>2307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 x14ac:dyDescent="0.25">
      <c r="B2097" s="718" t="s">
        <v>2349</v>
      </c>
      <c r="C2097" s="839" t="s">
        <v>3515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1648</v>
      </c>
      <c r="I2097" s="1235" t="s">
        <v>1697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 x14ac:dyDescent="0.25">
      <c r="B2098" s="718" t="s">
        <v>2348</v>
      </c>
      <c r="C2098" s="839" t="s">
        <v>3515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1648</v>
      </c>
      <c r="I2098" s="1235" t="s">
        <v>1645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 x14ac:dyDescent="0.25">
      <c r="B2099" s="718" t="s">
        <v>2347</v>
      </c>
      <c r="C2099" s="839" t="s">
        <v>3515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2127</v>
      </c>
      <c r="I2099" s="1235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 x14ac:dyDescent="0.25">
      <c r="B2100" s="718" t="s">
        <v>2346</v>
      </c>
      <c r="C2100" s="839" t="s">
        <v>3515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2127</v>
      </c>
      <c r="I2100" s="1235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 x14ac:dyDescent="0.25">
      <c r="B2101" s="719" t="s">
        <v>2429</v>
      </c>
      <c r="C2101" s="839" t="s">
        <v>3515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2127</v>
      </c>
      <c r="I2101" s="1236" t="s">
        <v>1774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 x14ac:dyDescent="0.25">
      <c r="B2102" s="719" t="s">
        <v>2429</v>
      </c>
      <c r="C2102" s="839" t="s">
        <v>3515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2127</v>
      </c>
      <c r="I2102" s="1236" t="s">
        <v>2130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 x14ac:dyDescent="0.25">
      <c r="B2103" s="719" t="s">
        <v>2425</v>
      </c>
      <c r="C2103" s="839" t="s">
        <v>3515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1648</v>
      </c>
      <c r="I2103" s="1236" t="s">
        <v>1645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 x14ac:dyDescent="0.25">
      <c r="B2104" s="719" t="s">
        <v>2424</v>
      </c>
      <c r="C2104" s="839" t="s">
        <v>3515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1648</v>
      </c>
      <c r="I2104" s="1235" t="s">
        <v>1697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 x14ac:dyDescent="0.25">
      <c r="B2105" s="719" t="s">
        <v>2423</v>
      </c>
      <c r="C2105" s="839" t="s">
        <v>3515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2127</v>
      </c>
      <c r="I2105" s="1236" t="s">
        <v>2128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 x14ac:dyDescent="0.25">
      <c r="B2106" s="719" t="s">
        <v>29</v>
      </c>
      <c r="C2106" s="839" t="s">
        <v>3515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1648</v>
      </c>
      <c r="I2106" s="1235" t="s">
        <v>1697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 x14ac:dyDescent="0.25">
      <c r="B2107" s="719" t="s">
        <v>2422</v>
      </c>
      <c r="C2107" s="839" t="s">
        <v>3515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4" t="s">
        <v>3370</v>
      </c>
      <c r="I2107" s="1235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2923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 x14ac:dyDescent="0.25">
      <c r="B2108" s="719" t="s">
        <v>2421</v>
      </c>
      <c r="C2108" s="839" t="s">
        <v>3515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2127</v>
      </c>
      <c r="I2108" s="1236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 x14ac:dyDescent="0.25">
      <c r="B2109" s="719" t="s">
        <v>2420</v>
      </c>
      <c r="C2109" s="839" t="s">
        <v>3515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1648</v>
      </c>
      <c r="I2109" s="1236" t="s">
        <v>1647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 x14ac:dyDescent="0.25">
      <c r="B2110" s="719" t="s">
        <v>2419</v>
      </c>
      <c r="C2110" s="839" t="s">
        <v>3515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1648</v>
      </c>
      <c r="I2110" s="1236" t="s">
        <v>2307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 x14ac:dyDescent="0.25">
      <c r="B2111" s="719" t="s">
        <v>2417</v>
      </c>
      <c r="C2111" s="839" t="s">
        <v>3515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2127</v>
      </c>
      <c r="I2111" s="1236" t="s">
        <v>1774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 x14ac:dyDescent="0.25">
      <c r="B2112" s="719" t="s">
        <v>2418</v>
      </c>
      <c r="C2112" s="839" t="s">
        <v>3515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1648</v>
      </c>
      <c r="I2112" s="1236" t="s">
        <v>2337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 x14ac:dyDescent="0.25">
      <c r="B2113" s="719" t="s">
        <v>2416</v>
      </c>
      <c r="C2113" s="839" t="s">
        <v>3515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1648</v>
      </c>
      <c r="I2113" s="1236" t="s">
        <v>1543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 x14ac:dyDescent="0.25">
      <c r="B2114" s="719" t="s">
        <v>2416</v>
      </c>
      <c r="C2114" s="839" t="s">
        <v>3515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1648</v>
      </c>
      <c r="I2114" s="1236" t="s">
        <v>2338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 x14ac:dyDescent="0.25">
      <c r="B2115" s="719" t="s">
        <v>2415</v>
      </c>
      <c r="C2115" s="839" t="s">
        <v>3515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1648</v>
      </c>
      <c r="I2115" s="1236" t="s">
        <v>1738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 x14ac:dyDescent="0.25">
      <c r="B2116" s="719" t="s">
        <v>2414</v>
      </c>
      <c r="C2116" s="839" t="s">
        <v>3515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1648</v>
      </c>
      <c r="I2116" s="1236" t="s">
        <v>1699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 x14ac:dyDescent="0.25">
      <c r="B2117" s="719" t="s">
        <v>2413</v>
      </c>
      <c r="C2117" s="839" t="s">
        <v>3515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1648</v>
      </c>
      <c r="I2117" s="1236" t="s">
        <v>1774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 x14ac:dyDescent="0.25">
      <c r="B2118" s="719" t="s">
        <v>2413</v>
      </c>
      <c r="C2118" s="839" t="s">
        <v>3515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2127</v>
      </c>
      <c r="I2118" s="1236" t="s">
        <v>1774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 x14ac:dyDescent="0.25">
      <c r="B2119" s="719" t="s">
        <v>2412</v>
      </c>
      <c r="C2119" s="839" t="s">
        <v>3515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2127</v>
      </c>
      <c r="I2119" s="1236" t="s">
        <v>2130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 x14ac:dyDescent="0.25">
      <c r="B2120" s="719" t="s">
        <v>2412</v>
      </c>
      <c r="C2120" s="839" t="s">
        <v>3515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1648</v>
      </c>
      <c r="I2120" s="1236" t="s">
        <v>1699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 x14ac:dyDescent="0.25">
      <c r="B2121" s="719" t="s">
        <v>2411</v>
      </c>
      <c r="C2121" s="839" t="s">
        <v>3515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2127</v>
      </c>
      <c r="I2121" s="1236" t="s">
        <v>2128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 x14ac:dyDescent="0.25">
      <c r="B2122" s="719" t="s">
        <v>2410</v>
      </c>
      <c r="C2122" s="839" t="s">
        <v>3515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2127</v>
      </c>
      <c r="I2122" s="1236" t="s">
        <v>1774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 x14ac:dyDescent="0.25">
      <c r="B2123" s="720" t="s">
        <v>2451</v>
      </c>
      <c r="C2123" s="839" t="s">
        <v>3515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1648</v>
      </c>
      <c r="I2123" s="1237" t="s">
        <v>1739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 x14ac:dyDescent="0.25">
      <c r="B2124" s="720" t="s">
        <v>2450</v>
      </c>
      <c r="C2124" s="839" t="s">
        <v>3515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1648</v>
      </c>
      <c r="I2124" s="1237" t="s">
        <v>1756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 x14ac:dyDescent="0.25">
      <c r="B2125" s="720" t="s">
        <v>2449</v>
      </c>
      <c r="C2125" s="839" t="s">
        <v>3515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1648</v>
      </c>
      <c r="I2125" s="1235" t="s">
        <v>1697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 x14ac:dyDescent="0.25">
      <c r="B2126" s="720" t="s">
        <v>2448</v>
      </c>
      <c r="C2126" s="839" t="s">
        <v>3515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2127</v>
      </c>
      <c r="I2126" s="1236" t="s">
        <v>2128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 x14ac:dyDescent="0.25">
      <c r="B2127" s="720" t="s">
        <v>2447</v>
      </c>
      <c r="C2127" s="839" t="s">
        <v>3515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1648</v>
      </c>
      <c r="I2127" s="1237" t="s">
        <v>1543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 x14ac:dyDescent="0.25">
      <c r="B2128" s="720" t="s">
        <v>2446</v>
      </c>
      <c r="C2128" s="839" t="s">
        <v>3515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2127</v>
      </c>
      <c r="I2128" s="1236" t="s">
        <v>1774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 x14ac:dyDescent="0.25">
      <c r="B2129" s="720" t="s">
        <v>2445</v>
      </c>
      <c r="C2129" s="839" t="s">
        <v>3515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2127</v>
      </c>
      <c r="I2129" s="1236" t="s">
        <v>1774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 x14ac:dyDescent="0.25">
      <c r="B2130" s="720" t="s">
        <v>2444</v>
      </c>
      <c r="C2130" s="839" t="s">
        <v>3515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2127</v>
      </c>
      <c r="I2130" s="1236" t="s">
        <v>2128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 x14ac:dyDescent="0.25">
      <c r="B2131" s="720" t="s">
        <v>2443</v>
      </c>
      <c r="C2131" s="839" t="s">
        <v>3515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1648</v>
      </c>
      <c r="I2131" s="1236" t="s">
        <v>1774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 x14ac:dyDescent="0.25">
      <c r="B2132" s="720" t="s">
        <v>2442</v>
      </c>
      <c r="C2132" s="839" t="s">
        <v>3515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2127</v>
      </c>
      <c r="I2132" s="1236" t="s">
        <v>1774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 x14ac:dyDescent="0.25">
      <c r="B2133" s="720" t="s">
        <v>2441</v>
      </c>
      <c r="C2133" s="839" t="s">
        <v>3515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2127</v>
      </c>
      <c r="I2133" s="1236" t="s">
        <v>1774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 x14ac:dyDescent="0.25">
      <c r="B2134" s="720" t="s">
        <v>2440</v>
      </c>
      <c r="C2134" s="839" t="s">
        <v>3515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1648</v>
      </c>
      <c r="I2134" s="1235" t="s">
        <v>1697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 x14ac:dyDescent="0.25">
      <c r="B2135" s="720" t="s">
        <v>2439</v>
      </c>
      <c r="C2135" s="839" t="s">
        <v>3515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1648</v>
      </c>
      <c r="I2135" s="1237" t="s">
        <v>1645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 x14ac:dyDescent="0.25">
      <c r="B2136" s="720" t="s">
        <v>2438</v>
      </c>
      <c r="C2136" s="839" t="s">
        <v>3515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2127</v>
      </c>
      <c r="I2136" s="1237" t="s">
        <v>2130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 x14ac:dyDescent="0.25">
      <c r="B2137" s="720" t="s">
        <v>2437</v>
      </c>
      <c r="C2137" s="839" t="s">
        <v>3515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1648</v>
      </c>
      <c r="I2137" s="1237" t="s">
        <v>1756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 x14ac:dyDescent="0.25">
      <c r="B2138" s="720" t="s">
        <v>2436</v>
      </c>
      <c r="C2138" s="839" t="s">
        <v>3515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4" t="s">
        <v>3370</v>
      </c>
      <c r="I2138" s="1237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 x14ac:dyDescent="0.25">
      <c r="B2139" s="720" t="s">
        <v>2436</v>
      </c>
      <c r="C2139" s="839" t="s">
        <v>3515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1648</v>
      </c>
      <c r="I2139" s="1237" t="s">
        <v>1699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 x14ac:dyDescent="0.25">
      <c r="B2140" s="720" t="s">
        <v>2435</v>
      </c>
      <c r="C2140" s="839" t="s">
        <v>3515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1648</v>
      </c>
      <c r="I2140" s="1237" t="s">
        <v>1700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 x14ac:dyDescent="0.25">
      <c r="B2141" s="720" t="s">
        <v>2434</v>
      </c>
      <c r="C2141" s="839" t="s">
        <v>3515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37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 x14ac:dyDescent="0.25">
      <c r="B2142" s="720" t="s">
        <v>2433</v>
      </c>
      <c r="C2142" s="839" t="s">
        <v>3515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2127</v>
      </c>
      <c r="I2142" s="1236" t="s">
        <v>1774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 x14ac:dyDescent="0.25">
      <c r="B2143" s="720" t="s">
        <v>2432</v>
      </c>
      <c r="C2143" s="839" t="s">
        <v>3515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1648</v>
      </c>
      <c r="I2143" s="1236" t="s">
        <v>1543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 x14ac:dyDescent="0.25">
      <c r="B2144" s="720" t="s">
        <v>2431</v>
      </c>
      <c r="C2144" s="839" t="s">
        <v>3515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1648</v>
      </c>
      <c r="I2144" s="1237" t="s">
        <v>2307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 x14ac:dyDescent="0.25">
      <c r="B2145" s="720" t="s">
        <v>2430</v>
      </c>
      <c r="C2145" s="839" t="s">
        <v>3515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1648</v>
      </c>
      <c r="I2145" s="1237" t="s">
        <v>1756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 x14ac:dyDescent="0.25">
      <c r="B2146" s="720" t="s">
        <v>2536</v>
      </c>
      <c r="C2146" s="839" t="s">
        <v>3515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1648</v>
      </c>
      <c r="I2146" s="1237" t="s">
        <v>1740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 x14ac:dyDescent="0.25">
      <c r="B2147" s="720" t="s">
        <v>2535</v>
      </c>
      <c r="C2147" s="839" t="s">
        <v>3515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1648</v>
      </c>
      <c r="I2147" s="1237" t="s">
        <v>1774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 x14ac:dyDescent="0.25">
      <c r="B2148" s="720" t="s">
        <v>2534</v>
      </c>
      <c r="C2148" s="839" t="s">
        <v>3515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2127</v>
      </c>
      <c r="I2148" s="1236" t="s">
        <v>1774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 x14ac:dyDescent="0.25">
      <c r="B2149" s="720" t="s">
        <v>2532</v>
      </c>
      <c r="C2149" s="839" t="s">
        <v>3515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1648</v>
      </c>
      <c r="I2149" s="1237" t="s">
        <v>1645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 x14ac:dyDescent="0.25">
      <c r="B2150" s="720" t="s">
        <v>2533</v>
      </c>
      <c r="C2150" s="839" t="s">
        <v>3515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1648</v>
      </c>
      <c r="I2150" s="1237" t="s">
        <v>1647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 x14ac:dyDescent="0.25">
      <c r="B2151" s="720" t="s">
        <v>2531</v>
      </c>
      <c r="C2151" s="839" t="s">
        <v>3515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1648</v>
      </c>
      <c r="I2151" s="1237" t="s">
        <v>2537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 x14ac:dyDescent="0.25">
      <c r="B2152" s="720" t="s">
        <v>2530</v>
      </c>
      <c r="C2152" s="839" t="s">
        <v>3515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1648</v>
      </c>
      <c r="I2152" s="1237" t="s">
        <v>1699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 x14ac:dyDescent="0.25">
      <c r="B2153" s="720" t="s">
        <v>2529</v>
      </c>
      <c r="C2153" s="839" t="s">
        <v>3515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1648</v>
      </c>
      <c r="I2153" s="1237" t="s">
        <v>2307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 x14ac:dyDescent="0.25">
      <c r="B2154" s="720" t="s">
        <v>2528</v>
      </c>
      <c r="C2154" s="839" t="s">
        <v>3515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1648</v>
      </c>
      <c r="I2154" s="1237" t="s">
        <v>1697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 x14ac:dyDescent="0.25">
      <c r="B2155" s="720" t="s">
        <v>2527</v>
      </c>
      <c r="C2155" s="839" t="s">
        <v>3515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1648</v>
      </c>
      <c r="I2155" s="1237" t="s">
        <v>1739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 x14ac:dyDescent="0.25">
      <c r="B2156" s="720" t="s">
        <v>2526</v>
      </c>
      <c r="C2156" s="839" t="s">
        <v>3515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2127</v>
      </c>
      <c r="I2156" s="1237" t="s">
        <v>1774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 x14ac:dyDescent="0.25">
      <c r="B2157" s="720" t="s">
        <v>2525</v>
      </c>
      <c r="C2157" s="839" t="s">
        <v>3515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2127</v>
      </c>
      <c r="I2157" s="1237" t="s">
        <v>1774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 x14ac:dyDescent="0.25">
      <c r="B2158" s="720" t="s">
        <v>2524</v>
      </c>
      <c r="C2158" s="839" t="s">
        <v>3515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1648</v>
      </c>
      <c r="I2158" s="1237" t="s">
        <v>1543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 x14ac:dyDescent="0.25">
      <c r="B2159" s="720" t="s">
        <v>2523</v>
      </c>
      <c r="C2159" s="839" t="s">
        <v>3515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1648</v>
      </c>
      <c r="I2159" s="1237" t="s">
        <v>2277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 x14ac:dyDescent="0.25">
      <c r="B2160" s="720" t="s">
        <v>2522</v>
      </c>
      <c r="C2160" s="839" t="s">
        <v>3515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1648</v>
      </c>
      <c r="I2160" s="1237" t="s">
        <v>1645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 x14ac:dyDescent="0.25">
      <c r="B2161" s="720" t="s">
        <v>2521</v>
      </c>
      <c r="C2161" s="839" t="s">
        <v>3515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1648</v>
      </c>
      <c r="I2161" s="1237" t="s">
        <v>1543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 x14ac:dyDescent="0.25">
      <c r="B2162" s="720" t="s">
        <v>2520</v>
      </c>
      <c r="C2162" s="839" t="s">
        <v>3515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1648</v>
      </c>
      <c r="I2162" s="1237" t="s">
        <v>1543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 x14ac:dyDescent="0.25">
      <c r="B2163" s="720" t="s">
        <v>2519</v>
      </c>
      <c r="C2163" s="839" t="s">
        <v>3515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1648</v>
      </c>
      <c r="I2163" s="1237" t="s">
        <v>2337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 x14ac:dyDescent="0.25">
      <c r="B2164" s="720" t="s">
        <v>2518</v>
      </c>
      <c r="C2164" s="839" t="s">
        <v>3515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1648</v>
      </c>
      <c r="I2164" s="1237" t="s">
        <v>1543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 x14ac:dyDescent="0.25">
      <c r="B2165" s="720" t="s">
        <v>2517</v>
      </c>
      <c r="C2165" s="839" t="s">
        <v>3515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1648</v>
      </c>
      <c r="I2165" s="1237" t="s">
        <v>1739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 x14ac:dyDescent="0.25">
      <c r="B2166" s="720" t="s">
        <v>2516</v>
      </c>
      <c r="C2166" s="839" t="s">
        <v>3515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2127</v>
      </c>
      <c r="I2166" s="1237" t="s">
        <v>1774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 x14ac:dyDescent="0.25">
      <c r="B2167" s="720" t="s">
        <v>2538</v>
      </c>
      <c r="C2167" s="839" t="s">
        <v>3515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37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 x14ac:dyDescent="0.25">
      <c r="B2168" s="720" t="s">
        <v>2515</v>
      </c>
      <c r="C2168" s="839" t="s">
        <v>3515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1648</v>
      </c>
      <c r="I2168" s="1237" t="s">
        <v>2307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 x14ac:dyDescent="0.25">
      <c r="B2169" s="720" t="s">
        <v>2514</v>
      </c>
      <c r="C2169" s="839" t="s">
        <v>3515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1648</v>
      </c>
      <c r="I2169" s="1237" t="s">
        <v>1774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 x14ac:dyDescent="0.25">
      <c r="B2170" s="720" t="s">
        <v>2513</v>
      </c>
      <c r="C2170" s="839" t="s">
        <v>3515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1648</v>
      </c>
      <c r="I2170" s="1237" t="s">
        <v>1697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 x14ac:dyDescent="0.25">
      <c r="B2171" s="720" t="s">
        <v>2512</v>
      </c>
      <c r="C2171" s="839" t="s">
        <v>3515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1648</v>
      </c>
      <c r="I2171" s="1237" t="s">
        <v>1645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 x14ac:dyDescent="0.25">
      <c r="B2172" s="720" t="s">
        <v>2511</v>
      </c>
      <c r="C2172" s="839" t="s">
        <v>3515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1648</v>
      </c>
      <c r="I2172" s="1237" t="s">
        <v>1700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 x14ac:dyDescent="0.25">
      <c r="B2173" s="720" t="s">
        <v>2510</v>
      </c>
      <c r="C2173" s="839" t="s">
        <v>3515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1648</v>
      </c>
      <c r="I2173" s="1237" t="s">
        <v>1700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 x14ac:dyDescent="0.25">
      <c r="B2174" s="720" t="s">
        <v>2509</v>
      </c>
      <c r="C2174" s="839" t="s">
        <v>3515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1648</v>
      </c>
      <c r="I2174" s="1237" t="s">
        <v>2307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 x14ac:dyDescent="0.25">
      <c r="B2175" s="720" t="s">
        <v>2508</v>
      </c>
      <c r="C2175" s="839" t="s">
        <v>3515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37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 x14ac:dyDescent="0.25">
      <c r="B2176" s="720" t="s">
        <v>2507</v>
      </c>
      <c r="C2176" s="839" t="s">
        <v>3515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1648</v>
      </c>
      <c r="I2176" s="1237" t="s">
        <v>1645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 x14ac:dyDescent="0.25">
      <c r="B2177" s="720" t="s">
        <v>2506</v>
      </c>
      <c r="C2177" s="839" t="s">
        <v>3515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4" t="s">
        <v>3370</v>
      </c>
      <c r="I2177" s="1237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2011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 x14ac:dyDescent="0.25">
      <c r="B2178" s="720" t="s">
        <v>2506</v>
      </c>
      <c r="C2178" s="839" t="s">
        <v>3515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1540</v>
      </c>
      <c r="I2178" s="1237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 x14ac:dyDescent="0.25">
      <c r="B2179" s="720" t="s">
        <v>2505</v>
      </c>
      <c r="C2179" s="839" t="s">
        <v>3515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1648</v>
      </c>
      <c r="I2179" s="1237" t="s">
        <v>2307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 x14ac:dyDescent="0.25">
      <c r="B2180" s="720" t="s">
        <v>2504</v>
      </c>
      <c r="C2180" s="839" t="s">
        <v>3515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2127</v>
      </c>
      <c r="I2180" s="1237" t="s">
        <v>1774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 x14ac:dyDescent="0.25">
      <c r="B2181" s="720" t="s">
        <v>2503</v>
      </c>
      <c r="C2181" s="839" t="s">
        <v>3515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1648</v>
      </c>
      <c r="I2181" s="1237" t="s">
        <v>1697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 x14ac:dyDescent="0.25">
      <c r="B2182" s="720" t="s">
        <v>2502</v>
      </c>
      <c r="C2182" s="839" t="s">
        <v>3515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2127</v>
      </c>
      <c r="I2182" s="1237" t="s">
        <v>2128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 x14ac:dyDescent="0.25">
      <c r="B2183" s="720" t="s">
        <v>2501</v>
      </c>
      <c r="C2183" s="839" t="s">
        <v>3515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2127</v>
      </c>
      <c r="I2183" s="1237" t="s">
        <v>2130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 x14ac:dyDescent="0.25">
      <c r="B2184" s="720" t="s">
        <v>2500</v>
      </c>
      <c r="C2184" s="839" t="s">
        <v>3515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1648</v>
      </c>
      <c r="I2184" s="1237" t="s">
        <v>1697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 x14ac:dyDescent="0.25">
      <c r="B2185" s="720" t="s">
        <v>2499</v>
      </c>
      <c r="C2185" s="839" t="s">
        <v>3515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1648</v>
      </c>
      <c r="I2185" s="1237" t="s">
        <v>1774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 x14ac:dyDescent="0.25">
      <c r="B2186" s="720" t="s">
        <v>2498</v>
      </c>
      <c r="C2186" s="839" t="s">
        <v>3515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1648</v>
      </c>
      <c r="I2186" s="1237" t="s">
        <v>1543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 x14ac:dyDescent="0.25">
      <c r="B2187" s="720" t="s">
        <v>2497</v>
      </c>
      <c r="C2187" s="839" t="s">
        <v>3515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1648</v>
      </c>
      <c r="I2187" s="1237" t="s">
        <v>1543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 x14ac:dyDescent="0.25">
      <c r="B2188" s="720" t="s">
        <v>2496</v>
      </c>
      <c r="C2188" s="839" t="s">
        <v>3515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1648</v>
      </c>
      <c r="I2188" s="1237" t="s">
        <v>1543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 x14ac:dyDescent="0.25">
      <c r="B2189" s="720" t="s">
        <v>2495</v>
      </c>
      <c r="C2189" s="839" t="s">
        <v>3515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1648</v>
      </c>
      <c r="I2189" s="1237" t="s">
        <v>1699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 x14ac:dyDescent="0.25">
      <c r="B2190" s="720" t="s">
        <v>2494</v>
      </c>
      <c r="C2190" s="839" t="s">
        <v>3515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1648</v>
      </c>
      <c r="I2190" s="1237" t="s">
        <v>1645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 x14ac:dyDescent="0.25">
      <c r="B2191" s="720" t="s">
        <v>2493</v>
      </c>
      <c r="C2191" s="839" t="s">
        <v>3515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2127</v>
      </c>
      <c r="I2191" s="1237" t="s">
        <v>2128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 x14ac:dyDescent="0.25">
      <c r="B2192" s="720" t="s">
        <v>2492</v>
      </c>
      <c r="C2192" s="839" t="s">
        <v>3515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2127</v>
      </c>
      <c r="I2192" s="1237" t="s">
        <v>2128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 x14ac:dyDescent="0.25">
      <c r="B2193" s="720" t="s">
        <v>2491</v>
      </c>
      <c r="C2193" s="839" t="s">
        <v>3515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2127</v>
      </c>
      <c r="I2193" s="1237" t="s">
        <v>2128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 x14ac:dyDescent="0.25">
      <c r="B2194" s="720" t="s">
        <v>2490</v>
      </c>
      <c r="C2194" s="839" t="s">
        <v>3515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37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 x14ac:dyDescent="0.25">
      <c r="B2195" s="720" t="s">
        <v>2489</v>
      </c>
      <c r="C2195" s="839" t="s">
        <v>3515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4" t="s">
        <v>3370</v>
      </c>
      <c r="I2195" s="1237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 x14ac:dyDescent="0.25">
      <c r="B2196" s="720" t="s">
        <v>2489</v>
      </c>
      <c r="C2196" s="839" t="s">
        <v>3515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1540</v>
      </c>
      <c r="I2196" s="1237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 x14ac:dyDescent="0.25">
      <c r="B2197" s="720" t="s">
        <v>2488</v>
      </c>
      <c r="C2197" s="839" t="s">
        <v>3515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1648</v>
      </c>
      <c r="I2197" s="1237" t="s">
        <v>1543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 x14ac:dyDescent="0.25">
      <c r="B2198" s="720" t="s">
        <v>2487</v>
      </c>
      <c r="C2198" s="839" t="s">
        <v>3515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1648</v>
      </c>
      <c r="I2198" s="1237" t="s">
        <v>2277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 x14ac:dyDescent="0.25">
      <c r="B2199" s="720" t="s">
        <v>2486</v>
      </c>
      <c r="C2199" s="839" t="s">
        <v>3515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1648</v>
      </c>
      <c r="I2199" s="1237" t="s">
        <v>1739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 x14ac:dyDescent="0.25">
      <c r="B2200" s="720" t="s">
        <v>2486</v>
      </c>
      <c r="C2200" s="839" t="s">
        <v>3515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1648</v>
      </c>
      <c r="I2200" s="1237" t="s">
        <v>1738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 x14ac:dyDescent="0.25">
      <c r="B2201" s="720" t="s">
        <v>2485</v>
      </c>
      <c r="C2201" s="839" t="s">
        <v>3515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1648</v>
      </c>
      <c r="I2201" s="1237" t="s">
        <v>2277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 x14ac:dyDescent="0.25">
      <c r="B2202" s="720" t="s">
        <v>2484</v>
      </c>
      <c r="C2202" s="839" t="s">
        <v>3515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1648</v>
      </c>
      <c r="I2202" s="1237" t="s">
        <v>1543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 x14ac:dyDescent="0.25">
      <c r="B2203" s="720" t="s">
        <v>2483</v>
      </c>
      <c r="C2203" s="839" t="s">
        <v>3515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1648</v>
      </c>
      <c r="I2203" s="1237" t="s">
        <v>1739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 x14ac:dyDescent="0.25">
      <c r="B2204" s="720" t="s">
        <v>2482</v>
      </c>
      <c r="C2204" s="839" t="s">
        <v>3515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1648</v>
      </c>
      <c r="I2204" s="1237" t="s">
        <v>1739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 x14ac:dyDescent="0.25">
      <c r="B2205" s="720" t="s">
        <v>2481</v>
      </c>
      <c r="C2205" s="839" t="s">
        <v>3515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1648</v>
      </c>
      <c r="I2205" s="1237" t="s">
        <v>1543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 x14ac:dyDescent="0.25">
      <c r="B2206" s="720" t="s">
        <v>2480</v>
      </c>
      <c r="C2206" s="839" t="s">
        <v>3515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1648</v>
      </c>
      <c r="I2206" s="1237" t="s">
        <v>1647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 x14ac:dyDescent="0.25">
      <c r="B2207" s="720" t="s">
        <v>2479</v>
      </c>
      <c r="C2207" s="839" t="s">
        <v>3515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2127</v>
      </c>
      <c r="I2207" s="1237" t="s">
        <v>2128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 x14ac:dyDescent="0.25">
      <c r="B2208" s="720" t="s">
        <v>2478</v>
      </c>
      <c r="C2208" s="839" t="s">
        <v>3515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1648</v>
      </c>
      <c r="I2208" s="1237" t="s">
        <v>1740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 x14ac:dyDescent="0.25">
      <c r="B2209" s="720" t="s">
        <v>2477</v>
      </c>
      <c r="C2209" s="839" t="s">
        <v>3515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1648</v>
      </c>
      <c r="I2209" s="1237" t="s">
        <v>2307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 x14ac:dyDescent="0.25">
      <c r="B2210" s="720" t="s">
        <v>2476</v>
      </c>
      <c r="C2210" s="839" t="s">
        <v>3515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1648</v>
      </c>
      <c r="I2210" s="1237" t="s">
        <v>1699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 x14ac:dyDescent="0.25">
      <c r="B2211" s="720" t="s">
        <v>2475</v>
      </c>
      <c r="C2211" s="839" t="s">
        <v>3515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37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 x14ac:dyDescent="0.25">
      <c r="B2212" s="720" t="s">
        <v>2474</v>
      </c>
      <c r="C2212" s="839" t="s">
        <v>3515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1648</v>
      </c>
      <c r="I2212" s="1237" t="s">
        <v>1739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 x14ac:dyDescent="0.25">
      <c r="B2213" s="720" t="s">
        <v>2473</v>
      </c>
      <c r="C2213" s="839" t="s">
        <v>3515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1648</v>
      </c>
      <c r="I2213" s="1237" t="s">
        <v>2337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 x14ac:dyDescent="0.25">
      <c r="B2214" s="720" t="s">
        <v>2472</v>
      </c>
      <c r="C2214" s="839" t="s">
        <v>3515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4" t="s">
        <v>3370</v>
      </c>
      <c r="I2214" s="1237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 x14ac:dyDescent="0.25">
      <c r="B2215" s="720" t="s">
        <v>2472</v>
      </c>
      <c r="C2215" s="839" t="s">
        <v>3515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1648</v>
      </c>
      <c r="I2215" s="1237" t="s">
        <v>1699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 x14ac:dyDescent="0.25">
      <c r="B2216" s="720" t="s">
        <v>2471</v>
      </c>
      <c r="C2216" s="839" t="s">
        <v>3515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1648</v>
      </c>
      <c r="I2216" s="1237" t="s">
        <v>1543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 x14ac:dyDescent="0.25">
      <c r="B2217" s="720" t="s">
        <v>2470</v>
      </c>
      <c r="C2217" s="839" t="s">
        <v>3515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37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 x14ac:dyDescent="0.25">
      <c r="B2218" s="720" t="s">
        <v>2469</v>
      </c>
      <c r="C2218" s="839" t="s">
        <v>3515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37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 x14ac:dyDescent="0.25">
      <c r="B2219" s="720" t="s">
        <v>2468</v>
      </c>
      <c r="C2219" s="839" t="s">
        <v>3515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1648</v>
      </c>
      <c r="I2219" s="1237" t="s">
        <v>1543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 x14ac:dyDescent="0.25">
      <c r="B2220" s="720" t="s">
        <v>2467</v>
      </c>
      <c r="C2220" s="839" t="s">
        <v>3515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37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 x14ac:dyDescent="0.25">
      <c r="B2221" s="720" t="s">
        <v>2466</v>
      </c>
      <c r="C2221" s="839" t="s">
        <v>3515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1648</v>
      </c>
      <c r="I2221" s="1237" t="s">
        <v>1738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 x14ac:dyDescent="0.25">
      <c r="B2222" s="720" t="s">
        <v>2465</v>
      </c>
      <c r="C2222" s="839" t="s">
        <v>3515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1648</v>
      </c>
      <c r="I2222" s="1237" t="s">
        <v>1756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 x14ac:dyDescent="0.25">
      <c r="B2223" s="720" t="s">
        <v>2464</v>
      </c>
      <c r="C2223" s="839" t="s">
        <v>3515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1648</v>
      </c>
      <c r="I2223" s="1237" t="s">
        <v>2307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 x14ac:dyDescent="0.25">
      <c r="B2224" s="720" t="s">
        <v>2463</v>
      </c>
      <c r="C2224" s="839" t="s">
        <v>3515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1648</v>
      </c>
      <c r="I2224" s="1237" t="s">
        <v>1697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 x14ac:dyDescent="0.25">
      <c r="B2225" s="720" t="s">
        <v>2462</v>
      </c>
      <c r="C2225" s="839" t="s">
        <v>3515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1648</v>
      </c>
      <c r="I2225" s="1237" t="s">
        <v>1645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 x14ac:dyDescent="0.25">
      <c r="B2226" s="720" t="s">
        <v>2461</v>
      </c>
      <c r="C2226" s="839" t="s">
        <v>3515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1648</v>
      </c>
      <c r="I2226" s="1237" t="s">
        <v>1739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 x14ac:dyDescent="0.25">
      <c r="B2227" s="720" t="s">
        <v>2460</v>
      </c>
      <c r="C2227" s="839" t="s">
        <v>3515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1648</v>
      </c>
      <c r="I2227" s="1237" t="s">
        <v>1738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 x14ac:dyDescent="0.25">
      <c r="B2228" s="720" t="s">
        <v>2460</v>
      </c>
      <c r="C2228" s="839" t="s">
        <v>3515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2127</v>
      </c>
      <c r="I2228" s="1237" t="s">
        <v>2128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 x14ac:dyDescent="0.25">
      <c r="B2229" s="720" t="s">
        <v>2459</v>
      </c>
      <c r="C2229" s="839" t="s">
        <v>3515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1648</v>
      </c>
      <c r="I2229" s="1237" t="s">
        <v>1697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 x14ac:dyDescent="0.25">
      <c r="B2230" s="720" t="s">
        <v>2458</v>
      </c>
      <c r="C2230" s="839" t="s">
        <v>3515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37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 x14ac:dyDescent="0.25">
      <c r="B2231" s="720" t="s">
        <v>2457</v>
      </c>
      <c r="C2231" s="839" t="s">
        <v>3515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1648</v>
      </c>
      <c r="I2231" s="1237" t="s">
        <v>1738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 x14ac:dyDescent="0.25">
      <c r="B2232" s="720" t="s">
        <v>2456</v>
      </c>
      <c r="C2232" s="839" t="s">
        <v>3515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1648</v>
      </c>
      <c r="I2232" s="1237" t="s">
        <v>1543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 x14ac:dyDescent="0.25">
      <c r="B2233" s="720" t="s">
        <v>2623</v>
      </c>
      <c r="C2233" s="839" t="s">
        <v>3515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1648</v>
      </c>
      <c r="I2233" s="1237" t="s">
        <v>1698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 x14ac:dyDescent="0.25">
      <c r="B2234" s="720" t="s">
        <v>2622</v>
      </c>
      <c r="C2234" s="839" t="s">
        <v>3515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1648</v>
      </c>
      <c r="I2234" s="1237" t="s">
        <v>1697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 x14ac:dyDescent="0.25">
      <c r="B2235" s="720" t="s">
        <v>2621</v>
      </c>
      <c r="C2235" s="839" t="s">
        <v>3515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37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 x14ac:dyDescent="0.25">
      <c r="B2236" s="720" t="s">
        <v>2620</v>
      </c>
      <c r="C2236" s="839" t="s">
        <v>3515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1648</v>
      </c>
      <c r="I2236" s="1237" t="s">
        <v>1645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 x14ac:dyDescent="0.25">
      <c r="B2237" s="720" t="s">
        <v>2619</v>
      </c>
      <c r="C2237" s="839" t="s">
        <v>3515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1648</v>
      </c>
      <c r="I2237" s="1237" t="s">
        <v>1543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 x14ac:dyDescent="0.25">
      <c r="B2238" s="720" t="s">
        <v>2618</v>
      </c>
      <c r="C2238" s="839" t="s">
        <v>3515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1648</v>
      </c>
      <c r="I2238" s="1237" t="s">
        <v>1543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 x14ac:dyDescent="0.25">
      <c r="B2239" s="720" t="s">
        <v>2617</v>
      </c>
      <c r="C2239" s="839" t="s">
        <v>3515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1648</v>
      </c>
      <c r="I2239" s="1237" t="s">
        <v>1774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 x14ac:dyDescent="0.25">
      <c r="B2240" s="720" t="s">
        <v>2616</v>
      </c>
      <c r="C2240" s="839" t="s">
        <v>3515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1648</v>
      </c>
      <c r="I2240" s="1237" t="s">
        <v>1739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 x14ac:dyDescent="0.25">
      <c r="B2241" s="720" t="s">
        <v>2615</v>
      </c>
      <c r="C2241" s="839" t="s">
        <v>3515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1648</v>
      </c>
      <c r="I2241" s="1237" t="s">
        <v>1543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 x14ac:dyDescent="0.25">
      <c r="B2242" s="720" t="s">
        <v>2614</v>
      </c>
      <c r="C2242" s="839" t="s">
        <v>3515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1648</v>
      </c>
      <c r="I2242" s="1237" t="s">
        <v>2337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 x14ac:dyDescent="0.25">
      <c r="B2243" s="720" t="s">
        <v>2613</v>
      </c>
      <c r="C2243" s="839" t="s">
        <v>3515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1648</v>
      </c>
      <c r="I2243" s="1237" t="s">
        <v>2337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 x14ac:dyDescent="0.25">
      <c r="B2244" s="720" t="s">
        <v>2612</v>
      </c>
      <c r="C2244" s="839" t="s">
        <v>3515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1648</v>
      </c>
      <c r="I2244" s="1237" t="s">
        <v>2537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 x14ac:dyDescent="0.25">
      <c r="B2245" s="720" t="s">
        <v>2611</v>
      </c>
      <c r="C2245" s="839" t="s">
        <v>3515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37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 x14ac:dyDescent="0.25">
      <c r="B2246" s="720" t="s">
        <v>2610</v>
      </c>
      <c r="C2246" s="839" t="s">
        <v>3515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1648</v>
      </c>
      <c r="I2246" s="1237" t="s">
        <v>1738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 x14ac:dyDescent="0.25">
      <c r="B2247" s="720" t="s">
        <v>2609</v>
      </c>
      <c r="C2247" s="839" t="s">
        <v>3515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1648</v>
      </c>
      <c r="I2247" s="1237" t="s">
        <v>1740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 x14ac:dyDescent="0.25">
      <c r="B2248" s="720" t="s">
        <v>2608</v>
      </c>
      <c r="C2248" s="839" t="s">
        <v>3515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1648</v>
      </c>
      <c r="I2248" s="1237" t="s">
        <v>1543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 x14ac:dyDescent="0.25">
      <c r="B2249" s="720" t="s">
        <v>2607</v>
      </c>
      <c r="C2249" s="839" t="s">
        <v>3515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1648</v>
      </c>
      <c r="I2249" s="1237" t="s">
        <v>1645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 x14ac:dyDescent="0.25">
      <c r="B2250" s="720" t="s">
        <v>2606</v>
      </c>
      <c r="C2250" s="839" t="s">
        <v>3515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1648</v>
      </c>
      <c r="I2250" s="1237" t="s">
        <v>1543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 x14ac:dyDescent="0.25">
      <c r="B2251" s="720" t="s">
        <v>2605</v>
      </c>
      <c r="C2251" s="839" t="s">
        <v>3515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1648</v>
      </c>
      <c r="I2251" s="1237" t="s">
        <v>1699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 x14ac:dyDescent="0.25">
      <c r="B2252" s="720" t="s">
        <v>2604</v>
      </c>
      <c r="C2252" s="839" t="s">
        <v>3515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1648</v>
      </c>
      <c r="I2252" s="1237" t="s">
        <v>1543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 x14ac:dyDescent="0.25">
      <c r="B2253" s="720" t="s">
        <v>2603</v>
      </c>
      <c r="C2253" s="839" t="s">
        <v>3515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1648</v>
      </c>
      <c r="I2253" s="1237" t="s">
        <v>1543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 x14ac:dyDescent="0.25">
      <c r="B2254" s="720" t="s">
        <v>2602</v>
      </c>
      <c r="C2254" s="839" t="s">
        <v>3515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1648</v>
      </c>
      <c r="I2254" s="1237" t="s">
        <v>1739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 x14ac:dyDescent="0.25">
      <c r="B2255" s="720" t="s">
        <v>2602</v>
      </c>
      <c r="C2255" s="839" t="s">
        <v>3515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1648</v>
      </c>
      <c r="I2255" s="1237" t="s">
        <v>1738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 x14ac:dyDescent="0.25">
      <c r="B2256" s="720" t="s">
        <v>2601</v>
      </c>
      <c r="C2256" s="839" t="s">
        <v>3515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1648</v>
      </c>
      <c r="I2256" s="1237" t="s">
        <v>1543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 x14ac:dyDescent="0.25">
      <c r="B2257" s="720" t="s">
        <v>2600</v>
      </c>
      <c r="C2257" s="839" t="s">
        <v>3515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4" t="s">
        <v>3370</v>
      </c>
      <c r="I2257" s="1237" t="s">
        <v>1577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 x14ac:dyDescent="0.25">
      <c r="B2258" s="720" t="s">
        <v>2599</v>
      </c>
      <c r="C2258" s="839" t="s">
        <v>3515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1648</v>
      </c>
      <c r="I2258" s="1237" t="s">
        <v>1699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 x14ac:dyDescent="0.25">
      <c r="B2259" s="720" t="s">
        <v>2598</v>
      </c>
      <c r="C2259" s="839" t="s">
        <v>3515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1648</v>
      </c>
      <c r="I2259" s="1237" t="s">
        <v>1738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 x14ac:dyDescent="0.25">
      <c r="B2260" s="720" t="s">
        <v>2598</v>
      </c>
      <c r="C2260" s="839" t="s">
        <v>3515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1648</v>
      </c>
      <c r="I2260" s="1237" t="s">
        <v>2307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 x14ac:dyDescent="0.25">
      <c r="B2261" s="720" t="s">
        <v>2597</v>
      </c>
      <c r="C2261" s="839" t="s">
        <v>3515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4" t="s">
        <v>3370</v>
      </c>
      <c r="I2261" s="1237" t="s">
        <v>1577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 x14ac:dyDescent="0.25">
      <c r="B2262" s="720" t="s">
        <v>2596</v>
      </c>
      <c r="C2262" s="839" t="s">
        <v>3515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1648</v>
      </c>
      <c r="I2262" s="1237" t="s">
        <v>1697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 x14ac:dyDescent="0.25">
      <c r="B2263" s="720" t="s">
        <v>2595</v>
      </c>
      <c r="C2263" s="839" t="s">
        <v>3515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37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 x14ac:dyDescent="0.25">
      <c r="B2264" s="720" t="s">
        <v>2594</v>
      </c>
      <c r="C2264" s="839" t="s">
        <v>3515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4" t="s">
        <v>3370</v>
      </c>
      <c r="I2264" s="1237" t="s">
        <v>1577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 x14ac:dyDescent="0.25">
      <c r="B2265" s="720" t="s">
        <v>2593</v>
      </c>
      <c r="C2265" s="839" t="s">
        <v>3515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1648</v>
      </c>
      <c r="I2265" s="1237" t="s">
        <v>1739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 x14ac:dyDescent="0.25">
      <c r="B2266" s="720" t="s">
        <v>2592</v>
      </c>
      <c r="C2266" s="839" t="s">
        <v>3515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1648</v>
      </c>
      <c r="I2266" s="1237" t="s">
        <v>1697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 x14ac:dyDescent="0.25">
      <c r="B2267" s="720" t="s">
        <v>2591</v>
      </c>
      <c r="C2267" s="839" t="s">
        <v>3515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1648</v>
      </c>
      <c r="I2267" s="1237" t="s">
        <v>1543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 x14ac:dyDescent="0.25">
      <c r="B2268" s="720" t="s">
        <v>2590</v>
      </c>
      <c r="C2268" s="839" t="s">
        <v>3515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1648</v>
      </c>
      <c r="I2268" s="1237" t="s">
        <v>1543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 x14ac:dyDescent="0.25">
      <c r="B2269" s="720" t="s">
        <v>2590</v>
      </c>
      <c r="C2269" s="839" t="s">
        <v>3515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1648</v>
      </c>
      <c r="I2269" s="1237" t="s">
        <v>2338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 x14ac:dyDescent="0.25">
      <c r="B2270" s="720" t="s">
        <v>2589</v>
      </c>
      <c r="C2270" s="839" t="s">
        <v>3515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1648</v>
      </c>
      <c r="I2270" s="1237" t="s">
        <v>1647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 x14ac:dyDescent="0.25">
      <c r="B2271" s="720" t="s">
        <v>2588</v>
      </c>
      <c r="C2271" s="839" t="s">
        <v>3515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1648</v>
      </c>
      <c r="I2271" s="1237" t="s">
        <v>1740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 x14ac:dyDescent="0.25">
      <c r="B2272" s="720" t="s">
        <v>2587</v>
      </c>
      <c r="C2272" s="839" t="s">
        <v>3515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1648</v>
      </c>
      <c r="I2272" s="1237" t="s">
        <v>1543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 x14ac:dyDescent="0.25">
      <c r="B2273" s="720" t="s">
        <v>2586</v>
      </c>
      <c r="C2273" s="839" t="s">
        <v>3515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1648</v>
      </c>
      <c r="I2273" s="1237" t="s">
        <v>1697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 x14ac:dyDescent="0.25">
      <c r="B2274" s="720" t="s">
        <v>2585</v>
      </c>
      <c r="C2274" s="839" t="s">
        <v>3515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1648</v>
      </c>
      <c r="I2274" s="1237" t="s">
        <v>1647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 x14ac:dyDescent="0.25">
      <c r="B2275" s="720" t="s">
        <v>2584</v>
      </c>
      <c r="C2275" s="839" t="s">
        <v>3515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1648</v>
      </c>
      <c r="I2275" s="1237" t="s">
        <v>2307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 x14ac:dyDescent="0.25">
      <c r="B2276" s="720" t="s">
        <v>2583</v>
      </c>
      <c r="C2276" s="839" t="s">
        <v>3515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1648</v>
      </c>
      <c r="I2276" s="1237" t="s">
        <v>1647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 x14ac:dyDescent="0.25">
      <c r="B2277" s="720" t="s">
        <v>2582</v>
      </c>
      <c r="C2277" s="839" t="s">
        <v>3515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1648</v>
      </c>
      <c r="I2277" s="1237" t="s">
        <v>1543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 x14ac:dyDescent="0.25">
      <c r="B2278" s="720" t="s">
        <v>2581</v>
      </c>
      <c r="C2278" s="839" t="s">
        <v>3515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1648</v>
      </c>
      <c r="I2278" s="1237" t="s">
        <v>2307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 x14ac:dyDescent="0.25">
      <c r="B2279" s="720" t="s">
        <v>2580</v>
      </c>
      <c r="C2279" s="839" t="s">
        <v>3515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37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 x14ac:dyDescent="0.25">
      <c r="B2280" s="720" t="s">
        <v>2579</v>
      </c>
      <c r="C2280" s="839" t="s">
        <v>3515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1648</v>
      </c>
      <c r="I2280" s="1237" t="s">
        <v>1739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 x14ac:dyDescent="0.25">
      <c r="B2281" s="720" t="s">
        <v>2578</v>
      </c>
      <c r="C2281" s="839" t="s">
        <v>3515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1648</v>
      </c>
      <c r="I2281" s="1237" t="s">
        <v>1697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 x14ac:dyDescent="0.25">
      <c r="B2282" s="720" t="s">
        <v>2577</v>
      </c>
      <c r="C2282" s="839" t="s">
        <v>3515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1648</v>
      </c>
      <c r="I2282" s="1237" t="s">
        <v>1698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 x14ac:dyDescent="0.25">
      <c r="B2283" s="720" t="s">
        <v>2576</v>
      </c>
      <c r="C2283" s="839" t="s">
        <v>3515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37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 x14ac:dyDescent="0.25">
      <c r="B2284" s="720" t="s">
        <v>2575</v>
      </c>
      <c r="C2284" s="839" t="s">
        <v>3515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1648</v>
      </c>
      <c r="I2284" s="1237" t="s">
        <v>2337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 x14ac:dyDescent="0.25">
      <c r="B2285" s="720" t="s">
        <v>2574</v>
      </c>
      <c r="C2285" s="839" t="s">
        <v>3515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1648</v>
      </c>
      <c r="I2285" s="1237" t="s">
        <v>1774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 x14ac:dyDescent="0.25">
      <c r="B2286" s="720" t="s">
        <v>2573</v>
      </c>
      <c r="C2286" s="839" t="s">
        <v>3515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1648</v>
      </c>
      <c r="I2286" s="1237" t="s">
        <v>2307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 x14ac:dyDescent="0.25">
      <c r="B2287" s="720" t="s">
        <v>2572</v>
      </c>
      <c r="C2287" s="839" t="s">
        <v>3515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1648</v>
      </c>
      <c r="I2287" s="1237" t="s">
        <v>1543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 x14ac:dyDescent="0.25">
      <c r="B2288" s="720" t="s">
        <v>2571</v>
      </c>
      <c r="C2288" s="839" t="s">
        <v>3515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1648</v>
      </c>
      <c r="I2288" s="1237" t="s">
        <v>2338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 x14ac:dyDescent="0.25">
      <c r="B2289" s="720" t="s">
        <v>2570</v>
      </c>
      <c r="C2289" s="839" t="s">
        <v>3515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37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 x14ac:dyDescent="0.25">
      <c r="B2290" s="720" t="s">
        <v>2569</v>
      </c>
      <c r="C2290" s="839" t="s">
        <v>3515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1648</v>
      </c>
      <c r="I2290" s="1237" t="s">
        <v>2537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 x14ac:dyDescent="0.25">
      <c r="B2291" s="720" t="s">
        <v>2568</v>
      </c>
      <c r="C2291" s="839" t="s">
        <v>3515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1648</v>
      </c>
      <c r="I2291" s="1237" t="s">
        <v>1645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 x14ac:dyDescent="0.25">
      <c r="B2292" s="720" t="s">
        <v>2567</v>
      </c>
      <c r="C2292" s="839" t="s">
        <v>3515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1648</v>
      </c>
      <c r="I2292" s="1237" t="s">
        <v>1738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 x14ac:dyDescent="0.25">
      <c r="B2293" s="720" t="s">
        <v>2566</v>
      </c>
      <c r="C2293" s="839" t="s">
        <v>3515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1648</v>
      </c>
      <c r="I2293" s="1237" t="s">
        <v>1699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 x14ac:dyDescent="0.25">
      <c r="B2294" s="720" t="s">
        <v>2565</v>
      </c>
      <c r="C2294" s="839" t="s">
        <v>3515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1648</v>
      </c>
      <c r="I2294" s="1237" t="s">
        <v>1699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 x14ac:dyDescent="0.25">
      <c r="B2295" s="720" t="s">
        <v>2564</v>
      </c>
      <c r="C2295" s="839" t="s">
        <v>3515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1648</v>
      </c>
      <c r="I2295" s="1237" t="s">
        <v>2277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 x14ac:dyDescent="0.25">
      <c r="B2296" s="720" t="s">
        <v>2563</v>
      </c>
      <c r="C2296" s="839" t="s">
        <v>3515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1648</v>
      </c>
      <c r="I2296" s="1237" t="s">
        <v>1543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 x14ac:dyDescent="0.25">
      <c r="B2297" s="720" t="s">
        <v>2562</v>
      </c>
      <c r="C2297" s="839" t="s">
        <v>3515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1648</v>
      </c>
      <c r="I2297" s="1237" t="s">
        <v>2307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 x14ac:dyDescent="0.25">
      <c r="B2298" s="720" t="s">
        <v>2561</v>
      </c>
      <c r="C2298" s="839" t="s">
        <v>3515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37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 x14ac:dyDescent="0.25">
      <c r="B2299" s="720" t="s">
        <v>2560</v>
      </c>
      <c r="C2299" s="839" t="s">
        <v>3515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1648</v>
      </c>
      <c r="I2299" s="1237" t="s">
        <v>2307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 x14ac:dyDescent="0.25">
      <c r="B2300" s="720" t="s">
        <v>2559</v>
      </c>
      <c r="C2300" s="839" t="s">
        <v>3515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1648</v>
      </c>
      <c r="I2300" s="1237" t="s">
        <v>1739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 x14ac:dyDescent="0.25">
      <c r="B2301" s="721" t="s">
        <v>2643</v>
      </c>
      <c r="C2301" s="839" t="s">
        <v>3515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2127</v>
      </c>
      <c r="I2301" s="1238" t="s">
        <v>1774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 x14ac:dyDescent="0.25">
      <c r="B2302" s="721" t="s">
        <v>2643</v>
      </c>
      <c r="C2302" s="839" t="s">
        <v>3515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2127</v>
      </c>
      <c r="I2302" s="1238" t="s">
        <v>1774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 x14ac:dyDescent="0.25">
      <c r="B2303" s="721" t="s">
        <v>2645</v>
      </c>
      <c r="C2303" s="839" t="s">
        <v>3515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2127</v>
      </c>
      <c r="I2303" s="1238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 x14ac:dyDescent="0.25">
      <c r="B2304" s="721" t="s">
        <v>2642</v>
      </c>
      <c r="C2304" s="839" t="s">
        <v>3515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2127</v>
      </c>
      <c r="I2304" s="1238" t="s">
        <v>2128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 x14ac:dyDescent="0.25">
      <c r="B2305" s="721" t="s">
        <v>2641</v>
      </c>
      <c r="C2305" s="839" t="s">
        <v>3515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2127</v>
      </c>
      <c r="I2305" s="1238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 x14ac:dyDescent="0.25">
      <c r="B2306" s="721" t="s">
        <v>2640</v>
      </c>
      <c r="C2306" s="839" t="s">
        <v>3515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1648</v>
      </c>
      <c r="I2306" s="1238" t="s">
        <v>1647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 x14ac:dyDescent="0.25">
      <c r="B2307" s="721" t="s">
        <v>2640</v>
      </c>
      <c r="C2307" s="839" t="s">
        <v>3515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38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 x14ac:dyDescent="0.25">
      <c r="B2308" s="721" t="s">
        <v>2639</v>
      </c>
      <c r="C2308" s="839" t="s">
        <v>3515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2127</v>
      </c>
      <c r="I2308" s="1238" t="s">
        <v>2128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 x14ac:dyDescent="0.25">
      <c r="B2309" s="721" t="s">
        <v>2638</v>
      </c>
      <c r="C2309" s="839" t="s">
        <v>3515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2127</v>
      </c>
      <c r="I2309" s="1238" t="s">
        <v>1774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 x14ac:dyDescent="0.25">
      <c r="B2310" s="721" t="s">
        <v>2636</v>
      </c>
      <c r="C2310" s="839" t="s">
        <v>3515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2127</v>
      </c>
      <c r="I2310" s="1238" t="s">
        <v>2128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 x14ac:dyDescent="0.25">
      <c r="B2311" s="721" t="s">
        <v>2637</v>
      </c>
      <c r="C2311" s="839" t="s">
        <v>3515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2127</v>
      </c>
      <c r="I2311" s="1238" t="s">
        <v>2644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 x14ac:dyDescent="0.25">
      <c r="B2312" s="721" t="s">
        <v>2635</v>
      </c>
      <c r="C2312" s="839" t="s">
        <v>3515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1648</v>
      </c>
      <c r="I2312" s="1238" t="s">
        <v>1697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 x14ac:dyDescent="0.25">
      <c r="B2313" s="721" t="s">
        <v>2634</v>
      </c>
      <c r="C2313" s="839" t="s">
        <v>3515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2127</v>
      </c>
      <c r="I2313" s="1238" t="s">
        <v>2128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 x14ac:dyDescent="0.25">
      <c r="B2314" s="721" t="s">
        <v>2633</v>
      </c>
      <c r="C2314" s="839" t="s">
        <v>3515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38" t="s">
        <v>1823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 x14ac:dyDescent="0.25">
      <c r="B2315" s="721" t="s">
        <v>2632</v>
      </c>
      <c r="C2315" s="839" t="s">
        <v>3515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2127</v>
      </c>
      <c r="I2315" s="1238" t="s">
        <v>2644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 x14ac:dyDescent="0.25">
      <c r="B2316" s="721" t="s">
        <v>2631</v>
      </c>
      <c r="C2316" s="839" t="s">
        <v>3515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1648</v>
      </c>
      <c r="I2316" s="1238" t="s">
        <v>2277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 x14ac:dyDescent="0.25">
      <c r="B2317" s="721" t="s">
        <v>2630</v>
      </c>
      <c r="C2317" s="839" t="s">
        <v>3515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4" t="s">
        <v>3370</v>
      </c>
      <c r="I2317" s="1238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 x14ac:dyDescent="0.25">
      <c r="B2318" s="721" t="s">
        <v>2629</v>
      </c>
      <c r="C2318" s="839" t="s">
        <v>3515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1648</v>
      </c>
      <c r="I2318" s="1238" t="s">
        <v>1543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 x14ac:dyDescent="0.25">
      <c r="B2319" s="721" t="s">
        <v>2628</v>
      </c>
      <c r="C2319" s="839" t="s">
        <v>3515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2127</v>
      </c>
      <c r="I2319" s="1238" t="s">
        <v>2128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 x14ac:dyDescent="0.25">
      <c r="B2320" s="722" t="s">
        <v>2694</v>
      </c>
      <c r="C2320" s="839" t="s">
        <v>3515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2127</v>
      </c>
      <c r="I2320" s="1239" t="s">
        <v>2130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 x14ac:dyDescent="0.25">
      <c r="B2321" s="722" t="s">
        <v>2693</v>
      </c>
      <c r="C2321" s="839" t="s">
        <v>3515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2127</v>
      </c>
      <c r="I2321" s="1238" t="s">
        <v>1774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 x14ac:dyDescent="0.25">
      <c r="B2322" s="722" t="s">
        <v>2692</v>
      </c>
      <c r="C2322" s="839" t="s">
        <v>3515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2127</v>
      </c>
      <c r="I2322" s="1238" t="s">
        <v>1774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 x14ac:dyDescent="0.25">
      <c r="B2323" s="722" t="s">
        <v>2691</v>
      </c>
      <c r="C2323" s="839" t="s">
        <v>3515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2127</v>
      </c>
      <c r="I2323" s="1238" t="s">
        <v>2128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 x14ac:dyDescent="0.25">
      <c r="B2324" s="722" t="s">
        <v>2690</v>
      </c>
      <c r="C2324" s="839" t="s">
        <v>3515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1648</v>
      </c>
      <c r="I2324" s="1239" t="s">
        <v>2537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 x14ac:dyDescent="0.25">
      <c r="B2325" s="722" t="s">
        <v>2689</v>
      </c>
      <c r="C2325" s="839" t="s">
        <v>3515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1648</v>
      </c>
      <c r="I2325" s="1239" t="s">
        <v>1543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 x14ac:dyDescent="0.25">
      <c r="B2326" s="722" t="s">
        <v>2688</v>
      </c>
      <c r="C2326" s="839" t="s">
        <v>3515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1648</v>
      </c>
      <c r="I2326" s="1239" t="s">
        <v>1645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 x14ac:dyDescent="0.25">
      <c r="B2327" s="722" t="s">
        <v>2687</v>
      </c>
      <c r="C2327" s="839" t="s">
        <v>3515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1648</v>
      </c>
      <c r="I2327" s="1239" t="s">
        <v>2307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 x14ac:dyDescent="0.25">
      <c r="B2328" s="722" t="s">
        <v>2686</v>
      </c>
      <c r="C2328" s="839" t="s">
        <v>3515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2695</v>
      </c>
      <c r="I2328" s="1239" t="s">
        <v>1540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 x14ac:dyDescent="0.25">
      <c r="B2329" s="722" t="s">
        <v>2685</v>
      </c>
      <c r="C2329" s="839" t="s">
        <v>3515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2695</v>
      </c>
      <c r="I2329" s="1239" t="s">
        <v>1540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 x14ac:dyDescent="0.25">
      <c r="B2330" s="722" t="s">
        <v>2684</v>
      </c>
      <c r="C2330" s="839" t="s">
        <v>3515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2695</v>
      </c>
      <c r="I2330" s="1239" t="s">
        <v>1540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 x14ac:dyDescent="0.25">
      <c r="B2331" s="722" t="s">
        <v>2683</v>
      </c>
      <c r="C2331" s="839" t="s">
        <v>3515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2695</v>
      </c>
      <c r="I2331" s="1239" t="s">
        <v>1540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 x14ac:dyDescent="0.25">
      <c r="B2332" s="722" t="s">
        <v>2683</v>
      </c>
      <c r="C2332" s="839" t="s">
        <v>3515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2127</v>
      </c>
      <c r="I2332" s="1239" t="s">
        <v>2128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 x14ac:dyDescent="0.25">
      <c r="B2333" s="722" t="s">
        <v>2682</v>
      </c>
      <c r="C2333" s="839" t="s">
        <v>3515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2695</v>
      </c>
      <c r="I2333" s="1239" t="s">
        <v>2696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 x14ac:dyDescent="0.25">
      <c r="B2334" s="723" t="s">
        <v>2792</v>
      </c>
      <c r="C2334" s="839" t="s">
        <v>3515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2127</v>
      </c>
      <c r="I2334" s="1240" t="s">
        <v>2128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 x14ac:dyDescent="0.25">
      <c r="B2335" s="723" t="s">
        <v>2785</v>
      </c>
      <c r="C2335" s="839" t="s">
        <v>3515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1648</v>
      </c>
      <c r="I2335" s="1240" t="s">
        <v>1543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 x14ac:dyDescent="0.25">
      <c r="B2336" s="723" t="s">
        <v>2784</v>
      </c>
      <c r="C2336" s="839" t="s">
        <v>3515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1648</v>
      </c>
      <c r="I2336" s="1240" t="s">
        <v>1543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 x14ac:dyDescent="0.25">
      <c r="B2337" s="723" t="s">
        <v>2783</v>
      </c>
      <c r="C2337" s="839" t="s">
        <v>3515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2127</v>
      </c>
      <c r="I2337" s="1240" t="s">
        <v>2128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 x14ac:dyDescent="0.25">
      <c r="B2338" s="723" t="s">
        <v>2782</v>
      </c>
      <c r="C2338" s="839" t="s">
        <v>3515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2695</v>
      </c>
      <c r="I2338" s="1239" t="s">
        <v>1540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 x14ac:dyDescent="0.25">
      <c r="B2339" s="723" t="s">
        <v>2781</v>
      </c>
      <c r="C2339" s="839" t="s">
        <v>3515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2127</v>
      </c>
      <c r="I2339" s="1240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 x14ac:dyDescent="0.25">
      <c r="B2340" s="723" t="s">
        <v>2780</v>
      </c>
      <c r="C2340" s="839" t="s">
        <v>3515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2127</v>
      </c>
      <c r="I2340" s="1240" t="s">
        <v>1774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 x14ac:dyDescent="0.25">
      <c r="B2341" s="723" t="s">
        <v>2779</v>
      </c>
      <c r="C2341" s="839" t="s">
        <v>3515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2127</v>
      </c>
      <c r="I2341" s="1240" t="s">
        <v>1774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 x14ac:dyDescent="0.25">
      <c r="B2342" s="723" t="s">
        <v>2778</v>
      </c>
      <c r="C2342" s="839" t="s">
        <v>3515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2127</v>
      </c>
      <c r="I2342" s="1240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 x14ac:dyDescent="0.25">
      <c r="B2343" s="723" t="s">
        <v>2777</v>
      </c>
      <c r="C2343" s="839" t="s">
        <v>3515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2127</v>
      </c>
      <c r="I2343" s="1240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 x14ac:dyDescent="0.25">
      <c r="B2344" s="723" t="s">
        <v>2776</v>
      </c>
      <c r="C2344" s="839" t="s">
        <v>3515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2695</v>
      </c>
      <c r="I2344" s="1240" t="s">
        <v>2786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 x14ac:dyDescent="0.25">
      <c r="B2345" s="723" t="s">
        <v>2775</v>
      </c>
      <c r="C2345" s="839" t="s">
        <v>3515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2695</v>
      </c>
      <c r="I2345" s="1240" t="s">
        <v>2786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 x14ac:dyDescent="0.25">
      <c r="B2346" s="723" t="s">
        <v>2774</v>
      </c>
      <c r="C2346" s="839" t="s">
        <v>3515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2127</v>
      </c>
      <c r="I2346" s="1240" t="s">
        <v>1774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 x14ac:dyDescent="0.25">
      <c r="B2347" s="723" t="s">
        <v>2773</v>
      </c>
      <c r="C2347" s="839" t="s">
        <v>3515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2695</v>
      </c>
      <c r="I2347" s="1239" t="s">
        <v>1540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 x14ac:dyDescent="0.25">
      <c r="B2348" s="723" t="s">
        <v>2772</v>
      </c>
      <c r="C2348" s="839" t="s">
        <v>3515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2695</v>
      </c>
      <c r="I2348" s="1240" t="s">
        <v>2787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 x14ac:dyDescent="0.25">
      <c r="B2349" s="723" t="s">
        <v>2771</v>
      </c>
      <c r="C2349" s="839" t="s">
        <v>3515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2695</v>
      </c>
      <c r="I2349" s="1240" t="s">
        <v>2789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 x14ac:dyDescent="0.25">
      <c r="B2350" s="723" t="s">
        <v>2770</v>
      </c>
      <c r="C2350" s="839" t="s">
        <v>3515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2695</v>
      </c>
      <c r="I2350" s="1240" t="s">
        <v>2788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 x14ac:dyDescent="0.25">
      <c r="B2351" s="723" t="s">
        <v>2769</v>
      </c>
      <c r="C2351" s="839" t="s">
        <v>3515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2127</v>
      </c>
      <c r="I2351" s="1240" t="s">
        <v>1774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 x14ac:dyDescent="0.25">
      <c r="B2352" s="723" t="s">
        <v>2768</v>
      </c>
      <c r="C2352" s="839" t="s">
        <v>3515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40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 x14ac:dyDescent="0.25">
      <c r="B2353" s="723" t="s">
        <v>2767</v>
      </c>
      <c r="C2353" s="839" t="s">
        <v>3515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2127</v>
      </c>
      <c r="I2353" s="1240" t="s">
        <v>1774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 x14ac:dyDescent="0.25">
      <c r="B2354" s="723" t="s">
        <v>2766</v>
      </c>
      <c r="C2354" s="839" t="s">
        <v>3515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2695</v>
      </c>
      <c r="I2354" s="1240" t="s">
        <v>2789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 x14ac:dyDescent="0.25">
      <c r="B2355" s="723" t="s">
        <v>2765</v>
      </c>
      <c r="C2355" s="839" t="s">
        <v>3515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2127</v>
      </c>
      <c r="I2355" s="1240" t="s">
        <v>1774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 x14ac:dyDescent="0.25">
      <c r="B2356" s="723" t="s">
        <v>2764</v>
      </c>
      <c r="C2356" s="839" t="s">
        <v>3515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2695</v>
      </c>
      <c r="I2356" s="1239" t="s">
        <v>1540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 x14ac:dyDescent="0.25">
      <c r="B2357" s="723" t="s">
        <v>2764</v>
      </c>
      <c r="C2357" s="839" t="s">
        <v>3515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1648</v>
      </c>
      <c r="I2357" s="1240" t="s">
        <v>1739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 x14ac:dyDescent="0.25">
      <c r="B2358" s="723" t="s">
        <v>2763</v>
      </c>
      <c r="C2358" s="839" t="s">
        <v>3515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40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 x14ac:dyDescent="0.25">
      <c r="B2359" s="723" t="s">
        <v>2762</v>
      </c>
      <c r="C2359" s="839" t="s">
        <v>3515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2127</v>
      </c>
      <c r="I2359" s="1240" t="s">
        <v>2130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 x14ac:dyDescent="0.25">
      <c r="B2360" s="723" t="s">
        <v>2761</v>
      </c>
      <c r="C2360" s="839" t="s">
        <v>3515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2695</v>
      </c>
      <c r="I2360" s="1240" t="s">
        <v>2696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 x14ac:dyDescent="0.25">
      <c r="B2361" s="723" t="s">
        <v>2761</v>
      </c>
      <c r="C2361" s="839" t="s">
        <v>3515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2695</v>
      </c>
      <c r="I2361" s="1240" t="s">
        <v>1540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 x14ac:dyDescent="0.25">
      <c r="B2362" s="723" t="s">
        <v>2760</v>
      </c>
      <c r="C2362" s="839" t="s">
        <v>3515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1648</v>
      </c>
      <c r="I2362" s="1240" t="s">
        <v>1543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 x14ac:dyDescent="0.25">
      <c r="B2363" s="723" t="s">
        <v>2759</v>
      </c>
      <c r="C2363" s="839" t="s">
        <v>3515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2127</v>
      </c>
      <c r="I2363" s="1240" t="s">
        <v>1774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 x14ac:dyDescent="0.25">
      <c r="B2364" s="723" t="s">
        <v>2758</v>
      </c>
      <c r="C2364" s="839" t="s">
        <v>3515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2127</v>
      </c>
      <c r="I2364" s="1240" t="s">
        <v>1774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 x14ac:dyDescent="0.25">
      <c r="B2365" s="723" t="s">
        <v>2757</v>
      </c>
      <c r="C2365" s="839" t="s">
        <v>3515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40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2011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 x14ac:dyDescent="0.25">
      <c r="B2366" s="723" t="s">
        <v>2757</v>
      </c>
      <c r="C2366" s="839" t="s">
        <v>3515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2127</v>
      </c>
      <c r="I2366" s="1240" t="s">
        <v>2130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 x14ac:dyDescent="0.25">
      <c r="B2367" s="723" t="s">
        <v>2756</v>
      </c>
      <c r="C2367" s="839" t="s">
        <v>3515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1648</v>
      </c>
      <c r="I2367" s="1240" t="s">
        <v>1543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 x14ac:dyDescent="0.25">
      <c r="B2368" s="723" t="s">
        <v>2755</v>
      </c>
      <c r="C2368" s="839" t="s">
        <v>3515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2127</v>
      </c>
      <c r="I2368" s="1240" t="s">
        <v>2787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 x14ac:dyDescent="0.25">
      <c r="B2369" s="723" t="s">
        <v>2754</v>
      </c>
      <c r="C2369" s="839" t="s">
        <v>3515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1648</v>
      </c>
      <c r="I2369" s="1240" t="s">
        <v>1739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 x14ac:dyDescent="0.25">
      <c r="B2370" s="723" t="s">
        <v>2753</v>
      </c>
      <c r="C2370" s="839" t="s">
        <v>3515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1648</v>
      </c>
      <c r="I2370" s="1240" t="s">
        <v>1647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 x14ac:dyDescent="0.25">
      <c r="B2371" s="723" t="s">
        <v>1928</v>
      </c>
      <c r="C2371" s="839" t="s">
        <v>3515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2127</v>
      </c>
      <c r="I2371" s="1240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 x14ac:dyDescent="0.25">
      <c r="B2372" s="723" t="s">
        <v>2752</v>
      </c>
      <c r="C2372" s="839" t="s">
        <v>3515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2127</v>
      </c>
      <c r="I2372" s="1240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 x14ac:dyDescent="0.25">
      <c r="B2373" s="723" t="s">
        <v>2751</v>
      </c>
      <c r="C2373" s="839" t="s">
        <v>3515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2695</v>
      </c>
      <c r="I2373" s="1240" t="s">
        <v>2128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 x14ac:dyDescent="0.25">
      <c r="B2374" s="723" t="s">
        <v>2750</v>
      </c>
      <c r="C2374" s="839" t="s">
        <v>3515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2695</v>
      </c>
      <c r="I2374" s="1240" t="s">
        <v>1540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 x14ac:dyDescent="0.25">
      <c r="B2375" s="723" t="s">
        <v>2749</v>
      </c>
      <c r="C2375" s="839" t="s">
        <v>3515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2695</v>
      </c>
      <c r="I2375" s="1240" t="s">
        <v>1540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 x14ac:dyDescent="0.25">
      <c r="B2376" s="723" t="s">
        <v>2748</v>
      </c>
      <c r="C2376" s="839" t="s">
        <v>3515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2127</v>
      </c>
      <c r="I2376" s="1240" t="s">
        <v>2128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 x14ac:dyDescent="0.25">
      <c r="B2377" s="723" t="s">
        <v>2747</v>
      </c>
      <c r="C2377" s="839" t="s">
        <v>3515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4" t="s">
        <v>3370</v>
      </c>
      <c r="I2377" s="1240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2790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 x14ac:dyDescent="0.25">
      <c r="B2378" s="723" t="s">
        <v>2746</v>
      </c>
      <c r="C2378" s="839" t="s">
        <v>3515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40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 x14ac:dyDescent="0.25">
      <c r="B2379" s="724" t="s">
        <v>2839</v>
      </c>
      <c r="C2379" s="839" t="s">
        <v>3515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2127</v>
      </c>
      <c r="I2379" s="1240" t="s">
        <v>2128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 x14ac:dyDescent="0.25">
      <c r="B2380" s="724" t="s">
        <v>2838</v>
      </c>
      <c r="C2380" s="839" t="s">
        <v>3515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1648</v>
      </c>
      <c r="I2380" s="1241" t="s">
        <v>1756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 x14ac:dyDescent="0.25">
      <c r="B2381" s="724" t="s">
        <v>2837</v>
      </c>
      <c r="C2381" s="839" t="s">
        <v>3515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2127</v>
      </c>
      <c r="I2381" s="1240" t="s">
        <v>2128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 x14ac:dyDescent="0.25">
      <c r="B2382" s="724" t="s">
        <v>2836</v>
      </c>
      <c r="C2382" s="839" t="s">
        <v>3515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2127</v>
      </c>
      <c r="I2382" s="1241" t="s">
        <v>1774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 x14ac:dyDescent="0.25">
      <c r="B2383" s="724" t="s">
        <v>2835</v>
      </c>
      <c r="C2383" s="839" t="s">
        <v>3515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2127</v>
      </c>
      <c r="I2383" s="1241" t="s">
        <v>1774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 x14ac:dyDescent="0.25">
      <c r="B2384" s="724" t="s">
        <v>2834</v>
      </c>
      <c r="C2384" s="839" t="s">
        <v>3515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41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 x14ac:dyDescent="0.25">
      <c r="B2385" s="724" t="s">
        <v>2833</v>
      </c>
      <c r="C2385" s="839" t="s">
        <v>3515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2127</v>
      </c>
      <c r="I2385" s="1241" t="s">
        <v>1774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 x14ac:dyDescent="0.25">
      <c r="B2386" s="724" t="s">
        <v>2832</v>
      </c>
      <c r="C2386" s="839" t="s">
        <v>3515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1648</v>
      </c>
      <c r="I2386" s="1240" t="s">
        <v>1543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 x14ac:dyDescent="0.25">
      <c r="B2387" s="724" t="s">
        <v>2831</v>
      </c>
      <c r="C2387" s="839" t="s">
        <v>3515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1648</v>
      </c>
      <c r="I2387" s="1240" t="s">
        <v>1543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 x14ac:dyDescent="0.25">
      <c r="B2388" s="724" t="s">
        <v>2830</v>
      </c>
      <c r="C2388" s="839" t="s">
        <v>3515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1648</v>
      </c>
      <c r="I2388" s="1241" t="s">
        <v>2338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 x14ac:dyDescent="0.25">
      <c r="B2389" s="724" t="s">
        <v>2829</v>
      </c>
      <c r="C2389" s="839" t="s">
        <v>3515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2127</v>
      </c>
      <c r="I2389" s="1241" t="s">
        <v>1774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 x14ac:dyDescent="0.25">
      <c r="B2390" s="724" t="s">
        <v>2828</v>
      </c>
      <c r="C2390" s="839" t="s">
        <v>3515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41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 x14ac:dyDescent="0.25">
      <c r="B2391" s="724" t="s">
        <v>2827</v>
      </c>
      <c r="C2391" s="839" t="s">
        <v>3515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4" t="s">
        <v>3370</v>
      </c>
      <c r="I2391" s="1241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 x14ac:dyDescent="0.25">
      <c r="B2392" s="724" t="s">
        <v>2826</v>
      </c>
      <c r="C2392" s="839" t="s">
        <v>3515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1648</v>
      </c>
      <c r="I2392" s="1241" t="s">
        <v>1697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 x14ac:dyDescent="0.25">
      <c r="B2393" s="724" t="s">
        <v>2825</v>
      </c>
      <c r="C2393" s="839" t="s">
        <v>3515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4" t="s">
        <v>3370</v>
      </c>
      <c r="I2393" s="1241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 x14ac:dyDescent="0.25">
      <c r="B2394" s="724" t="s">
        <v>2824</v>
      </c>
      <c r="C2394" s="839" t="s">
        <v>3515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40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 x14ac:dyDescent="0.25">
      <c r="B2395" s="724" t="s">
        <v>2823</v>
      </c>
      <c r="C2395" s="839" t="s">
        <v>3515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1648</v>
      </c>
      <c r="I2395" s="1241" t="s">
        <v>1645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 x14ac:dyDescent="0.25">
      <c r="B2396" s="724" t="s">
        <v>2822</v>
      </c>
      <c r="C2396" s="839" t="s">
        <v>3515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1648</v>
      </c>
      <c r="I2396" s="1241" t="s">
        <v>1697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 x14ac:dyDescent="0.25">
      <c r="B2397" s="724" t="s">
        <v>2821</v>
      </c>
      <c r="C2397" s="839" t="s">
        <v>3515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2127</v>
      </c>
      <c r="I2397" s="1240" t="s">
        <v>2128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 x14ac:dyDescent="0.25">
      <c r="B2398" s="724" t="s">
        <v>2820</v>
      </c>
      <c r="C2398" s="839" t="s">
        <v>3515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41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 x14ac:dyDescent="0.25">
      <c r="B2399" s="724" t="s">
        <v>2819</v>
      </c>
      <c r="C2399" s="839" t="s">
        <v>3515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2127</v>
      </c>
      <c r="I2399" s="1240" t="s">
        <v>2128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 x14ac:dyDescent="0.25">
      <c r="B2400" s="724" t="s">
        <v>2818</v>
      </c>
      <c r="C2400" s="839" t="s">
        <v>3515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2127</v>
      </c>
      <c r="I2400" s="1241" t="s">
        <v>1774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 x14ac:dyDescent="0.25">
      <c r="B2401" s="724" t="s">
        <v>2852</v>
      </c>
      <c r="C2401" s="839" t="s">
        <v>3515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41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 x14ac:dyDescent="0.25">
      <c r="B2402" s="724" t="s">
        <v>2851</v>
      </c>
      <c r="C2402" s="839" t="s">
        <v>3515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1648</v>
      </c>
      <c r="I2402" s="1241" t="s">
        <v>1756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 x14ac:dyDescent="0.25">
      <c r="B2403" s="724" t="s">
        <v>2850</v>
      </c>
      <c r="C2403" s="839" t="s">
        <v>3515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1648</v>
      </c>
      <c r="I2403" s="1241" t="s">
        <v>2307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 x14ac:dyDescent="0.25">
      <c r="B2404" s="724" t="s">
        <v>2849</v>
      </c>
      <c r="C2404" s="839" t="s">
        <v>3515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1648</v>
      </c>
      <c r="I2404" s="1241" t="s">
        <v>2277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 x14ac:dyDescent="0.25">
      <c r="B2405" s="724" t="s">
        <v>2848</v>
      </c>
      <c r="C2405" s="839" t="s">
        <v>3515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1648</v>
      </c>
      <c r="I2405" s="1241" t="s">
        <v>1543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 x14ac:dyDescent="0.25">
      <c r="B2406" s="724" t="s">
        <v>2847</v>
      </c>
      <c r="C2406" s="839" t="s">
        <v>3515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1648</v>
      </c>
      <c r="I2406" s="1241" t="s">
        <v>2277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 x14ac:dyDescent="0.25">
      <c r="B2407" s="724" t="s">
        <v>2846</v>
      </c>
      <c r="C2407" s="839" t="s">
        <v>3515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1648</v>
      </c>
      <c r="I2407" s="1241" t="s">
        <v>1543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 x14ac:dyDescent="0.25">
      <c r="B2408" s="724" t="s">
        <v>2845</v>
      </c>
      <c r="C2408" s="839" t="s">
        <v>3515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1648</v>
      </c>
      <c r="I2408" s="1241" t="s">
        <v>1739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 x14ac:dyDescent="0.25">
      <c r="B2409" s="724" t="s">
        <v>2844</v>
      </c>
      <c r="C2409" s="839" t="s">
        <v>3515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1648</v>
      </c>
      <c r="I2409" s="1241" t="s">
        <v>1645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 x14ac:dyDescent="0.25">
      <c r="B2410" s="724" t="s">
        <v>2843</v>
      </c>
      <c r="C2410" s="839" t="s">
        <v>3515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4" t="s">
        <v>3370</v>
      </c>
      <c r="I2410" s="1241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2131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 x14ac:dyDescent="0.25">
      <c r="B2411" s="724" t="s">
        <v>2842</v>
      </c>
      <c r="C2411" s="839" t="s">
        <v>3515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2853</v>
      </c>
      <c r="I2411" s="1241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 x14ac:dyDescent="0.25">
      <c r="B2412" s="724" t="s">
        <v>2841</v>
      </c>
      <c r="C2412" s="839" t="s">
        <v>3515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1648</v>
      </c>
      <c r="I2412" s="1241" t="s">
        <v>2854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 x14ac:dyDescent="0.25">
      <c r="B2413" s="724" t="s">
        <v>2840</v>
      </c>
      <c r="C2413" s="839" t="s">
        <v>3515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4" t="s">
        <v>3370</v>
      </c>
      <c r="I2413" s="1241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486" t="s">
        <v>2011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 x14ac:dyDescent="0.25">
      <c r="B2414" s="724" t="s">
        <v>2918</v>
      </c>
      <c r="C2414" s="839" t="s">
        <v>3515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1648</v>
      </c>
      <c r="I2414" s="1241" t="s">
        <v>1739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 x14ac:dyDescent="0.25">
      <c r="B2415" s="724" t="s">
        <v>2917</v>
      </c>
      <c r="C2415" s="839" t="s">
        <v>3515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1648</v>
      </c>
      <c r="I2415" s="1241" t="s">
        <v>1698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 x14ac:dyDescent="0.25">
      <c r="B2416" s="724" t="s">
        <v>2916</v>
      </c>
      <c r="C2416" s="839" t="s">
        <v>3515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1648</v>
      </c>
      <c r="I2416" s="1241" t="s">
        <v>2919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 x14ac:dyDescent="0.25">
      <c r="B2417" s="724" t="s">
        <v>2915</v>
      </c>
      <c r="C2417" s="839" t="s">
        <v>3515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1648</v>
      </c>
      <c r="I2417" s="1241" t="s">
        <v>2920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 x14ac:dyDescent="0.25">
      <c r="B2418" s="724" t="s">
        <v>2914</v>
      </c>
      <c r="C2418" s="839" t="s">
        <v>3515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1648</v>
      </c>
      <c r="I2418" s="1241" t="s">
        <v>1543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 x14ac:dyDescent="0.25">
      <c r="B2419" s="724" t="s">
        <v>2913</v>
      </c>
      <c r="C2419" s="839" t="s">
        <v>3515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1648</v>
      </c>
      <c r="I2419" s="1241" t="s">
        <v>1697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 x14ac:dyDescent="0.25">
      <c r="B2420" s="724" t="s">
        <v>2913</v>
      </c>
      <c r="C2420" s="839" t="s">
        <v>3515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1648</v>
      </c>
      <c r="I2420" s="1241" t="s">
        <v>2920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 x14ac:dyDescent="0.25">
      <c r="B2421" s="724" t="s">
        <v>2912</v>
      </c>
      <c r="C2421" s="839" t="s">
        <v>3515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1648</v>
      </c>
      <c r="I2421" s="1241" t="s">
        <v>1543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 x14ac:dyDescent="0.25">
      <c r="B2422" s="724" t="s">
        <v>2911</v>
      </c>
      <c r="C2422" s="839" t="s">
        <v>3515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1648</v>
      </c>
      <c r="I2422" s="1241" t="s">
        <v>2307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 x14ac:dyDescent="0.25">
      <c r="B2423" s="724" t="s">
        <v>2910</v>
      </c>
      <c r="C2423" s="839" t="s">
        <v>3515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1648</v>
      </c>
      <c r="I2423" s="1241" t="s">
        <v>2854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 x14ac:dyDescent="0.25">
      <c r="B2424" s="724" t="s">
        <v>2909</v>
      </c>
      <c r="C2424" s="839" t="s">
        <v>3515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41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 x14ac:dyDescent="0.25">
      <c r="B2425" s="724" t="s">
        <v>2908</v>
      </c>
      <c r="C2425" s="839" t="s">
        <v>3515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1648</v>
      </c>
      <c r="I2425" s="1241" t="s">
        <v>2307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 x14ac:dyDescent="0.25">
      <c r="B2426" s="724" t="s">
        <v>2907</v>
      </c>
      <c r="C2426" s="839" t="s">
        <v>3515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1648</v>
      </c>
      <c r="I2426" s="1241" t="s">
        <v>2307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 x14ac:dyDescent="0.25">
      <c r="B2427" s="724" t="s">
        <v>2906</v>
      </c>
      <c r="C2427" s="839" t="s">
        <v>3515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1648</v>
      </c>
      <c r="I2427" s="1241" t="s">
        <v>1756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 x14ac:dyDescent="0.25">
      <c r="B2428" s="724" t="s">
        <v>2905</v>
      </c>
      <c r="C2428" s="839" t="s">
        <v>3515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1648</v>
      </c>
      <c r="I2428" s="1241" t="s">
        <v>1543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 x14ac:dyDescent="0.25">
      <c r="B2429" s="724" t="s">
        <v>2904</v>
      </c>
      <c r="C2429" s="839" t="s">
        <v>3515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1648</v>
      </c>
      <c r="I2429" s="1241" t="s">
        <v>1645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 x14ac:dyDescent="0.25">
      <c r="B2430" s="724" t="s">
        <v>2903</v>
      </c>
      <c r="C2430" s="839" t="s">
        <v>3515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1648</v>
      </c>
      <c r="I2430" s="1241" t="s">
        <v>1543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 x14ac:dyDescent="0.25">
      <c r="B2431" s="724" t="s">
        <v>2902</v>
      </c>
      <c r="C2431" s="839" t="s">
        <v>3515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1648</v>
      </c>
      <c r="I2431" s="1241" t="s">
        <v>1543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 x14ac:dyDescent="0.25">
      <c r="B2432" s="724" t="s">
        <v>2901</v>
      </c>
      <c r="C2432" s="839" t="s">
        <v>3515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1648</v>
      </c>
      <c r="I2432" s="1241" t="s">
        <v>1774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 x14ac:dyDescent="0.25">
      <c r="B2433" s="724" t="s">
        <v>2900</v>
      </c>
      <c r="C2433" s="839" t="s">
        <v>3515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1648</v>
      </c>
      <c r="I2433" s="1241" t="s">
        <v>1697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 x14ac:dyDescent="0.25">
      <c r="B2434" s="724" t="s">
        <v>2899</v>
      </c>
      <c r="C2434" s="839" t="s">
        <v>3515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1648</v>
      </c>
      <c r="I2434" s="1241" t="s">
        <v>1739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 x14ac:dyDescent="0.25">
      <c r="B2435" s="724" t="s">
        <v>2898</v>
      </c>
      <c r="C2435" s="839" t="s">
        <v>3515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1648</v>
      </c>
      <c r="I2435" s="1241" t="s">
        <v>1739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 x14ac:dyDescent="0.25">
      <c r="B2436" s="724" t="s">
        <v>2897</v>
      </c>
      <c r="C2436" s="839" t="s">
        <v>3515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41" t="s">
        <v>1823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 x14ac:dyDescent="0.25">
      <c r="B2437" s="724" t="s">
        <v>2896</v>
      </c>
      <c r="C2437" s="839" t="s">
        <v>3515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1648</v>
      </c>
      <c r="I2437" s="1241" t="s">
        <v>2337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 x14ac:dyDescent="0.25">
      <c r="B2438" s="724" t="s">
        <v>2895</v>
      </c>
      <c r="C2438" s="839" t="s">
        <v>3515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1648</v>
      </c>
      <c r="I2438" s="1241" t="s">
        <v>2919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 x14ac:dyDescent="0.25">
      <c r="B2439" s="724" t="s">
        <v>2894</v>
      </c>
      <c r="C2439" s="839" t="s">
        <v>3515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1648</v>
      </c>
      <c r="I2439" s="1241" t="s">
        <v>2854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 x14ac:dyDescent="0.25">
      <c r="B2440" s="724" t="s">
        <v>2893</v>
      </c>
      <c r="C2440" s="839" t="s">
        <v>3515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1648</v>
      </c>
      <c r="I2440" s="1241" t="s">
        <v>2854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 x14ac:dyDescent="0.25">
      <c r="B2441" s="724" t="s">
        <v>1568</v>
      </c>
      <c r="C2441" s="839" t="s">
        <v>3515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41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 x14ac:dyDescent="0.25">
      <c r="B2442" s="724" t="s">
        <v>1567</v>
      </c>
      <c r="C2442" s="839" t="s">
        <v>3515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41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 x14ac:dyDescent="0.25">
      <c r="B2443" s="724" t="s">
        <v>1567</v>
      </c>
      <c r="C2443" s="839" t="s">
        <v>3515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1540</v>
      </c>
      <c r="I2443" s="1241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 x14ac:dyDescent="0.25">
      <c r="B2444" s="724" t="s">
        <v>2892</v>
      </c>
      <c r="C2444" s="839" t="s">
        <v>3515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1648</v>
      </c>
      <c r="I2444" s="1241" t="s">
        <v>1543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 x14ac:dyDescent="0.25">
      <c r="B2445" s="724" t="s">
        <v>2891</v>
      </c>
      <c r="C2445" s="839" t="s">
        <v>3515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41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 x14ac:dyDescent="0.25">
      <c r="B2446" s="724" t="s">
        <v>2890</v>
      </c>
      <c r="C2446" s="839" t="s">
        <v>3515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1648</v>
      </c>
      <c r="I2446" s="1241" t="s">
        <v>2337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 x14ac:dyDescent="0.25">
      <c r="B2447" s="724" t="s">
        <v>2889</v>
      </c>
      <c r="C2447" s="839" t="s">
        <v>3515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1648</v>
      </c>
      <c r="I2447" s="1241" t="s">
        <v>1543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 x14ac:dyDescent="0.25">
      <c r="B2448" s="724" t="s">
        <v>2888</v>
      </c>
      <c r="C2448" s="839" t="s">
        <v>3515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41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 x14ac:dyDescent="0.25">
      <c r="B2449" s="724" t="s">
        <v>2887</v>
      </c>
      <c r="C2449" s="839" t="s">
        <v>3515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1648</v>
      </c>
      <c r="I2449" s="1241" t="s">
        <v>1697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 x14ac:dyDescent="0.25">
      <c r="B2450" s="724" t="s">
        <v>2886</v>
      </c>
      <c r="C2450" s="839" t="s">
        <v>3515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1648</v>
      </c>
      <c r="I2450" s="1241" t="s">
        <v>2921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 x14ac:dyDescent="0.25">
      <c r="B2451" s="724" t="s">
        <v>2885</v>
      </c>
      <c r="C2451" s="839" t="s">
        <v>3515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1648</v>
      </c>
      <c r="I2451" s="1241" t="s">
        <v>1697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 x14ac:dyDescent="0.25">
      <c r="B2452" s="724" t="s">
        <v>2884</v>
      </c>
      <c r="C2452" s="839" t="s">
        <v>3515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1648</v>
      </c>
      <c r="I2452" s="1241" t="s">
        <v>2307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 x14ac:dyDescent="0.25">
      <c r="B2453" s="724" t="s">
        <v>2883</v>
      </c>
      <c r="C2453" s="839" t="s">
        <v>3515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41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 x14ac:dyDescent="0.25">
      <c r="B2454" s="724" t="s">
        <v>2883</v>
      </c>
      <c r="C2454" s="839" t="s">
        <v>3515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1648</v>
      </c>
      <c r="I2454" s="1241" t="s">
        <v>2854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 x14ac:dyDescent="0.25">
      <c r="B2455" s="724" t="s">
        <v>2882</v>
      </c>
      <c r="C2455" s="839" t="s">
        <v>3515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1648</v>
      </c>
      <c r="I2455" s="1241" t="s">
        <v>1699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 x14ac:dyDescent="0.25">
      <c r="B2456" s="724" t="s">
        <v>2881</v>
      </c>
      <c r="C2456" s="839" t="s">
        <v>3515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1648</v>
      </c>
      <c r="I2456" s="1241" t="s">
        <v>2920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 x14ac:dyDescent="0.25">
      <c r="B2457" s="724" t="s">
        <v>2880</v>
      </c>
      <c r="C2457" s="839" t="s">
        <v>3515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1648</v>
      </c>
      <c r="I2457" s="1241" t="s">
        <v>2921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 x14ac:dyDescent="0.25">
      <c r="B2458" s="724" t="s">
        <v>2879</v>
      </c>
      <c r="C2458" s="839" t="s">
        <v>3515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1648</v>
      </c>
      <c r="I2458" s="1241" t="s">
        <v>1738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 x14ac:dyDescent="0.25">
      <c r="B2459" s="724" t="s">
        <v>2878</v>
      </c>
      <c r="C2459" s="839" t="s">
        <v>3515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1648</v>
      </c>
      <c r="I2459" s="1241" t="s">
        <v>2919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 x14ac:dyDescent="0.25">
      <c r="B2460" s="724" t="s">
        <v>2877</v>
      </c>
      <c r="C2460" s="839" t="s">
        <v>3515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1648</v>
      </c>
      <c r="I2460" s="1241" t="s">
        <v>1645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 x14ac:dyDescent="0.25">
      <c r="B2461" s="724" t="s">
        <v>2876</v>
      </c>
      <c r="C2461" s="839" t="s">
        <v>3515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1648</v>
      </c>
      <c r="I2461" s="1241" t="s">
        <v>1698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 x14ac:dyDescent="0.25">
      <c r="B2462" s="724" t="s">
        <v>2875</v>
      </c>
      <c r="C2462" s="839" t="s">
        <v>3515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4" t="s">
        <v>3370</v>
      </c>
      <c r="I2462" s="1241" t="s">
        <v>1577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1360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 x14ac:dyDescent="0.25">
      <c r="B2463" s="724" t="s">
        <v>2874</v>
      </c>
      <c r="C2463" s="839" t="s">
        <v>3515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41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 x14ac:dyDescent="0.25">
      <c r="B2464" s="724" t="s">
        <v>2873</v>
      </c>
      <c r="C2464" s="839" t="s">
        <v>3515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1648</v>
      </c>
      <c r="I2464" s="1241" t="s">
        <v>1697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 x14ac:dyDescent="0.25">
      <c r="B2465" s="724" t="s">
        <v>2872</v>
      </c>
      <c r="C2465" s="839" t="s">
        <v>3515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41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2924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 x14ac:dyDescent="0.25">
      <c r="B2466" s="724" t="s">
        <v>2871</v>
      </c>
      <c r="C2466" s="839" t="s">
        <v>3515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41" t="s">
        <v>1577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1360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 x14ac:dyDescent="0.25">
      <c r="B2467" s="724" t="s">
        <v>2870</v>
      </c>
      <c r="C2467" s="839" t="s">
        <v>3515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180" t="s">
        <v>4321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1360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 x14ac:dyDescent="0.25">
      <c r="B2468" s="724" t="s">
        <v>2869</v>
      </c>
      <c r="C2468" s="839" t="s">
        <v>3515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41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 x14ac:dyDescent="0.25">
      <c r="B2469" s="724" t="s">
        <v>2868</v>
      </c>
      <c r="C2469" s="839" t="s">
        <v>3515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1648</v>
      </c>
      <c r="I2469" s="1241" t="s">
        <v>1697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 x14ac:dyDescent="0.25">
      <c r="B2470" s="724" t="s">
        <v>2867</v>
      </c>
      <c r="C2470" s="839" t="s">
        <v>3515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1648</v>
      </c>
      <c r="I2470" s="1241" t="s">
        <v>1543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 x14ac:dyDescent="0.25">
      <c r="B2471" s="724" t="s">
        <v>2866</v>
      </c>
      <c r="C2471" s="839" t="s">
        <v>3515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41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 x14ac:dyDescent="0.25">
      <c r="B2472" s="724" t="s">
        <v>2865</v>
      </c>
      <c r="C2472" s="839" t="s">
        <v>3515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1648</v>
      </c>
      <c r="I2472" s="1241" t="s">
        <v>1774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 x14ac:dyDescent="0.25">
      <c r="B2473" s="724" t="s">
        <v>2863</v>
      </c>
      <c r="C2473" s="839" t="s">
        <v>3515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1648</v>
      </c>
      <c r="I2473" s="1241" t="s">
        <v>1738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 x14ac:dyDescent="0.25">
      <c r="B2474" s="724" t="s">
        <v>2864</v>
      </c>
      <c r="C2474" s="839" t="s">
        <v>3515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1648</v>
      </c>
      <c r="I2474" s="1241" t="s">
        <v>2854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 x14ac:dyDescent="0.25">
      <c r="B2475" s="724" t="s">
        <v>2862</v>
      </c>
      <c r="C2475" s="839" t="s">
        <v>3515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1648</v>
      </c>
      <c r="I2475" s="1241" t="s">
        <v>1543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 x14ac:dyDescent="0.25">
      <c r="B2476" s="724" t="s">
        <v>2862</v>
      </c>
      <c r="C2476" s="839" t="s">
        <v>3515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1648</v>
      </c>
      <c r="I2476" s="1241" t="s">
        <v>1698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 x14ac:dyDescent="0.25">
      <c r="B2477" s="724" t="s">
        <v>2861</v>
      </c>
      <c r="C2477" s="839" t="s">
        <v>3515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41" t="s">
        <v>1823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 x14ac:dyDescent="0.25">
      <c r="B2478" s="724" t="s">
        <v>2860</v>
      </c>
      <c r="C2478" s="839" t="s">
        <v>3515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1648</v>
      </c>
      <c r="I2478" s="1241" t="s">
        <v>1543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 x14ac:dyDescent="0.25">
      <c r="B2479" s="724" t="s">
        <v>2989</v>
      </c>
      <c r="C2479" s="839" t="s">
        <v>3515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1648</v>
      </c>
      <c r="I2479" s="1241" t="s">
        <v>1645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 x14ac:dyDescent="0.25">
      <c r="B2480" s="724" t="s">
        <v>2988</v>
      </c>
      <c r="C2480" s="839" t="s">
        <v>3515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1648</v>
      </c>
      <c r="I2480" s="1241" t="s">
        <v>2337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 x14ac:dyDescent="0.25">
      <c r="B2481" s="724" t="s">
        <v>2987</v>
      </c>
      <c r="C2481" s="839" t="s">
        <v>3515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1648</v>
      </c>
      <c r="I2481" s="1241" t="s">
        <v>1543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 x14ac:dyDescent="0.25">
      <c r="B2482" s="724" t="s">
        <v>2986</v>
      </c>
      <c r="C2482" s="839" t="s">
        <v>3515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1648</v>
      </c>
      <c r="I2482" s="1241" t="s">
        <v>2277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 x14ac:dyDescent="0.25">
      <c r="B2483" s="724" t="s">
        <v>2985</v>
      </c>
      <c r="C2483" s="839" t="s">
        <v>3515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1648</v>
      </c>
      <c r="I2483" s="1241" t="s">
        <v>2920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 x14ac:dyDescent="0.25">
      <c r="B2484" s="724" t="s">
        <v>2984</v>
      </c>
      <c r="C2484" s="839" t="s">
        <v>3515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1648</v>
      </c>
      <c r="I2484" s="1241" t="s">
        <v>1543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 x14ac:dyDescent="0.25">
      <c r="B2485" s="724" t="s">
        <v>2983</v>
      </c>
      <c r="C2485" s="839" t="s">
        <v>3515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1648</v>
      </c>
      <c r="I2485" s="1241" t="s">
        <v>2854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 x14ac:dyDescent="0.25">
      <c r="B2486" s="724" t="s">
        <v>2982</v>
      </c>
      <c r="C2486" s="839" t="s">
        <v>3515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1648</v>
      </c>
      <c r="I2486" s="1241" t="s">
        <v>1647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 x14ac:dyDescent="0.25">
      <c r="B2487" s="724" t="s">
        <v>2981</v>
      </c>
      <c r="C2487" s="839" t="s">
        <v>3515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1648</v>
      </c>
      <c r="I2487" s="1241" t="s">
        <v>1543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 x14ac:dyDescent="0.25">
      <c r="B2488" s="724" t="s">
        <v>2980</v>
      </c>
      <c r="C2488" s="839" t="s">
        <v>3515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1648</v>
      </c>
      <c r="I2488" s="1241" t="s">
        <v>2854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 x14ac:dyDescent="0.25">
      <c r="B2489" s="724" t="s">
        <v>2979</v>
      </c>
      <c r="C2489" s="839" t="s">
        <v>3515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1648</v>
      </c>
      <c r="I2489" s="1241" t="s">
        <v>1647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 x14ac:dyDescent="0.25">
      <c r="B2490" s="724" t="s">
        <v>2978</v>
      </c>
      <c r="C2490" s="839" t="s">
        <v>3515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1648</v>
      </c>
      <c r="I2490" s="1241" t="s">
        <v>1774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 x14ac:dyDescent="0.25">
      <c r="B2491" s="724" t="s">
        <v>2977</v>
      </c>
      <c r="C2491" s="839" t="s">
        <v>3515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1648</v>
      </c>
      <c r="I2491" s="1241" t="s">
        <v>1543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 x14ac:dyDescent="0.25">
      <c r="B2492" s="724" t="s">
        <v>2976</v>
      </c>
      <c r="C2492" s="839" t="s">
        <v>3515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1648</v>
      </c>
      <c r="I2492" s="1241" t="s">
        <v>1543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 x14ac:dyDescent="0.25">
      <c r="B2493" s="724" t="s">
        <v>2975</v>
      </c>
      <c r="C2493" s="839" t="s">
        <v>3515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1648</v>
      </c>
      <c r="I2493" s="1241" t="s">
        <v>1543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 x14ac:dyDescent="0.25">
      <c r="B2494" s="724" t="s">
        <v>2974</v>
      </c>
      <c r="C2494" s="839" t="s">
        <v>3515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1648</v>
      </c>
      <c r="I2494" s="1241" t="s">
        <v>1647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 x14ac:dyDescent="0.25">
      <c r="B2495" s="724" t="s">
        <v>2973</v>
      </c>
      <c r="C2495" s="839" t="s">
        <v>3515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1648</v>
      </c>
      <c r="I2495" s="1241" t="s">
        <v>1699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 x14ac:dyDescent="0.25">
      <c r="B2496" s="724" t="s">
        <v>2972</v>
      </c>
      <c r="C2496" s="839" t="s">
        <v>3515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1648</v>
      </c>
      <c r="I2496" s="1241" t="s">
        <v>1543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 x14ac:dyDescent="0.25">
      <c r="B2497" s="724" t="s">
        <v>2971</v>
      </c>
      <c r="C2497" s="839" t="s">
        <v>3515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1648</v>
      </c>
      <c r="I2497" s="1241" t="s">
        <v>2854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 x14ac:dyDescent="0.25">
      <c r="B2498" s="724" t="s">
        <v>2970</v>
      </c>
      <c r="C2498" s="839" t="s">
        <v>3515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1648</v>
      </c>
      <c r="I2498" s="1241" t="s">
        <v>1543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 x14ac:dyDescent="0.25">
      <c r="B2499" s="724" t="s">
        <v>2969</v>
      </c>
      <c r="C2499" s="839" t="s">
        <v>3515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41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 x14ac:dyDescent="0.25">
      <c r="B2500" s="724" t="s">
        <v>2968</v>
      </c>
      <c r="C2500" s="839" t="s">
        <v>3515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1648</v>
      </c>
      <c r="I2500" s="1241" t="s">
        <v>1645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 x14ac:dyDescent="0.25">
      <c r="B2501" s="724" t="s">
        <v>2967</v>
      </c>
      <c r="C2501" s="839" t="s">
        <v>3515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1648</v>
      </c>
      <c r="I2501" s="1241" t="s">
        <v>1645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 x14ac:dyDescent="0.25">
      <c r="B2502" s="724" t="s">
        <v>2966</v>
      </c>
      <c r="C2502" s="839" t="s">
        <v>3515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1648</v>
      </c>
      <c r="I2502" s="1241" t="s">
        <v>1645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 x14ac:dyDescent="0.25">
      <c r="B2503" s="724" t="s">
        <v>2965</v>
      </c>
      <c r="C2503" s="839" t="s">
        <v>3515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1648</v>
      </c>
      <c r="I2503" s="1241" t="s">
        <v>1647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 x14ac:dyDescent="0.25">
      <c r="B2504" s="724" t="s">
        <v>2964</v>
      </c>
      <c r="C2504" s="839" t="s">
        <v>3515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41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 x14ac:dyDescent="0.25">
      <c r="B2505" s="724" t="s">
        <v>2964</v>
      </c>
      <c r="C2505" s="839" t="s">
        <v>3515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1648</v>
      </c>
      <c r="I2505" s="1241" t="s">
        <v>1647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 x14ac:dyDescent="0.25">
      <c r="B2506" s="724" t="s">
        <v>2963</v>
      </c>
      <c r="C2506" s="839" t="s">
        <v>3515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1648</v>
      </c>
      <c r="I2506" s="1241" t="s">
        <v>2921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 x14ac:dyDescent="0.25">
      <c r="B2507" s="724" t="s">
        <v>2962</v>
      </c>
      <c r="C2507" s="839" t="s">
        <v>3515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1648</v>
      </c>
      <c r="I2507" s="1241" t="s">
        <v>2338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 x14ac:dyDescent="0.25">
      <c r="B2508" s="724" t="s">
        <v>2961</v>
      </c>
      <c r="C2508" s="839" t="s">
        <v>3515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1648</v>
      </c>
      <c r="I2508" s="1241" t="s">
        <v>1543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 x14ac:dyDescent="0.25">
      <c r="B2509" s="724" t="s">
        <v>2960</v>
      </c>
      <c r="C2509" s="839" t="s">
        <v>3515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1648</v>
      </c>
      <c r="I2509" s="1241" t="s">
        <v>1543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 x14ac:dyDescent="0.25">
      <c r="B2510" s="724" t="s">
        <v>2959</v>
      </c>
      <c r="C2510" s="839" t="s">
        <v>3515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1648</v>
      </c>
      <c r="I2510" s="1241" t="s">
        <v>2919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 x14ac:dyDescent="0.25">
      <c r="B2511" s="724" t="s">
        <v>2958</v>
      </c>
      <c r="C2511" s="839" t="s">
        <v>3515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1648</v>
      </c>
      <c r="I2511" s="1241" t="s">
        <v>1698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 x14ac:dyDescent="0.25">
      <c r="B2512" s="724" t="s">
        <v>2957</v>
      </c>
      <c r="C2512" s="839" t="s">
        <v>3515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1648</v>
      </c>
      <c r="I2512" s="1241" t="s">
        <v>1756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 x14ac:dyDescent="0.25">
      <c r="B2513" s="724" t="s">
        <v>2956</v>
      </c>
      <c r="C2513" s="839" t="s">
        <v>3515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41" t="s">
        <v>1823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 x14ac:dyDescent="0.25">
      <c r="B2514" s="724" t="s">
        <v>2955</v>
      </c>
      <c r="C2514" s="839" t="s">
        <v>3515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1648</v>
      </c>
      <c r="I2514" s="1241" t="s">
        <v>2307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 x14ac:dyDescent="0.25">
      <c r="B2515" s="724" t="s">
        <v>2954</v>
      </c>
      <c r="C2515" s="839" t="s">
        <v>3515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1648</v>
      </c>
      <c r="I2515" s="1241" t="s">
        <v>1739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 x14ac:dyDescent="0.25">
      <c r="B2516" s="724" t="s">
        <v>2954</v>
      </c>
      <c r="C2516" s="839" t="s">
        <v>3515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1648</v>
      </c>
      <c r="I2516" s="1241" t="s">
        <v>2307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 x14ac:dyDescent="0.25">
      <c r="B2517" s="724" t="s">
        <v>2953</v>
      </c>
      <c r="C2517" s="839" t="s">
        <v>3515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4" t="s">
        <v>3370</v>
      </c>
      <c r="I2517" s="1241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 x14ac:dyDescent="0.25">
      <c r="B2518" s="724" t="s">
        <v>2952</v>
      </c>
      <c r="C2518" s="839" t="s">
        <v>3515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1648</v>
      </c>
      <c r="I2518" s="1241" t="s">
        <v>1739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 x14ac:dyDescent="0.25">
      <c r="B2519" s="724" t="s">
        <v>2951</v>
      </c>
      <c r="C2519" s="839" t="s">
        <v>3515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1648</v>
      </c>
      <c r="I2519" s="1241" t="s">
        <v>2919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 x14ac:dyDescent="0.25">
      <c r="B2520" s="724" t="s">
        <v>2950</v>
      </c>
      <c r="C2520" s="839" t="s">
        <v>3515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1648</v>
      </c>
      <c r="I2520" s="1241" t="s">
        <v>1774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 x14ac:dyDescent="0.25">
      <c r="B2521" s="724" t="s">
        <v>2949</v>
      </c>
      <c r="C2521" s="839" t="s">
        <v>3515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1648</v>
      </c>
      <c r="I2521" s="1241" t="s">
        <v>1645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 x14ac:dyDescent="0.25">
      <c r="B2522" s="724" t="s">
        <v>2948</v>
      </c>
      <c r="C2522" s="839" t="s">
        <v>3515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41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 x14ac:dyDescent="0.25">
      <c r="B2523" s="724" t="s">
        <v>2947</v>
      </c>
      <c r="C2523" s="839" t="s">
        <v>3515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1648</v>
      </c>
      <c r="I2523" s="1241" t="s">
        <v>1543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 x14ac:dyDescent="0.25">
      <c r="B2524" s="724" t="s">
        <v>2946</v>
      </c>
      <c r="C2524" s="839" t="s">
        <v>3515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1648</v>
      </c>
      <c r="I2524" s="1241" t="s">
        <v>2919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 x14ac:dyDescent="0.25">
      <c r="B2525" s="724" t="s">
        <v>2945</v>
      </c>
      <c r="C2525" s="839" t="s">
        <v>3515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41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 x14ac:dyDescent="0.25">
      <c r="B2526" s="724" t="s">
        <v>2944</v>
      </c>
      <c r="C2526" s="839" t="s">
        <v>3515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1648</v>
      </c>
      <c r="I2526" s="1241" t="s">
        <v>2920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 x14ac:dyDescent="0.25">
      <c r="B2527" s="724" t="s">
        <v>2943</v>
      </c>
      <c r="C2527" s="839" t="s">
        <v>3515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1648</v>
      </c>
      <c r="I2527" s="1241" t="s">
        <v>2307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 x14ac:dyDescent="0.25">
      <c r="B2528" s="724" t="s">
        <v>2942</v>
      </c>
      <c r="C2528" s="839" t="s">
        <v>3515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1648</v>
      </c>
      <c r="I2528" s="1241" t="s">
        <v>1543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 x14ac:dyDescent="0.25">
      <c r="B2529" s="724" t="s">
        <v>2941</v>
      </c>
      <c r="C2529" s="839" t="s">
        <v>3515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1648</v>
      </c>
      <c r="I2529" s="1241" t="s">
        <v>2920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 x14ac:dyDescent="0.25">
      <c r="B2530" s="724" t="s">
        <v>2940</v>
      </c>
      <c r="C2530" s="839" t="s">
        <v>3515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4" t="s">
        <v>3370</v>
      </c>
      <c r="I2530" s="1241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1360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 x14ac:dyDescent="0.25">
      <c r="B2531" s="724" t="s">
        <v>2939</v>
      </c>
      <c r="C2531" s="839" t="s">
        <v>3515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1648</v>
      </c>
      <c r="I2531" s="1241" t="s">
        <v>1543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 x14ac:dyDescent="0.25">
      <c r="B2532" s="724" t="s">
        <v>2938</v>
      </c>
      <c r="C2532" s="839" t="s">
        <v>3515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1648</v>
      </c>
      <c r="I2532" s="1241" t="s">
        <v>1699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 x14ac:dyDescent="0.25">
      <c r="B2533" s="724" t="s">
        <v>2937</v>
      </c>
      <c r="C2533" s="839" t="s">
        <v>3515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1648</v>
      </c>
      <c r="I2533" s="1241" t="s">
        <v>2307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 x14ac:dyDescent="0.25">
      <c r="B2534" s="724" t="s">
        <v>2936</v>
      </c>
      <c r="C2534" s="839" t="s">
        <v>3515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1648</v>
      </c>
      <c r="I2534" s="1241" t="s">
        <v>2854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 x14ac:dyDescent="0.25">
      <c r="B2535" s="724" t="s">
        <v>2935</v>
      </c>
      <c r="C2535" s="839" t="s">
        <v>3515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1648</v>
      </c>
      <c r="I2535" s="1241" t="s">
        <v>2337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 x14ac:dyDescent="0.25">
      <c r="B2536" s="724" t="s">
        <v>2934</v>
      </c>
      <c r="C2536" s="839" t="s">
        <v>3515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1648</v>
      </c>
      <c r="I2536" s="1241" t="s">
        <v>2854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 x14ac:dyDescent="0.25">
      <c r="B2537" s="724" t="s">
        <v>2933</v>
      </c>
      <c r="C2537" s="839" t="s">
        <v>3515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41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 x14ac:dyDescent="0.25">
      <c r="B2538" s="725" t="s">
        <v>3025</v>
      </c>
      <c r="C2538" s="839" t="s">
        <v>3515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1648</v>
      </c>
      <c r="I2538" s="1241" t="s">
        <v>1543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 x14ac:dyDescent="0.25">
      <c r="B2539" s="725" t="s">
        <v>3024</v>
      </c>
      <c r="C2539" s="839" t="s">
        <v>3515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1648</v>
      </c>
      <c r="I2539" s="1241" t="s">
        <v>2307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 x14ac:dyDescent="0.25">
      <c r="B2540" s="725" t="s">
        <v>3023</v>
      </c>
      <c r="C2540" s="839" t="s">
        <v>3515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1648</v>
      </c>
      <c r="I2540" s="1241" t="s">
        <v>1543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 x14ac:dyDescent="0.25">
      <c r="B2541" s="725" t="s">
        <v>3022</v>
      </c>
      <c r="C2541" s="839" t="s">
        <v>3515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1648</v>
      </c>
      <c r="I2541" s="1241" t="s">
        <v>1543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 x14ac:dyDescent="0.25">
      <c r="B2542" s="725" t="s">
        <v>3021</v>
      </c>
      <c r="C2542" s="839" t="s">
        <v>3515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1648</v>
      </c>
      <c r="I2542" s="1241" t="s">
        <v>1543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 x14ac:dyDescent="0.25">
      <c r="B2543" s="725" t="s">
        <v>3020</v>
      </c>
      <c r="C2543" s="839" t="s">
        <v>3515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42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2011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 x14ac:dyDescent="0.25">
      <c r="B2544" s="725" t="s">
        <v>3019</v>
      </c>
      <c r="C2544" s="839" t="s">
        <v>3515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1648</v>
      </c>
      <c r="I2544" s="1241" t="s">
        <v>2307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 x14ac:dyDescent="0.25">
      <c r="B2545" s="725" t="s">
        <v>3018</v>
      </c>
      <c r="C2545" s="839" t="s">
        <v>3515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42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3026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 x14ac:dyDescent="0.25">
      <c r="B2546" s="725" t="s">
        <v>3017</v>
      </c>
      <c r="C2546" s="839" t="s">
        <v>3515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1648</v>
      </c>
      <c r="I2546" s="1241" t="s">
        <v>1543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 x14ac:dyDescent="0.25">
      <c r="B2547" s="725" t="s">
        <v>3016</v>
      </c>
      <c r="C2547" s="839" t="s">
        <v>3515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1648</v>
      </c>
      <c r="I2547" s="1242" t="s">
        <v>2854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 x14ac:dyDescent="0.25">
      <c r="B2548" s="725" t="s">
        <v>3015</v>
      </c>
      <c r="C2548" s="839" t="s">
        <v>3515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1648</v>
      </c>
      <c r="I2548" s="1242" t="s">
        <v>1697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 x14ac:dyDescent="0.25">
      <c r="B2549" s="725" t="s">
        <v>3014</v>
      </c>
      <c r="C2549" s="839" t="s">
        <v>3515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1648</v>
      </c>
      <c r="I2549" s="1242" t="s">
        <v>1740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 x14ac:dyDescent="0.25">
      <c r="B2550" s="725" t="s">
        <v>3013</v>
      </c>
      <c r="C2550" s="839" t="s">
        <v>3515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42" t="s">
        <v>1823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 x14ac:dyDescent="0.25">
      <c r="B2551" s="725" t="s">
        <v>3012</v>
      </c>
      <c r="C2551" s="839" t="s">
        <v>3515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42" t="s">
        <v>1823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 x14ac:dyDescent="0.25">
      <c r="B2552" s="725" t="s">
        <v>3011</v>
      </c>
      <c r="C2552" s="839" t="s">
        <v>3515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1648</v>
      </c>
      <c r="I2552" s="1242" t="s">
        <v>1739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 x14ac:dyDescent="0.25">
      <c r="B2553" s="725" t="s">
        <v>3010</v>
      </c>
      <c r="C2553" s="839" t="s">
        <v>3515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1648</v>
      </c>
      <c r="I2553" s="1242" t="s">
        <v>2920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 x14ac:dyDescent="0.25">
      <c r="B2554" s="725" t="s">
        <v>3009</v>
      </c>
      <c r="C2554" s="839" t="s">
        <v>3515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1648</v>
      </c>
      <c r="I2554" s="1242" t="s">
        <v>2920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 x14ac:dyDescent="0.25">
      <c r="B2555" s="726" t="s">
        <v>3034</v>
      </c>
      <c r="C2555" s="839" t="s">
        <v>3515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43" t="s">
        <v>1823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 x14ac:dyDescent="0.25">
      <c r="B2556" s="726" t="s">
        <v>3033</v>
      </c>
      <c r="C2556" s="839" t="s">
        <v>3515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43" t="s">
        <v>1823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 x14ac:dyDescent="0.25">
      <c r="B2557" s="726" t="s">
        <v>3032</v>
      </c>
      <c r="C2557" s="839" t="s">
        <v>3515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43" t="s">
        <v>1823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 x14ac:dyDescent="0.25">
      <c r="B2558" s="726" t="s">
        <v>3031</v>
      </c>
      <c r="C2558" s="839" t="s">
        <v>3515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43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2790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 x14ac:dyDescent="0.25">
      <c r="B2559" s="726" t="s">
        <v>3030</v>
      </c>
      <c r="C2559" s="839" t="s">
        <v>3515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4" t="s">
        <v>3370</v>
      </c>
      <c r="I2559" s="1243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2790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 x14ac:dyDescent="0.25">
      <c r="B2560" s="727" t="s">
        <v>3038</v>
      </c>
      <c r="C2560" s="839" t="s">
        <v>3515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4" t="s">
        <v>3370</v>
      </c>
      <c r="I2560" s="1243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2790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 x14ac:dyDescent="0.25">
      <c r="B2561" s="727" t="s">
        <v>3037</v>
      </c>
      <c r="C2561" s="839" t="s">
        <v>3515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4" t="s">
        <v>3370</v>
      </c>
      <c r="I2561" s="1243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2790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 x14ac:dyDescent="0.25">
      <c r="B2562" s="728" t="s">
        <v>3052</v>
      </c>
      <c r="C2562" s="839" t="s">
        <v>3515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1648</v>
      </c>
      <c r="I2562" s="1244" t="s">
        <v>2921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 x14ac:dyDescent="0.25">
      <c r="B2563" s="728" t="s">
        <v>3051</v>
      </c>
      <c r="C2563" s="839" t="s">
        <v>3515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1648</v>
      </c>
      <c r="I2563" s="1241" t="s">
        <v>1543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 x14ac:dyDescent="0.25">
      <c r="B2564" s="728" t="s">
        <v>3050</v>
      </c>
      <c r="C2564" s="839" t="s">
        <v>3515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1648</v>
      </c>
      <c r="I2564" s="1244" t="s">
        <v>1645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 x14ac:dyDescent="0.25">
      <c r="B2565" s="728" t="s">
        <v>3049</v>
      </c>
      <c r="C2565" s="839" t="s">
        <v>3515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1648</v>
      </c>
      <c r="I2565" s="1241" t="s">
        <v>1543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 x14ac:dyDescent="0.25">
      <c r="B2566" s="728" t="s">
        <v>3048</v>
      </c>
      <c r="C2566" s="839" t="s">
        <v>3515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1648</v>
      </c>
      <c r="I2566" s="1244" t="s">
        <v>2854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 x14ac:dyDescent="0.25">
      <c r="B2567" s="728" t="s">
        <v>3047</v>
      </c>
      <c r="C2567" s="839" t="s">
        <v>3515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1648</v>
      </c>
      <c r="I2567" s="1244" t="s">
        <v>1697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 x14ac:dyDescent="0.25">
      <c r="B2568" s="728" t="s">
        <v>3046</v>
      </c>
      <c r="C2568" s="839" t="s">
        <v>3515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1648</v>
      </c>
      <c r="I2568" s="1244" t="s">
        <v>1697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 x14ac:dyDescent="0.25">
      <c r="B2569" s="728" t="s">
        <v>3045</v>
      </c>
      <c r="C2569" s="839" t="s">
        <v>3515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1648</v>
      </c>
      <c r="I2569" s="1244" t="s">
        <v>1738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 x14ac:dyDescent="0.25">
      <c r="B2570" s="728" t="s">
        <v>3090</v>
      </c>
      <c r="C2570" s="839" t="s">
        <v>3515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1648</v>
      </c>
      <c r="I2570" s="1244" t="s">
        <v>2854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 x14ac:dyDescent="0.25">
      <c r="B2571" s="728" t="s">
        <v>3089</v>
      </c>
      <c r="C2571" s="839" t="s">
        <v>3515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1648</v>
      </c>
      <c r="I2571" s="1244" t="s">
        <v>1697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 x14ac:dyDescent="0.25">
      <c r="B2572" s="728" t="s">
        <v>3088</v>
      </c>
      <c r="C2572" s="839" t="s">
        <v>3515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1648</v>
      </c>
      <c r="I2572" s="1241" t="s">
        <v>1543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 x14ac:dyDescent="0.25">
      <c r="B2573" s="728" t="s">
        <v>3087</v>
      </c>
      <c r="C2573" s="839" t="s">
        <v>3515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1648</v>
      </c>
      <c r="I2573" s="1244" t="s">
        <v>2921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 x14ac:dyDescent="0.25">
      <c r="B2574" s="728" t="s">
        <v>3086</v>
      </c>
      <c r="C2574" s="839" t="s">
        <v>3515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1648</v>
      </c>
      <c r="I2574" s="1241" t="s">
        <v>1543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 x14ac:dyDescent="0.25">
      <c r="B2575" s="728" t="s">
        <v>3085</v>
      </c>
      <c r="C2575" s="839" t="s">
        <v>3515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1648</v>
      </c>
      <c r="I2575" s="1244" t="s">
        <v>2921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 x14ac:dyDescent="0.25">
      <c r="B2576" s="728" t="s">
        <v>3084</v>
      </c>
      <c r="C2576" s="839" t="s">
        <v>3515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1648</v>
      </c>
      <c r="I2576" s="1241" t="s">
        <v>1543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 x14ac:dyDescent="0.25">
      <c r="B2577" s="728" t="s">
        <v>3083</v>
      </c>
      <c r="C2577" s="839" t="s">
        <v>3515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1648</v>
      </c>
      <c r="I2577" s="1244" t="s">
        <v>2854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 x14ac:dyDescent="0.25">
      <c r="B2578" s="728" t="s">
        <v>3082</v>
      </c>
      <c r="C2578" s="839" t="s">
        <v>3515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1648</v>
      </c>
      <c r="I2578" s="1244" t="s">
        <v>1739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 x14ac:dyDescent="0.25">
      <c r="B2579" s="728" t="s">
        <v>3081</v>
      </c>
      <c r="C2579" s="839" t="s">
        <v>3515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1648</v>
      </c>
      <c r="I2579" s="1244" t="s">
        <v>2921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 x14ac:dyDescent="0.25">
      <c r="B2580" s="728" t="s">
        <v>3080</v>
      </c>
      <c r="C2580" s="839" t="s">
        <v>3515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1648</v>
      </c>
      <c r="I2580" s="1244" t="s">
        <v>2921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 x14ac:dyDescent="0.25">
      <c r="B2581" s="728" t="s">
        <v>3079</v>
      </c>
      <c r="C2581" s="839" t="s">
        <v>3515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1648</v>
      </c>
      <c r="I2581" s="1244" t="s">
        <v>2307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 x14ac:dyDescent="0.25">
      <c r="B2582" s="728" t="s">
        <v>3078</v>
      </c>
      <c r="C2582" s="839" t="s">
        <v>3515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4" t="s">
        <v>3370</v>
      </c>
      <c r="I2582" s="1244" t="s">
        <v>1577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2011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 x14ac:dyDescent="0.25">
      <c r="B2583" s="728" t="s">
        <v>3077</v>
      </c>
      <c r="C2583" s="839" t="s">
        <v>3515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1648</v>
      </c>
      <c r="I2583" s="1244" t="s">
        <v>1739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 x14ac:dyDescent="0.25">
      <c r="B2584" s="728" t="s">
        <v>3076</v>
      </c>
      <c r="C2584" s="839" t="s">
        <v>3515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1648</v>
      </c>
      <c r="I2584" s="1241" t="s">
        <v>1543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 x14ac:dyDescent="0.25">
      <c r="B2585" s="728" t="s">
        <v>3075</v>
      </c>
      <c r="C2585" s="839" t="s">
        <v>3515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1648</v>
      </c>
      <c r="I2585" s="1244" t="s">
        <v>2277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 x14ac:dyDescent="0.25">
      <c r="B2586" s="728" t="s">
        <v>3074</v>
      </c>
      <c r="C2586" s="839" t="s">
        <v>3515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1648</v>
      </c>
      <c r="I2586" s="1244" t="s">
        <v>2854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 x14ac:dyDescent="0.25">
      <c r="B2587" s="728" t="s">
        <v>3073</v>
      </c>
      <c r="C2587" s="839" t="s">
        <v>3515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1648</v>
      </c>
      <c r="I2587" s="1241" t="s">
        <v>1543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 x14ac:dyDescent="0.25">
      <c r="B2588" s="728" t="s">
        <v>3072</v>
      </c>
      <c r="C2588" s="839" t="s">
        <v>3515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1648</v>
      </c>
      <c r="I2588" s="1244" t="s">
        <v>2854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 x14ac:dyDescent="0.25">
      <c r="B2589" s="728" t="s">
        <v>3071</v>
      </c>
      <c r="C2589" s="839" t="s">
        <v>3515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4" t="s">
        <v>3370</v>
      </c>
      <c r="I2589" s="1244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1360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 x14ac:dyDescent="0.25">
      <c r="B2590" s="728" t="s">
        <v>3071</v>
      </c>
      <c r="C2590" s="839" t="s">
        <v>3515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1648</v>
      </c>
      <c r="I2590" s="1244" t="s">
        <v>1699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 x14ac:dyDescent="0.25">
      <c r="B2591" s="728" t="s">
        <v>3070</v>
      </c>
      <c r="C2591" s="839" t="s">
        <v>3515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4" t="s">
        <v>3370</v>
      </c>
      <c r="I2591" s="1244" t="s">
        <v>1577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1360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 x14ac:dyDescent="0.25">
      <c r="B2592" s="728" t="s">
        <v>3069</v>
      </c>
      <c r="C2592" s="839" t="s">
        <v>3515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1648</v>
      </c>
      <c r="I2592" s="1244" t="s">
        <v>1738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 x14ac:dyDescent="0.25">
      <c r="B2593" s="728" t="s">
        <v>3068</v>
      </c>
      <c r="C2593" s="839" t="s">
        <v>3515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1648</v>
      </c>
      <c r="I2593" s="1244" t="s">
        <v>2919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 x14ac:dyDescent="0.25">
      <c r="B2594" s="728" t="s">
        <v>3067</v>
      </c>
      <c r="C2594" s="839" t="s">
        <v>3515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1648</v>
      </c>
      <c r="I2594" s="1244" t="s">
        <v>2854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 x14ac:dyDescent="0.25">
      <c r="B2595" s="728" t="s">
        <v>3065</v>
      </c>
      <c r="C2595" s="839" t="s">
        <v>3515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1648</v>
      </c>
      <c r="I2595" s="1241" t="s">
        <v>1543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 x14ac:dyDescent="0.25">
      <c r="B2596" s="728" t="s">
        <v>3065</v>
      </c>
      <c r="C2596" s="839" t="s">
        <v>3515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1648</v>
      </c>
      <c r="I2596" s="1244" t="s">
        <v>2338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 x14ac:dyDescent="0.25">
      <c r="B2597" s="728" t="s">
        <v>3066</v>
      </c>
      <c r="C2597" s="839" t="s">
        <v>3515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1648</v>
      </c>
      <c r="I2597" s="1244" t="s">
        <v>2854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 x14ac:dyDescent="0.25">
      <c r="B2598" s="728" t="s">
        <v>3064</v>
      </c>
      <c r="C2598" s="839" t="s">
        <v>3515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1648</v>
      </c>
      <c r="I2598" s="1244" t="s">
        <v>1699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 x14ac:dyDescent="0.25">
      <c r="B2599" s="728" t="s">
        <v>3063</v>
      </c>
      <c r="C2599" s="839" t="s">
        <v>3515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1648</v>
      </c>
      <c r="I2599" s="1241" t="s">
        <v>1543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 x14ac:dyDescent="0.25">
      <c r="B2600" s="728" t="s">
        <v>3062</v>
      </c>
      <c r="C2600" s="839" t="s">
        <v>3515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1648</v>
      </c>
      <c r="I2600" s="1241" t="s">
        <v>1543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 x14ac:dyDescent="0.25">
      <c r="B2601" s="728" t="s">
        <v>3061</v>
      </c>
      <c r="C2601" s="839" t="s">
        <v>3515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1648</v>
      </c>
      <c r="I2601" s="1241" t="s">
        <v>1543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 x14ac:dyDescent="0.25">
      <c r="B2602" s="728" t="s">
        <v>3060</v>
      </c>
      <c r="C2602" s="839" t="s">
        <v>3515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1648</v>
      </c>
      <c r="I2602" s="1244" t="s">
        <v>2277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 x14ac:dyDescent="0.25">
      <c r="B2603" s="728" t="s">
        <v>3059</v>
      </c>
      <c r="C2603" s="839" t="s">
        <v>3515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1648</v>
      </c>
      <c r="I2603" s="1244" t="s">
        <v>1739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 x14ac:dyDescent="0.25">
      <c r="B2604" s="728" t="s">
        <v>3058</v>
      </c>
      <c r="C2604" s="839" t="s">
        <v>3515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1648</v>
      </c>
      <c r="I2604" s="1244" t="s">
        <v>2277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 x14ac:dyDescent="0.25">
      <c r="B2605" s="728" t="s">
        <v>3057</v>
      </c>
      <c r="C2605" s="839" t="s">
        <v>3515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1648</v>
      </c>
      <c r="I2605" s="1244" t="s">
        <v>2338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 x14ac:dyDescent="0.25">
      <c r="B2606" s="728" t="s">
        <v>3056</v>
      </c>
      <c r="C2606" s="839" t="s">
        <v>3515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1648</v>
      </c>
      <c r="I2606" s="1244" t="s">
        <v>1697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 x14ac:dyDescent="0.25">
      <c r="B2607" s="728" t="s">
        <v>3055</v>
      </c>
      <c r="C2607" s="839" t="s">
        <v>3515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1648</v>
      </c>
      <c r="I2607" s="1244" t="s">
        <v>1699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 x14ac:dyDescent="0.25">
      <c r="B2608" s="728" t="s">
        <v>3132</v>
      </c>
      <c r="C2608" s="839" t="s">
        <v>3515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1648</v>
      </c>
      <c r="I2608" s="1241" t="s">
        <v>1543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 x14ac:dyDescent="0.25">
      <c r="B2609" s="728" t="s">
        <v>3131</v>
      </c>
      <c r="C2609" s="839" t="s">
        <v>3515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1648</v>
      </c>
      <c r="I2609" s="1241" t="s">
        <v>1543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 x14ac:dyDescent="0.25">
      <c r="B2610" s="728" t="s">
        <v>3130</v>
      </c>
      <c r="C2610" s="839" t="s">
        <v>3515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1648</v>
      </c>
      <c r="I2610" s="1244" t="s">
        <v>1739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 x14ac:dyDescent="0.25">
      <c r="B2611" s="728" t="s">
        <v>3129</v>
      </c>
      <c r="C2611" s="839" t="s">
        <v>3515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1648</v>
      </c>
      <c r="I2611" s="1244" t="s">
        <v>2854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 x14ac:dyDescent="0.25">
      <c r="B2612" s="728" t="s">
        <v>3128</v>
      </c>
      <c r="C2612" s="839" t="s">
        <v>3515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1648</v>
      </c>
      <c r="I2612" s="1244" t="s">
        <v>2920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 x14ac:dyDescent="0.25">
      <c r="B2613" s="728" t="s">
        <v>3127</v>
      </c>
      <c r="C2613" s="839" t="s">
        <v>3515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1648</v>
      </c>
      <c r="I2613" s="1244" t="s">
        <v>1739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 x14ac:dyDescent="0.25">
      <c r="B2614" s="728" t="s">
        <v>3126</v>
      </c>
      <c r="C2614" s="839" t="s">
        <v>3515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1648</v>
      </c>
      <c r="I2614" s="1244" t="s">
        <v>2921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 x14ac:dyDescent="0.25">
      <c r="B2615" s="728" t="s">
        <v>3125</v>
      </c>
      <c r="C2615" s="839" t="s">
        <v>3515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1648</v>
      </c>
      <c r="I2615" s="1241" t="s">
        <v>1543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 x14ac:dyDescent="0.25">
      <c r="B2616" s="728" t="s">
        <v>3124</v>
      </c>
      <c r="C2616" s="839" t="s">
        <v>3515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44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3300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 x14ac:dyDescent="0.25">
      <c r="B2617" s="728" t="s">
        <v>3123</v>
      </c>
      <c r="C2617" s="839" t="s">
        <v>3515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4" t="s">
        <v>3370</v>
      </c>
      <c r="I2617" s="1244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3026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 x14ac:dyDescent="0.25">
      <c r="B2618" s="728" t="s">
        <v>3122</v>
      </c>
      <c r="C2618" s="839" t="s">
        <v>3515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1648</v>
      </c>
      <c r="I2618" s="1244" t="s">
        <v>2337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 x14ac:dyDescent="0.25">
      <c r="B2619" s="728" t="s">
        <v>3121</v>
      </c>
      <c r="C2619" s="839" t="s">
        <v>3515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1648</v>
      </c>
      <c r="I2619" s="1244" t="s">
        <v>1774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 x14ac:dyDescent="0.25">
      <c r="B2620" s="728" t="s">
        <v>3120</v>
      </c>
      <c r="C2620" s="839" t="s">
        <v>3515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1648</v>
      </c>
      <c r="I2620" s="1244" t="s">
        <v>2338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 x14ac:dyDescent="0.25">
      <c r="B2621" s="728" t="s">
        <v>3119</v>
      </c>
      <c r="C2621" s="839" t="s">
        <v>3515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1648</v>
      </c>
      <c r="I2621" s="1244" t="s">
        <v>2337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 x14ac:dyDescent="0.25">
      <c r="B2622" s="728" t="s">
        <v>3118</v>
      </c>
      <c r="C2622" s="839" t="s">
        <v>3515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1648</v>
      </c>
      <c r="I2622" s="1244" t="s">
        <v>1756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 x14ac:dyDescent="0.25">
      <c r="B2623" s="728" t="s">
        <v>3117</v>
      </c>
      <c r="C2623" s="839" t="s">
        <v>3515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1648</v>
      </c>
      <c r="I2623" s="1241" t="s">
        <v>1543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 x14ac:dyDescent="0.25">
      <c r="B2624" s="728" t="s">
        <v>3116</v>
      </c>
      <c r="C2624" s="839" t="s">
        <v>3515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4" t="s">
        <v>3370</v>
      </c>
      <c r="I2624" s="1244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 x14ac:dyDescent="0.25">
      <c r="B2625" s="728" t="s">
        <v>3115</v>
      </c>
      <c r="C2625" s="839" t="s">
        <v>3515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1648</v>
      </c>
      <c r="I2625" s="1244" t="s">
        <v>1739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 x14ac:dyDescent="0.25">
      <c r="B2626" s="728" t="s">
        <v>3114</v>
      </c>
      <c r="C2626" s="839" t="s">
        <v>3515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1648</v>
      </c>
      <c r="I2626" s="1244" t="s">
        <v>2854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 x14ac:dyDescent="0.25">
      <c r="B2627" s="728" t="s">
        <v>3113</v>
      </c>
      <c r="C2627" s="839" t="s">
        <v>3515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4" t="s">
        <v>3370</v>
      </c>
      <c r="I2627" s="1244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 x14ac:dyDescent="0.25">
      <c r="B2628" s="728" t="s">
        <v>3112</v>
      </c>
      <c r="C2628" s="839" t="s">
        <v>3515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1648</v>
      </c>
      <c r="I2628" s="1241" t="s">
        <v>1543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 x14ac:dyDescent="0.25">
      <c r="B2629" s="728" t="s">
        <v>3111</v>
      </c>
      <c r="C2629" s="839" t="s">
        <v>3515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1648</v>
      </c>
      <c r="I2629" s="1244" t="s">
        <v>1698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 x14ac:dyDescent="0.25">
      <c r="B2630" s="728" t="s">
        <v>3110</v>
      </c>
      <c r="C2630" s="839" t="s">
        <v>3515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1648</v>
      </c>
      <c r="I2630" s="1244" t="s">
        <v>2919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 x14ac:dyDescent="0.25">
      <c r="B2631" s="728" t="s">
        <v>3109</v>
      </c>
      <c r="C2631" s="839" t="s">
        <v>3515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1648</v>
      </c>
      <c r="I2631" s="1244" t="s">
        <v>1698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 x14ac:dyDescent="0.25">
      <c r="B2632" s="728" t="s">
        <v>3108</v>
      </c>
      <c r="C2632" s="839" t="s">
        <v>3515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44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1360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 x14ac:dyDescent="0.25">
      <c r="B2633" s="728" t="s">
        <v>3107</v>
      </c>
      <c r="C2633" s="839" t="s">
        <v>3515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4" t="s">
        <v>3370</v>
      </c>
      <c r="I2633" s="1244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1360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 x14ac:dyDescent="0.25">
      <c r="B2634" s="728" t="s">
        <v>3106</v>
      </c>
      <c r="C2634" s="839" t="s">
        <v>3515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1648</v>
      </c>
      <c r="I2634" s="1244" t="s">
        <v>2854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 x14ac:dyDescent="0.25">
      <c r="B2635" s="728" t="s">
        <v>3105</v>
      </c>
      <c r="C2635" s="839" t="s">
        <v>3515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1648</v>
      </c>
      <c r="I2635" s="1241" t="s">
        <v>1543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 x14ac:dyDescent="0.25">
      <c r="B2636" s="728" t="s">
        <v>3104</v>
      </c>
      <c r="C2636" s="839" t="s">
        <v>3515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1648</v>
      </c>
      <c r="I2636" s="1244" t="s">
        <v>2854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 x14ac:dyDescent="0.25">
      <c r="B2637" s="728" t="s">
        <v>3103</v>
      </c>
      <c r="C2637" s="839" t="s">
        <v>3515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1648</v>
      </c>
      <c r="I2637" s="1244" t="s">
        <v>1738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 x14ac:dyDescent="0.25">
      <c r="B2638" s="728" t="s">
        <v>3102</v>
      </c>
      <c r="C2638" s="839" t="s">
        <v>3515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1648</v>
      </c>
      <c r="I2638" s="1244" t="s">
        <v>1697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 x14ac:dyDescent="0.25">
      <c r="B2639" s="728" t="s">
        <v>3101</v>
      </c>
      <c r="C2639" s="839" t="s">
        <v>3515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1648</v>
      </c>
      <c r="I2639" s="1244" t="s">
        <v>2337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 x14ac:dyDescent="0.25">
      <c r="B2640" s="728" t="s">
        <v>3100</v>
      </c>
      <c r="C2640" s="839" t="s">
        <v>3515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1648</v>
      </c>
      <c r="I2640" s="1244" t="s">
        <v>2277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 x14ac:dyDescent="0.25">
      <c r="B2641" s="728" t="s">
        <v>3099</v>
      </c>
      <c r="C2641" s="839" t="s">
        <v>3515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1648</v>
      </c>
      <c r="I2641" s="1244" t="s">
        <v>2337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 x14ac:dyDescent="0.25">
      <c r="B2642" s="728" t="s">
        <v>3098</v>
      </c>
      <c r="C2642" s="839" t="s">
        <v>3515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1648</v>
      </c>
      <c r="I2642" s="1244" t="s">
        <v>2854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 x14ac:dyDescent="0.25">
      <c r="B2643" s="728" t="s">
        <v>3097</v>
      </c>
      <c r="C2643" s="839" t="s">
        <v>3515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1648</v>
      </c>
      <c r="I2643" s="1244" t="s">
        <v>1738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 x14ac:dyDescent="0.25">
      <c r="B2644" s="728" t="s">
        <v>3096</v>
      </c>
      <c r="C2644" s="839" t="s">
        <v>3515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1648</v>
      </c>
      <c r="I2644" s="1244" t="s">
        <v>1740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 x14ac:dyDescent="0.25">
      <c r="B2645" s="729" t="s">
        <v>3144</v>
      </c>
      <c r="C2645" s="839" t="s">
        <v>3515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1648</v>
      </c>
      <c r="I2645" s="1244" t="s">
        <v>1740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 x14ac:dyDescent="0.25">
      <c r="B2646" s="729" t="s">
        <v>3143</v>
      </c>
      <c r="C2646" s="839" t="s">
        <v>3515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1648</v>
      </c>
      <c r="I2646" s="1245" t="s">
        <v>2854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 x14ac:dyDescent="0.25">
      <c r="B2647" s="729" t="s">
        <v>3142</v>
      </c>
      <c r="C2647" s="839" t="s">
        <v>3515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1648</v>
      </c>
      <c r="I2647" s="1245" t="s">
        <v>2921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 x14ac:dyDescent="0.25">
      <c r="B2648" s="730" t="s">
        <v>3150</v>
      </c>
      <c r="C2648" s="839" t="s">
        <v>3515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3151</v>
      </c>
      <c r="I2648" s="1246" t="s">
        <v>1556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 x14ac:dyDescent="0.25">
      <c r="B2649" s="730" t="s">
        <v>3149</v>
      </c>
      <c r="C2649" s="839" t="s">
        <v>3515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1648</v>
      </c>
      <c r="I2649" s="1245" t="s">
        <v>2854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 x14ac:dyDescent="0.25">
      <c r="B2650" s="730" t="s">
        <v>3148</v>
      </c>
      <c r="C2650" s="839" t="s">
        <v>3515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1648</v>
      </c>
      <c r="I2650" s="1245" t="s">
        <v>2854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 x14ac:dyDescent="0.25">
      <c r="B2651" s="731" t="s">
        <v>3171</v>
      </c>
      <c r="C2651" s="839" t="s">
        <v>3515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1648</v>
      </c>
      <c r="I2651" s="1247" t="s">
        <v>1756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 x14ac:dyDescent="0.25">
      <c r="B2652" s="731" t="s">
        <v>3170</v>
      </c>
      <c r="C2652" s="839" t="s">
        <v>3515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1648</v>
      </c>
      <c r="I2652" s="1241" t="s">
        <v>1543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 x14ac:dyDescent="0.25">
      <c r="B2653" s="731" t="s">
        <v>3169</v>
      </c>
      <c r="C2653" s="839" t="s">
        <v>3515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3151</v>
      </c>
      <c r="I2653" s="1247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 x14ac:dyDescent="0.25">
      <c r="B2654" s="731" t="s">
        <v>3168</v>
      </c>
      <c r="C2654" s="839" t="s">
        <v>3515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1648</v>
      </c>
      <c r="I2654" s="1247" t="s">
        <v>1699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 x14ac:dyDescent="0.25">
      <c r="B2655" s="731" t="s">
        <v>3167</v>
      </c>
      <c r="C2655" s="839" t="s">
        <v>3515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3297</v>
      </c>
      <c r="I2655" s="1247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 x14ac:dyDescent="0.25">
      <c r="B2656" s="731" t="s">
        <v>3166</v>
      </c>
      <c r="C2656" s="839" t="s">
        <v>3515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1648</v>
      </c>
      <c r="I2656" s="1241" t="s">
        <v>1543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 x14ac:dyDescent="0.25">
      <c r="B2657" s="731" t="s">
        <v>3165</v>
      </c>
      <c r="C2657" s="839" t="s">
        <v>3515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1648</v>
      </c>
      <c r="I2657" s="1247" t="s">
        <v>2277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 x14ac:dyDescent="0.25">
      <c r="B2658" s="731" t="s">
        <v>3164</v>
      </c>
      <c r="C2658" s="839" t="s">
        <v>3515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1648</v>
      </c>
      <c r="I2658" s="1247" t="s">
        <v>1739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 x14ac:dyDescent="0.25">
      <c r="B2659" s="731" t="s">
        <v>3163</v>
      </c>
      <c r="C2659" s="839" t="s">
        <v>3515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1648</v>
      </c>
      <c r="I2659" s="1241" t="s">
        <v>1543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 x14ac:dyDescent="0.25">
      <c r="B2660" s="731" t="s">
        <v>3162</v>
      </c>
      <c r="C2660" s="839" t="s">
        <v>3515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3172</v>
      </c>
      <c r="I2660" s="1247" t="s">
        <v>3173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 x14ac:dyDescent="0.25">
      <c r="B2661" s="731" t="s">
        <v>3161</v>
      </c>
      <c r="C2661" s="839" t="s">
        <v>3515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1648</v>
      </c>
      <c r="I2661" s="1247" t="s">
        <v>2277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 x14ac:dyDescent="0.25">
      <c r="B2662" s="731" t="s">
        <v>3160</v>
      </c>
      <c r="C2662" s="839" t="s">
        <v>3515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1648</v>
      </c>
      <c r="I2662" s="1247" t="s">
        <v>2854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 x14ac:dyDescent="0.25">
      <c r="B2663" s="731" t="s">
        <v>3159</v>
      </c>
      <c r="C2663" s="839" t="s">
        <v>3515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1648</v>
      </c>
      <c r="I2663" s="1241" t="s">
        <v>1543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 x14ac:dyDescent="0.25">
      <c r="B2664" s="731" t="s">
        <v>3158</v>
      </c>
      <c r="C2664" s="839" t="s">
        <v>3515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1648</v>
      </c>
      <c r="I2664" s="1241" t="s">
        <v>1543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 x14ac:dyDescent="0.25">
      <c r="B2665" s="731" t="s">
        <v>3157</v>
      </c>
      <c r="C2665" s="839" t="s">
        <v>3515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47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3026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 x14ac:dyDescent="0.25">
      <c r="B2666" s="731" t="s">
        <v>3156</v>
      </c>
      <c r="C2666" s="839" t="s">
        <v>3515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1648</v>
      </c>
      <c r="I2666" s="1247" t="s">
        <v>1739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 x14ac:dyDescent="0.25">
      <c r="B2667" s="731" t="s">
        <v>3155</v>
      </c>
      <c r="C2667" s="839" t="s">
        <v>3515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3172</v>
      </c>
      <c r="I2667" s="1247" t="s">
        <v>3174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 x14ac:dyDescent="0.25">
      <c r="B2668" s="731" t="s">
        <v>3155</v>
      </c>
      <c r="C2668" s="839" t="s">
        <v>3515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1648</v>
      </c>
      <c r="I2668" s="1247" t="s">
        <v>1697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 x14ac:dyDescent="0.25">
      <c r="B2669" s="731" t="s">
        <v>3154</v>
      </c>
      <c r="C2669" s="839" t="s">
        <v>3515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1648</v>
      </c>
      <c r="I2669" s="1247" t="s">
        <v>2854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 x14ac:dyDescent="0.25">
      <c r="B2670" s="731" t="s">
        <v>3153</v>
      </c>
      <c r="C2670" s="839" t="s">
        <v>3515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1648</v>
      </c>
      <c r="I2670" s="1241" t="s">
        <v>1543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 x14ac:dyDescent="0.25">
      <c r="B2671" s="731" t="s">
        <v>3152</v>
      </c>
      <c r="C2671" s="839" t="s">
        <v>3515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1648</v>
      </c>
      <c r="I2671" s="1241" t="s">
        <v>1543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 x14ac:dyDescent="0.25">
      <c r="B2672" s="732" t="s">
        <v>3189</v>
      </c>
      <c r="C2672" s="839" t="s">
        <v>3515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1648</v>
      </c>
      <c r="I2672" s="1241" t="s">
        <v>1543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 x14ac:dyDescent="0.25">
      <c r="B2673" s="732" t="s">
        <v>3188</v>
      </c>
      <c r="C2673" s="839" t="s">
        <v>3515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48" t="s">
        <v>3190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 x14ac:dyDescent="0.25">
      <c r="B2674" s="732" t="s">
        <v>3187</v>
      </c>
      <c r="C2674" s="839" t="s">
        <v>3515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3297</v>
      </c>
      <c r="I2674" s="1247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 x14ac:dyDescent="0.25">
      <c r="B2675" s="732" t="s">
        <v>3186</v>
      </c>
      <c r="C2675" s="839" t="s">
        <v>3515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3172</v>
      </c>
      <c r="I2675" s="1248" t="s">
        <v>3174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 x14ac:dyDescent="0.25">
      <c r="B2676" s="733" t="s">
        <v>3215</v>
      </c>
      <c r="C2676" s="839" t="s">
        <v>3515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1648</v>
      </c>
      <c r="I2676" s="1247" t="s">
        <v>2854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 x14ac:dyDescent="0.25">
      <c r="B2677" s="733" t="s">
        <v>3214</v>
      </c>
      <c r="C2677" s="839" t="s">
        <v>3515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1648</v>
      </c>
      <c r="I2677" s="1247" t="s">
        <v>1697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 x14ac:dyDescent="0.25">
      <c r="B2678" s="733" t="s">
        <v>3213</v>
      </c>
      <c r="C2678" s="839" t="s">
        <v>3515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1648</v>
      </c>
      <c r="I2678" s="1241" t="s">
        <v>1543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 x14ac:dyDescent="0.25">
      <c r="B2679" s="733" t="s">
        <v>3212</v>
      </c>
      <c r="C2679" s="839" t="s">
        <v>3515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3216</v>
      </c>
      <c r="I2679" s="1249" t="s">
        <v>3217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 x14ac:dyDescent="0.25">
      <c r="B2680" s="733" t="s">
        <v>3211</v>
      </c>
      <c r="C2680" s="839" t="s">
        <v>3515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3216</v>
      </c>
      <c r="I2680" s="1249" t="s">
        <v>1540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 x14ac:dyDescent="0.25">
      <c r="B2681" s="733" t="s">
        <v>3210</v>
      </c>
      <c r="C2681" s="839" t="s">
        <v>3515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1648</v>
      </c>
      <c r="I2681" s="1249" t="s">
        <v>2307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 x14ac:dyDescent="0.25">
      <c r="B2682" s="733" t="s">
        <v>3209</v>
      </c>
      <c r="C2682" s="839" t="s">
        <v>3515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1648</v>
      </c>
      <c r="I2682" s="1249" t="s">
        <v>1756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 x14ac:dyDescent="0.25">
      <c r="B2683" s="733" t="s">
        <v>3208</v>
      </c>
      <c r="C2683" s="839" t="s">
        <v>3515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3172</v>
      </c>
      <c r="I2683" s="1249" t="s">
        <v>3174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 x14ac:dyDescent="0.25">
      <c r="B2684" s="733" t="s">
        <v>3207</v>
      </c>
      <c r="C2684" s="839" t="s">
        <v>3515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3172</v>
      </c>
      <c r="I2684" s="1249" t="s">
        <v>3173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 x14ac:dyDescent="0.25">
      <c r="B2685" s="733" t="s">
        <v>3206</v>
      </c>
      <c r="C2685" s="839" t="s">
        <v>3515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1648</v>
      </c>
      <c r="I2685" s="1247" t="s">
        <v>1697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 x14ac:dyDescent="0.25">
      <c r="B2686" s="734" t="s">
        <v>3230</v>
      </c>
      <c r="C2686" s="839" t="s">
        <v>3515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3151</v>
      </c>
      <c r="I2686" s="1250" t="s">
        <v>1556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 x14ac:dyDescent="0.25">
      <c r="B2687" s="734" t="s">
        <v>3229</v>
      </c>
      <c r="C2687" s="839" t="s">
        <v>3515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50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2409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 x14ac:dyDescent="0.25">
      <c r="B2688" s="734" t="s">
        <v>3228</v>
      </c>
      <c r="C2688" s="839" t="s">
        <v>3515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1648</v>
      </c>
      <c r="I2688" s="1250" t="s">
        <v>2854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 x14ac:dyDescent="0.25">
      <c r="B2689" s="734" t="s">
        <v>3227</v>
      </c>
      <c r="C2689" s="839" t="s">
        <v>3515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1648</v>
      </c>
      <c r="I2689" s="1241" t="s">
        <v>1543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 x14ac:dyDescent="0.25">
      <c r="B2690" s="734" t="s">
        <v>3226</v>
      </c>
      <c r="C2690" s="839" t="s">
        <v>3515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3151</v>
      </c>
      <c r="I2690" s="1250" t="s">
        <v>1556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 x14ac:dyDescent="0.25">
      <c r="B2691" s="734" t="s">
        <v>3225</v>
      </c>
      <c r="C2691" s="839" t="s">
        <v>3515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1648</v>
      </c>
      <c r="I2691" s="1250" t="s">
        <v>1699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 x14ac:dyDescent="0.25">
      <c r="B2692" s="734" t="s">
        <v>3224</v>
      </c>
      <c r="C2692" s="839" t="s">
        <v>3515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1648</v>
      </c>
      <c r="I2692" s="1241" t="s">
        <v>1543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 x14ac:dyDescent="0.25">
      <c r="B2693" s="734" t="s">
        <v>3223</v>
      </c>
      <c r="C2693" s="839" t="s">
        <v>3515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3231</v>
      </c>
      <c r="I2693" s="1250" t="s">
        <v>1760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 x14ac:dyDescent="0.25">
      <c r="B2694" s="734" t="s">
        <v>3222</v>
      </c>
      <c r="C2694" s="839" t="s">
        <v>3515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3151</v>
      </c>
      <c r="I2694" s="1250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 x14ac:dyDescent="0.25">
      <c r="B2695" s="734" t="s">
        <v>3221</v>
      </c>
      <c r="C2695" s="839" t="s">
        <v>3515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3234</v>
      </c>
      <c r="I2695" s="1250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 x14ac:dyDescent="0.25">
      <c r="B2696" s="734" t="s">
        <v>3221</v>
      </c>
      <c r="C2696" s="839" t="s">
        <v>3515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1648</v>
      </c>
      <c r="I2696" s="1250" t="s">
        <v>2920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 x14ac:dyDescent="0.25">
      <c r="B2697" s="734" t="s">
        <v>3220</v>
      </c>
      <c r="C2697" s="839" t="s">
        <v>3515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1648</v>
      </c>
      <c r="I2697" s="1250" t="s">
        <v>1739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 x14ac:dyDescent="0.25">
      <c r="B2698" s="734" t="s">
        <v>3219</v>
      </c>
      <c r="C2698" s="839" t="s">
        <v>3515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1648</v>
      </c>
      <c r="I2698" s="1250" t="s">
        <v>2919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 x14ac:dyDescent="0.25">
      <c r="B2699" s="735" t="s">
        <v>3240</v>
      </c>
      <c r="C2699" s="839" t="s">
        <v>3515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3151</v>
      </c>
      <c r="I2699" s="1251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 x14ac:dyDescent="0.25">
      <c r="B2700" s="735" t="s">
        <v>3239</v>
      </c>
      <c r="C2700" s="839" t="s">
        <v>3515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3151</v>
      </c>
      <c r="I2700" s="1251" t="s">
        <v>1556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 x14ac:dyDescent="0.25">
      <c r="B2701" s="735" t="s">
        <v>3238</v>
      </c>
      <c r="C2701" s="839" t="s">
        <v>3515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51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3241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 x14ac:dyDescent="0.25">
      <c r="B2702" s="735" t="s">
        <v>3237</v>
      </c>
      <c r="C2702" s="839" t="s">
        <v>3515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4" t="s">
        <v>3370</v>
      </c>
      <c r="I2702" s="1252" t="s">
        <v>3353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3294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 x14ac:dyDescent="0.25">
      <c r="B2703" s="735" t="s">
        <v>3236</v>
      </c>
      <c r="C2703" s="839" t="s">
        <v>3515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3231</v>
      </c>
      <c r="I2703" s="1250" t="s">
        <v>1760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 x14ac:dyDescent="0.25">
      <c r="B2704" s="735" t="s">
        <v>3235</v>
      </c>
      <c r="C2704" s="839" t="s">
        <v>3515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3172</v>
      </c>
      <c r="I2704" s="1249" t="s">
        <v>3174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 x14ac:dyDescent="0.25">
      <c r="B2705" s="736" t="s">
        <v>3289</v>
      </c>
      <c r="C2705" s="839" t="s">
        <v>3515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3151</v>
      </c>
      <c r="I2705" s="1253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 x14ac:dyDescent="0.25">
      <c r="B2706" s="736" t="s">
        <v>3289</v>
      </c>
      <c r="C2706" s="839" t="s">
        <v>3515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3231</v>
      </c>
      <c r="I2706" s="1250" t="s">
        <v>1760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 x14ac:dyDescent="0.25">
      <c r="B2707" s="736" t="s">
        <v>3288</v>
      </c>
      <c r="C2707" s="839" t="s">
        <v>3515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3151</v>
      </c>
      <c r="I2707" s="1253" t="s">
        <v>1556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 x14ac:dyDescent="0.25">
      <c r="B2708" s="736" t="s">
        <v>3287</v>
      </c>
      <c r="C2708" s="839" t="s">
        <v>3515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3231</v>
      </c>
      <c r="I2708" s="1250" t="s">
        <v>1760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 x14ac:dyDescent="0.25">
      <c r="B2709" s="736" t="s">
        <v>3287</v>
      </c>
      <c r="C2709" s="839" t="s">
        <v>3515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1648</v>
      </c>
      <c r="I2709" s="1253" t="s">
        <v>2337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 x14ac:dyDescent="0.25">
      <c r="B2710" s="736" t="s">
        <v>3287</v>
      </c>
      <c r="C2710" s="839" t="s">
        <v>3515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3151</v>
      </c>
      <c r="I2710" s="1253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 x14ac:dyDescent="0.25">
      <c r="B2711" s="736" t="s">
        <v>3286</v>
      </c>
      <c r="C2711" s="839" t="s">
        <v>3515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53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2131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 x14ac:dyDescent="0.25">
      <c r="B2712" s="736" t="s">
        <v>3285</v>
      </c>
      <c r="C2712" s="839" t="s">
        <v>3515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1648</v>
      </c>
      <c r="I2712" s="1253" t="s">
        <v>2854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 x14ac:dyDescent="0.25">
      <c r="B2713" s="736" t="s">
        <v>3284</v>
      </c>
      <c r="C2713" s="839" t="s">
        <v>3515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3151</v>
      </c>
      <c r="I2713" s="1253" t="s">
        <v>1556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 x14ac:dyDescent="0.25">
      <c r="B2714" s="736" t="s">
        <v>3283</v>
      </c>
      <c r="C2714" s="839" t="s">
        <v>3515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3172</v>
      </c>
      <c r="I2714" s="1253" t="s">
        <v>3174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 x14ac:dyDescent="0.25">
      <c r="B2715" s="736" t="s">
        <v>3282</v>
      </c>
      <c r="C2715" s="839" t="s">
        <v>3515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4" t="s">
        <v>3370</v>
      </c>
      <c r="I2715" s="1253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2131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 x14ac:dyDescent="0.25">
      <c r="B2716" s="736" t="s">
        <v>3281</v>
      </c>
      <c r="C2716" s="839" t="s">
        <v>3515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1648</v>
      </c>
      <c r="I2716" s="1253" t="s">
        <v>2854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 x14ac:dyDescent="0.25">
      <c r="B2717" s="736" t="s">
        <v>3280</v>
      </c>
      <c r="C2717" s="839" t="s">
        <v>3515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3231</v>
      </c>
      <c r="I2717" s="1250" t="s">
        <v>1760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 x14ac:dyDescent="0.25">
      <c r="B2718" s="736" t="s">
        <v>3279</v>
      </c>
      <c r="C2718" s="839" t="s">
        <v>3515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3297</v>
      </c>
      <c r="I2718" s="1253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 x14ac:dyDescent="0.25">
      <c r="B2719" s="736" t="s">
        <v>3278</v>
      </c>
      <c r="C2719" s="839" t="s">
        <v>3515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1648</v>
      </c>
      <c r="I2719" s="1253" t="s">
        <v>2920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 x14ac:dyDescent="0.25">
      <c r="B2720" s="736" t="s">
        <v>3277</v>
      </c>
      <c r="C2720" s="839" t="s">
        <v>3515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3234</v>
      </c>
      <c r="I2720" s="1250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 x14ac:dyDescent="0.25">
      <c r="B2721" s="736" t="s">
        <v>3276</v>
      </c>
      <c r="C2721" s="839" t="s">
        <v>3515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3151</v>
      </c>
      <c r="I2721" s="1253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 x14ac:dyDescent="0.25">
      <c r="B2722" s="736" t="s">
        <v>3275</v>
      </c>
      <c r="C2722" s="839" t="s">
        <v>3515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3234</v>
      </c>
      <c r="I2722" s="1253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 x14ac:dyDescent="0.25">
      <c r="B2723" s="736" t="s">
        <v>3274</v>
      </c>
      <c r="C2723" s="839" t="s">
        <v>3515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3172</v>
      </c>
      <c r="I2723" s="1253" t="s">
        <v>3174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 x14ac:dyDescent="0.25">
      <c r="B2724" s="736" t="s">
        <v>3273</v>
      </c>
      <c r="C2724" s="839" t="s">
        <v>3515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3293</v>
      </c>
      <c r="I2724" s="1254" t="s">
        <v>3527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 x14ac:dyDescent="0.25">
      <c r="B2725" s="736" t="s">
        <v>3272</v>
      </c>
      <c r="C2725" s="839" t="s">
        <v>3515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3231</v>
      </c>
      <c r="I2725" s="1250" t="s">
        <v>1760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 x14ac:dyDescent="0.25">
      <c r="B2726" s="736" t="s">
        <v>3272</v>
      </c>
      <c r="C2726" s="839" t="s">
        <v>3515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1648</v>
      </c>
      <c r="I2726" s="1253" t="s">
        <v>1740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 x14ac:dyDescent="0.25">
      <c r="B2727" s="736" t="s">
        <v>3271</v>
      </c>
      <c r="C2727" s="839" t="s">
        <v>3515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3151</v>
      </c>
      <c r="I2727" s="1253" t="s">
        <v>1556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 x14ac:dyDescent="0.25">
      <c r="B2728" s="736" t="s">
        <v>3270</v>
      </c>
      <c r="C2728" s="839" t="s">
        <v>3515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4" t="s">
        <v>3370</v>
      </c>
      <c r="I2728" s="1252" t="s">
        <v>3353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3294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 x14ac:dyDescent="0.25">
      <c r="B2729" s="736" t="s">
        <v>3269</v>
      </c>
      <c r="C2729" s="839" t="s">
        <v>3515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4" t="s">
        <v>3370</v>
      </c>
      <c r="I2729" s="1253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3295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 x14ac:dyDescent="0.25">
      <c r="B2730" s="736" t="s">
        <v>3268</v>
      </c>
      <c r="C2730" s="839" t="s">
        <v>3515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1648</v>
      </c>
      <c r="I2730" s="1253" t="s">
        <v>2338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 x14ac:dyDescent="0.25">
      <c r="B2731" s="736" t="s">
        <v>3266</v>
      </c>
      <c r="C2731" s="839" t="s">
        <v>3515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1648</v>
      </c>
      <c r="I2731" s="1253" t="s">
        <v>1543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 x14ac:dyDescent="0.25">
      <c r="B2732" s="736" t="s">
        <v>3266</v>
      </c>
      <c r="C2732" s="839" t="s">
        <v>3515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1648</v>
      </c>
      <c r="I2732" s="1253" t="s">
        <v>2338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 x14ac:dyDescent="0.25">
      <c r="B2733" s="736" t="s">
        <v>3267</v>
      </c>
      <c r="C2733" s="839" t="s">
        <v>3515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1648</v>
      </c>
      <c r="I2733" s="1253" t="s">
        <v>3296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 x14ac:dyDescent="0.25">
      <c r="B2734" s="736" t="s">
        <v>3265</v>
      </c>
      <c r="C2734" s="839" t="s">
        <v>3515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1648</v>
      </c>
      <c r="I2734" s="1253" t="s">
        <v>2920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 x14ac:dyDescent="0.25">
      <c r="B2735" s="736" t="s">
        <v>3264</v>
      </c>
      <c r="C2735" s="839" t="s">
        <v>3515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3297</v>
      </c>
      <c r="I2735" s="1253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 x14ac:dyDescent="0.25">
      <c r="B2736" s="736" t="s">
        <v>3263</v>
      </c>
      <c r="C2736" s="839" t="s">
        <v>3515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52" t="s">
        <v>3353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3294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 x14ac:dyDescent="0.25">
      <c r="B2737" s="736" t="s">
        <v>3262</v>
      </c>
      <c r="C2737" s="839" t="s">
        <v>3515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3297</v>
      </c>
      <c r="I2737" s="1253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 x14ac:dyDescent="0.25">
      <c r="B2738" s="736" t="s">
        <v>3261</v>
      </c>
      <c r="C2738" s="839" t="s">
        <v>3515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1648</v>
      </c>
      <c r="I2738" s="1253" t="s">
        <v>2854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 x14ac:dyDescent="0.25">
      <c r="B2739" s="736" t="s">
        <v>3260</v>
      </c>
      <c r="C2739" s="839" t="s">
        <v>3515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1648</v>
      </c>
      <c r="I2739" s="1253" t="s">
        <v>1774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 x14ac:dyDescent="0.25">
      <c r="B2740" s="736" t="s">
        <v>3259</v>
      </c>
      <c r="C2740" s="839" t="s">
        <v>3515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3234</v>
      </c>
      <c r="I2740" s="1253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 x14ac:dyDescent="0.25">
      <c r="B2741" s="736" t="s">
        <v>3258</v>
      </c>
      <c r="C2741" s="839" t="s">
        <v>3515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3293</v>
      </c>
      <c r="I2741" s="1255" t="s">
        <v>4307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 x14ac:dyDescent="0.25">
      <c r="B2742" s="736" t="s">
        <v>3257</v>
      </c>
      <c r="C2742" s="839" t="s">
        <v>3515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4" t="s">
        <v>3370</v>
      </c>
      <c r="I2742" s="1253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3026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 x14ac:dyDescent="0.25">
      <c r="B2743" s="736" t="s">
        <v>3256</v>
      </c>
      <c r="C2743" s="839" t="s">
        <v>3515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3216</v>
      </c>
      <c r="I2743" s="1253" t="s">
        <v>3217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 x14ac:dyDescent="0.25">
      <c r="B2744" s="736" t="s">
        <v>3255</v>
      </c>
      <c r="C2744" s="839" t="s">
        <v>3515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3216</v>
      </c>
      <c r="I2744" s="1253" t="s">
        <v>1540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 x14ac:dyDescent="0.25">
      <c r="B2745" s="736" t="s">
        <v>3254</v>
      </c>
      <c r="C2745" s="839" t="s">
        <v>3515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53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3026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 x14ac:dyDescent="0.25">
      <c r="B2746" s="736" t="s">
        <v>3253</v>
      </c>
      <c r="C2746" s="839" t="s">
        <v>3515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53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3026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 x14ac:dyDescent="0.25">
      <c r="B2747" s="736" t="s">
        <v>3252</v>
      </c>
      <c r="C2747" s="839" t="s">
        <v>3515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1648</v>
      </c>
      <c r="I2747" s="1253" t="s">
        <v>2920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 x14ac:dyDescent="0.25">
      <c r="B2748" s="736" t="s">
        <v>3251</v>
      </c>
      <c r="C2748" s="839" t="s">
        <v>3515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3151</v>
      </c>
      <c r="I2748" s="1253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 x14ac:dyDescent="0.25">
      <c r="B2749" s="736" t="s">
        <v>3250</v>
      </c>
      <c r="C2749" s="839" t="s">
        <v>3515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1540</v>
      </c>
      <c r="I2749" s="1253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3294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 x14ac:dyDescent="0.25">
      <c r="B2750" s="736" t="s">
        <v>3250</v>
      </c>
      <c r="C2750" s="839" t="s">
        <v>3515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4" t="s">
        <v>3370</v>
      </c>
      <c r="I2750" s="1252" t="s">
        <v>3353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3294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 x14ac:dyDescent="0.25">
      <c r="B2751" s="736" t="s">
        <v>3249</v>
      </c>
      <c r="C2751" s="839" t="s">
        <v>3515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1648</v>
      </c>
      <c r="I2751" s="1253" t="s">
        <v>1774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 x14ac:dyDescent="0.25">
      <c r="B2752" s="736" t="s">
        <v>3248</v>
      </c>
      <c r="C2752" s="839" t="s">
        <v>3515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1648</v>
      </c>
      <c r="I2752" s="1253" t="s">
        <v>1543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 x14ac:dyDescent="0.25">
      <c r="B2753" s="736" t="s">
        <v>3247</v>
      </c>
      <c r="C2753" s="839" t="s">
        <v>3515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3231</v>
      </c>
      <c r="I2753" s="1250" t="s">
        <v>1760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 x14ac:dyDescent="0.25">
      <c r="B2754" s="736" t="s">
        <v>3246</v>
      </c>
      <c r="C2754" s="839" t="s">
        <v>3515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4" t="s">
        <v>3370</v>
      </c>
      <c r="I2754" s="1253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3295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 x14ac:dyDescent="0.25">
      <c r="B2755" s="736" t="s">
        <v>3246</v>
      </c>
      <c r="C2755" s="839" t="s">
        <v>3515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1648</v>
      </c>
      <c r="I2755" s="1253" t="s">
        <v>1699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 x14ac:dyDescent="0.25">
      <c r="B2756" s="736" t="s">
        <v>3245</v>
      </c>
      <c r="C2756" s="839" t="s">
        <v>3515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3293</v>
      </c>
      <c r="I2756" s="1255" t="s">
        <v>4307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 x14ac:dyDescent="0.25">
      <c r="B2757" s="736" t="s">
        <v>3244</v>
      </c>
      <c r="C2757" s="839" t="s">
        <v>3515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3151</v>
      </c>
      <c r="I2757" s="1253" t="s">
        <v>1556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 x14ac:dyDescent="0.25">
      <c r="B2758" s="736" t="s">
        <v>3243</v>
      </c>
      <c r="C2758" s="839" t="s">
        <v>3515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3151</v>
      </c>
      <c r="I2758" s="1253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 x14ac:dyDescent="0.25">
      <c r="B2759" s="736" t="s">
        <v>3242</v>
      </c>
      <c r="C2759" s="839" t="s">
        <v>3515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3297</v>
      </c>
      <c r="I2759" s="1253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 x14ac:dyDescent="0.25">
      <c r="B2760" s="737" t="s">
        <v>3314</v>
      </c>
      <c r="C2760" s="839" t="s">
        <v>3515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56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3294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 x14ac:dyDescent="0.25">
      <c r="B2761" s="737" t="s">
        <v>3313</v>
      </c>
      <c r="C2761" s="839" t="s">
        <v>3515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3151</v>
      </c>
      <c r="I2761" s="1256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 x14ac:dyDescent="0.25">
      <c r="B2762" s="737" t="s">
        <v>3312</v>
      </c>
      <c r="C2762" s="839" t="s">
        <v>3515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4" t="s">
        <v>3370</v>
      </c>
      <c r="I2762" s="1252" t="s">
        <v>3353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3294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 x14ac:dyDescent="0.25">
      <c r="B2763" s="737" t="s">
        <v>3312</v>
      </c>
      <c r="C2763" s="839" t="s">
        <v>3515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1540</v>
      </c>
      <c r="I2763" s="1256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3294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 x14ac:dyDescent="0.25">
      <c r="B2764" s="737" t="s">
        <v>3311</v>
      </c>
      <c r="C2764" s="839" t="s">
        <v>3515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3151</v>
      </c>
      <c r="I2764" s="1253" t="s">
        <v>1556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 x14ac:dyDescent="0.25">
      <c r="B2765" s="737" t="s">
        <v>3310</v>
      </c>
      <c r="C2765" s="839" t="s">
        <v>3515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56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2409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 x14ac:dyDescent="0.25">
      <c r="B2766" s="737" t="s">
        <v>3309</v>
      </c>
      <c r="C2766" s="839" t="s">
        <v>3515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1648</v>
      </c>
      <c r="I2766" s="1253" t="s">
        <v>2854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 x14ac:dyDescent="0.25">
      <c r="B2767" s="737" t="s">
        <v>3308</v>
      </c>
      <c r="C2767" s="839" t="s">
        <v>3515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3151</v>
      </c>
      <c r="I2767" s="1253" t="s">
        <v>1556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 x14ac:dyDescent="0.25">
      <c r="B2768" s="737" t="s">
        <v>3307</v>
      </c>
      <c r="C2768" s="839" t="s">
        <v>3515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3172</v>
      </c>
      <c r="I2768" s="1256" t="s">
        <v>3173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 x14ac:dyDescent="0.25">
      <c r="B2769" s="737" t="s">
        <v>3307</v>
      </c>
      <c r="C2769" s="839" t="s">
        <v>3515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3297</v>
      </c>
      <c r="I2769" s="1256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 x14ac:dyDescent="0.25">
      <c r="B2770" s="737" t="s">
        <v>3306</v>
      </c>
      <c r="C2770" s="839" t="s">
        <v>3515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3296</v>
      </c>
      <c r="I2770" s="1257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 x14ac:dyDescent="0.25">
      <c r="B2771" s="737" t="s">
        <v>3305</v>
      </c>
      <c r="C2771" s="839" t="s">
        <v>3515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52" t="s">
        <v>3353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3294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 x14ac:dyDescent="0.25">
      <c r="B2772" s="737" t="s">
        <v>3304</v>
      </c>
      <c r="C2772" s="839" t="s">
        <v>3515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3151</v>
      </c>
      <c r="I2772" s="1253" t="s">
        <v>1556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 x14ac:dyDescent="0.25">
      <c r="B2773" s="737" t="s">
        <v>3303</v>
      </c>
      <c r="C2773" s="839" t="s">
        <v>3515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3293</v>
      </c>
      <c r="I2773" s="1255" t="s">
        <v>4308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 x14ac:dyDescent="0.25">
      <c r="B2774" s="737" t="s">
        <v>3302</v>
      </c>
      <c r="C2774" s="839" t="s">
        <v>3515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3151</v>
      </c>
      <c r="I2774" s="1256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 x14ac:dyDescent="0.25">
      <c r="B2775" s="737" t="s">
        <v>3301</v>
      </c>
      <c r="C2775" s="839" t="s">
        <v>3515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3297</v>
      </c>
      <c r="I2775" s="1256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 x14ac:dyDescent="0.25">
      <c r="B2776" s="597" t="s">
        <v>3346</v>
      </c>
      <c r="C2776" s="839" t="s">
        <v>3515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3151</v>
      </c>
      <c r="I2776" s="1258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 x14ac:dyDescent="0.25">
      <c r="B2777" s="597" t="s">
        <v>3345</v>
      </c>
      <c r="C2777" s="839" t="s">
        <v>3515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3151</v>
      </c>
      <c r="I2777" s="1258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 x14ac:dyDescent="0.25">
      <c r="B2778" s="597" t="s">
        <v>3344</v>
      </c>
      <c r="C2778" s="839" t="s">
        <v>3515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3231</v>
      </c>
      <c r="I2778" s="1250" t="s">
        <v>1760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 x14ac:dyDescent="0.25">
      <c r="B2779" s="597" t="s">
        <v>3344</v>
      </c>
      <c r="C2779" s="839" t="s">
        <v>3515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3151</v>
      </c>
      <c r="I2779" s="1258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 x14ac:dyDescent="0.25">
      <c r="B2780" s="597" t="s">
        <v>3343</v>
      </c>
      <c r="C2780" s="839" t="s">
        <v>3515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3151</v>
      </c>
      <c r="I2780" s="1258" t="s">
        <v>1556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 x14ac:dyDescent="0.25">
      <c r="B2781" s="597" t="s">
        <v>3342</v>
      </c>
      <c r="C2781" s="839" t="s">
        <v>3515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3151</v>
      </c>
      <c r="I2781" s="1258" t="s">
        <v>1556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 x14ac:dyDescent="0.25">
      <c r="B2782" s="597" t="s">
        <v>3341</v>
      </c>
      <c r="C2782" s="839" t="s">
        <v>3515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3151</v>
      </c>
      <c r="I2782" s="1258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 x14ac:dyDescent="0.25">
      <c r="B2783" s="597" t="s">
        <v>3352</v>
      </c>
      <c r="C2783" s="839" t="s">
        <v>3514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3347</v>
      </c>
      <c r="I2783" s="1258" t="s">
        <v>3349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 x14ac:dyDescent="0.25">
      <c r="B2784" s="597" t="s">
        <v>3340</v>
      </c>
      <c r="C2784" s="839" t="s">
        <v>3515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3347</v>
      </c>
      <c r="I2784" s="1258" t="s">
        <v>3349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 x14ac:dyDescent="0.25">
      <c r="B2785" s="597" t="s">
        <v>3339</v>
      </c>
      <c r="C2785" s="839" t="s">
        <v>3515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3151</v>
      </c>
      <c r="I2785" s="1258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 x14ac:dyDescent="0.25">
      <c r="B2786" s="597" t="s">
        <v>3338</v>
      </c>
      <c r="C2786" s="839" t="s">
        <v>3515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3151</v>
      </c>
      <c r="I2786" s="1258" t="s">
        <v>1556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 x14ac:dyDescent="0.25">
      <c r="B2787" s="597" t="s">
        <v>3337</v>
      </c>
      <c r="C2787" s="839" t="s">
        <v>3515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3297</v>
      </c>
      <c r="I2787" s="1258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3294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 x14ac:dyDescent="0.25">
      <c r="B2788" s="597" t="s">
        <v>3337</v>
      </c>
      <c r="C2788" s="839" t="s">
        <v>3515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3172</v>
      </c>
      <c r="I2788" s="1258" t="s">
        <v>3173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 x14ac:dyDescent="0.25">
      <c r="B2789" s="597" t="s">
        <v>3336</v>
      </c>
      <c r="C2789" s="839" t="s">
        <v>3515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52" t="s">
        <v>3353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3294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 x14ac:dyDescent="0.25">
      <c r="B2790" s="597" t="s">
        <v>3336</v>
      </c>
      <c r="C2790" s="839" t="s">
        <v>3514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3347</v>
      </c>
      <c r="I2790" s="1258" t="s">
        <v>3348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 x14ac:dyDescent="0.25">
      <c r="B2791" s="597" t="s">
        <v>3335</v>
      </c>
      <c r="C2791" s="839" t="s">
        <v>3515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3347</v>
      </c>
      <c r="I2791" s="1258" t="s">
        <v>3348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 x14ac:dyDescent="0.25">
      <c r="B2792" s="597" t="s">
        <v>3334</v>
      </c>
      <c r="C2792" s="839" t="s">
        <v>3515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3151</v>
      </c>
      <c r="I2792" s="1258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 x14ac:dyDescent="0.25">
      <c r="B2793" s="597" t="s">
        <v>3333</v>
      </c>
      <c r="C2793" s="839" t="s">
        <v>3515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4" t="s">
        <v>3370</v>
      </c>
      <c r="I2793" s="1252" t="s">
        <v>3353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3294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 x14ac:dyDescent="0.25">
      <c r="B2794" s="597" t="s">
        <v>3332</v>
      </c>
      <c r="C2794" s="839" t="s">
        <v>3515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1648</v>
      </c>
      <c r="I2794" s="1258" t="s">
        <v>3296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 x14ac:dyDescent="0.25">
      <c r="B2795" s="597" t="s">
        <v>3331</v>
      </c>
      <c r="C2795" s="839" t="s">
        <v>3515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3296</v>
      </c>
      <c r="I2795" s="1258" t="s">
        <v>3350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 x14ac:dyDescent="0.25">
      <c r="B2796" s="597" t="s">
        <v>3330</v>
      </c>
      <c r="C2796" s="839" t="s">
        <v>3515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58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2924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 x14ac:dyDescent="0.25">
      <c r="B2797" s="597" t="s">
        <v>3329</v>
      </c>
      <c r="C2797" s="839" t="s">
        <v>3515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3151</v>
      </c>
      <c r="I2797" s="1258" t="s">
        <v>1556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 x14ac:dyDescent="0.25">
      <c r="B2798" s="597" t="s">
        <v>3328</v>
      </c>
      <c r="C2798" s="839" t="s">
        <v>3515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4" t="s">
        <v>3370</v>
      </c>
      <c r="I2798" s="1252" t="s">
        <v>3353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3294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 x14ac:dyDescent="0.25">
      <c r="B2799" s="597" t="s">
        <v>3327</v>
      </c>
      <c r="C2799" s="839" t="s">
        <v>3515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3297</v>
      </c>
      <c r="I2799" s="1258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3294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 x14ac:dyDescent="0.25">
      <c r="B2800" s="597" t="s">
        <v>3326</v>
      </c>
      <c r="C2800" s="839" t="s">
        <v>3515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58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3351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 x14ac:dyDescent="0.25">
      <c r="B2801" s="597" t="s">
        <v>3325</v>
      </c>
      <c r="C2801" s="839" t="s">
        <v>3515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3293</v>
      </c>
      <c r="I2801" s="1254" t="s">
        <v>3527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 x14ac:dyDescent="0.25">
      <c r="B2802" s="597" t="s">
        <v>3324</v>
      </c>
      <c r="C2802" s="839" t="s">
        <v>3515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3151</v>
      </c>
      <c r="I2802" s="1258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 x14ac:dyDescent="0.25">
      <c r="B2803" s="597" t="s">
        <v>3323</v>
      </c>
      <c r="C2803" s="839" t="s">
        <v>3515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3151</v>
      </c>
      <c r="I2803" s="1258" t="s">
        <v>1556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 x14ac:dyDescent="0.25">
      <c r="B2804" s="597" t="s">
        <v>3322</v>
      </c>
      <c r="C2804" s="839" t="s">
        <v>3515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3151</v>
      </c>
      <c r="I2804" s="1258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 x14ac:dyDescent="0.25">
      <c r="B2805" s="597" t="s">
        <v>3321</v>
      </c>
      <c r="C2805" s="839" t="s">
        <v>3515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4" t="s">
        <v>3370</v>
      </c>
      <c r="I2805" s="1252" t="s">
        <v>3353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3294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 x14ac:dyDescent="0.25">
      <c r="B2806" s="597" t="s">
        <v>3320</v>
      </c>
      <c r="C2806" s="839" t="s">
        <v>3515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3293</v>
      </c>
      <c r="I2806" s="1255" t="s">
        <v>4308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 x14ac:dyDescent="0.25">
      <c r="B2807" s="597" t="s">
        <v>3319</v>
      </c>
      <c r="C2807" s="839" t="s">
        <v>3515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3151</v>
      </c>
      <c r="I2807" s="1258" t="s">
        <v>1556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 x14ac:dyDescent="0.25">
      <c r="B2808" s="597" t="s">
        <v>3318</v>
      </c>
      <c r="C2808" s="839" t="s">
        <v>3515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3172</v>
      </c>
      <c r="I2808" s="1258" t="s">
        <v>3174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 x14ac:dyDescent="0.25">
      <c r="B2809" s="597" t="s">
        <v>3318</v>
      </c>
      <c r="C2809" s="839" t="s">
        <v>3514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3297</v>
      </c>
      <c r="I2809" s="1258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3294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 x14ac:dyDescent="0.25">
      <c r="B2810" s="597" t="s">
        <v>3317</v>
      </c>
      <c r="C2810" s="839" t="s">
        <v>3515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3293</v>
      </c>
      <c r="I2810" s="1255" t="s">
        <v>4308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 x14ac:dyDescent="0.25">
      <c r="B2811" s="597" t="s">
        <v>3316</v>
      </c>
      <c r="C2811" s="839" t="s">
        <v>3515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3151</v>
      </c>
      <c r="I2811" s="1258" t="s">
        <v>1556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 x14ac:dyDescent="0.25">
      <c r="B2812" s="597" t="s">
        <v>3315</v>
      </c>
      <c r="C2812" s="839" t="s">
        <v>3515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1540</v>
      </c>
      <c r="I2812" s="1258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3294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 x14ac:dyDescent="0.25">
      <c r="B2813" s="587" t="s">
        <v>3315</v>
      </c>
      <c r="C2813" s="839" t="s">
        <v>3515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4" t="s">
        <v>3370</v>
      </c>
      <c r="I2813" s="1252" t="s">
        <v>3353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3294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 x14ac:dyDescent="0.25">
      <c r="B2814" s="598" t="s">
        <v>3367</v>
      </c>
      <c r="C2814" s="839" t="s">
        <v>3515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3293</v>
      </c>
      <c r="I2814" s="1259" t="s">
        <v>3370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 x14ac:dyDescent="0.25">
      <c r="B2815" s="598" t="s">
        <v>3366</v>
      </c>
      <c r="C2815" s="839" t="s">
        <v>3515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3151</v>
      </c>
      <c r="I2815" s="1258" t="s">
        <v>1556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 x14ac:dyDescent="0.25">
      <c r="B2816" s="598" t="s">
        <v>3365</v>
      </c>
      <c r="C2816" s="839" t="s">
        <v>3515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3151</v>
      </c>
      <c r="I2816" s="1258" t="s">
        <v>1556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 x14ac:dyDescent="0.25">
      <c r="B2817" s="598" t="s">
        <v>3364</v>
      </c>
      <c r="C2817" s="839" t="s">
        <v>3514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3297</v>
      </c>
      <c r="I2817" s="1259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3294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 x14ac:dyDescent="0.25">
      <c r="B2818" s="598" t="s">
        <v>3364</v>
      </c>
      <c r="C2818" s="839" t="s">
        <v>3515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3172</v>
      </c>
      <c r="I2818" s="1259" t="s">
        <v>3174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 x14ac:dyDescent="0.25">
      <c r="B2819" s="598" t="s">
        <v>3363</v>
      </c>
      <c r="C2819" s="839" t="s">
        <v>3515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3293</v>
      </c>
      <c r="I2819" s="1255" t="s">
        <v>4308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 x14ac:dyDescent="0.25">
      <c r="B2820" s="598" t="s">
        <v>3362</v>
      </c>
      <c r="C2820" s="839" t="s">
        <v>3515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3151</v>
      </c>
      <c r="I2820" s="1259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 x14ac:dyDescent="0.25">
      <c r="B2821" s="598" t="s">
        <v>3361</v>
      </c>
      <c r="C2821" s="839" t="s">
        <v>3515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3172</v>
      </c>
      <c r="I2821" s="1259" t="s">
        <v>3173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 x14ac:dyDescent="0.25">
      <c r="B2822" s="598" t="s">
        <v>3361</v>
      </c>
      <c r="C2822" s="839" t="s">
        <v>3514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3297</v>
      </c>
      <c r="I2822" s="1259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3294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 x14ac:dyDescent="0.25">
      <c r="B2823" s="598" t="s">
        <v>3360</v>
      </c>
      <c r="C2823" s="839" t="s">
        <v>3515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52" t="s">
        <v>3353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3294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 x14ac:dyDescent="0.25">
      <c r="B2824" s="598" t="s">
        <v>3360</v>
      </c>
      <c r="C2824" s="839" t="s">
        <v>3514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3293</v>
      </c>
      <c r="I2824" s="1254" t="s">
        <v>3525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 x14ac:dyDescent="0.25">
      <c r="B2825" s="598" t="s">
        <v>3359</v>
      </c>
      <c r="C2825" s="839" t="s">
        <v>3515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4" t="s">
        <v>3370</v>
      </c>
      <c r="I2825" s="1252" t="s">
        <v>3353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3294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 x14ac:dyDescent="0.25">
      <c r="B2826" s="598" t="s">
        <v>3358</v>
      </c>
      <c r="C2826" s="839" t="s">
        <v>3515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1648</v>
      </c>
      <c r="I2826" s="1259" t="s">
        <v>1739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 x14ac:dyDescent="0.25">
      <c r="B2827" s="598" t="s">
        <v>3357</v>
      </c>
      <c r="C2827" s="839" t="s">
        <v>3515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1648</v>
      </c>
      <c r="I2827" s="1259" t="s">
        <v>1739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 x14ac:dyDescent="0.25">
      <c r="B2828" s="598" t="s">
        <v>3356</v>
      </c>
      <c r="C2828" s="839" t="s">
        <v>3515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3151</v>
      </c>
      <c r="I2828" s="1259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 x14ac:dyDescent="0.25">
      <c r="B2829" s="598" t="s">
        <v>3355</v>
      </c>
      <c r="C2829" s="839" t="s">
        <v>3515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180" t="s">
        <v>4321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3294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 x14ac:dyDescent="0.25">
      <c r="B2830" s="598" t="s">
        <v>3355</v>
      </c>
      <c r="C2830" s="839" t="s">
        <v>3514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3172</v>
      </c>
      <c r="I2830" s="1259" t="s">
        <v>3174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 x14ac:dyDescent="0.25">
      <c r="B2831" s="598" t="s">
        <v>3354</v>
      </c>
      <c r="C2831" s="839" t="s">
        <v>3515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3371</v>
      </c>
      <c r="I2831" s="1259" t="s">
        <v>3372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 x14ac:dyDescent="0.25">
      <c r="B2832" s="643" t="s">
        <v>3485</v>
      </c>
      <c r="C2832" s="839" t="s">
        <v>3515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3293</v>
      </c>
      <c r="I2832" s="1254" t="s">
        <v>3526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 x14ac:dyDescent="0.25">
      <c r="B2833" s="643" t="s">
        <v>3484</v>
      </c>
      <c r="C2833" s="839" t="s">
        <v>3515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1648</v>
      </c>
      <c r="I2833" s="1260" t="s">
        <v>2854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 x14ac:dyDescent="0.25">
      <c r="B2834" s="643" t="s">
        <v>3483</v>
      </c>
      <c r="C2834" s="839" t="s">
        <v>3515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1648</v>
      </c>
      <c r="I2834" s="1260" t="s">
        <v>2338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 x14ac:dyDescent="0.25">
      <c r="B2835" s="643" t="s">
        <v>3482</v>
      </c>
      <c r="C2835" s="839" t="s">
        <v>3515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4" t="s">
        <v>3370</v>
      </c>
      <c r="I2835" s="1260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3486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 x14ac:dyDescent="0.25">
      <c r="B2836" s="643" t="s">
        <v>3481</v>
      </c>
      <c r="C2836" s="839" t="s">
        <v>3515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3296</v>
      </c>
      <c r="I2836" s="1260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 x14ac:dyDescent="0.25">
      <c r="B2837" s="643" t="s">
        <v>3480</v>
      </c>
      <c r="C2837" s="839" t="s">
        <v>3515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3151</v>
      </c>
      <c r="I2837" s="1260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 x14ac:dyDescent="0.25">
      <c r="B2838" s="643" t="s">
        <v>3480</v>
      </c>
      <c r="C2838" s="839" t="s">
        <v>3515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1648</v>
      </c>
      <c r="I2838" s="1260" t="s">
        <v>2337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 x14ac:dyDescent="0.25">
      <c r="B2839" s="643" t="s">
        <v>3479</v>
      </c>
      <c r="C2839" s="839" t="s">
        <v>3515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59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3486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 x14ac:dyDescent="0.25">
      <c r="B2840" s="643" t="s">
        <v>3478</v>
      </c>
      <c r="C2840" s="839" t="s">
        <v>3515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4" t="s">
        <v>3370</v>
      </c>
      <c r="I2840" s="1259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2131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 x14ac:dyDescent="0.25">
      <c r="B2841" s="643" t="s">
        <v>3477</v>
      </c>
      <c r="C2841" s="839" t="s">
        <v>3515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1648</v>
      </c>
      <c r="I2841" s="1260" t="s">
        <v>2307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 x14ac:dyDescent="0.25">
      <c r="B2842" s="643" t="s">
        <v>3476</v>
      </c>
      <c r="C2842" s="839" t="s">
        <v>3515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3172</v>
      </c>
      <c r="I2842" s="1260" t="s">
        <v>3174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 x14ac:dyDescent="0.25">
      <c r="B2843" s="643" t="s">
        <v>3476</v>
      </c>
      <c r="C2843" s="839" t="s">
        <v>3514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3297</v>
      </c>
      <c r="I2843" s="1259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 x14ac:dyDescent="0.25">
      <c r="B2844" s="643" t="s">
        <v>3475</v>
      </c>
      <c r="C2844" s="839" t="s">
        <v>3515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52" t="s">
        <v>3353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3294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 x14ac:dyDescent="0.25">
      <c r="B2845" s="643" t="s">
        <v>3475</v>
      </c>
      <c r="C2845" s="839" t="s">
        <v>3514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3293</v>
      </c>
      <c r="I2845" s="1255" t="s">
        <v>4308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 x14ac:dyDescent="0.25">
      <c r="B2846" s="643" t="s">
        <v>3474</v>
      </c>
      <c r="C2846" s="839" t="s">
        <v>3515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3151</v>
      </c>
      <c r="I2846" s="1260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 x14ac:dyDescent="0.25">
      <c r="B2847" s="643" t="s">
        <v>3473</v>
      </c>
      <c r="C2847" s="839" t="s">
        <v>3515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3172</v>
      </c>
      <c r="I2847" s="1260" t="s">
        <v>3173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 x14ac:dyDescent="0.25">
      <c r="B2848" s="643" t="s">
        <v>3473</v>
      </c>
      <c r="C2848" s="839" t="s">
        <v>3514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3297</v>
      </c>
      <c r="I2848" s="1253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 x14ac:dyDescent="0.25">
      <c r="B2849" s="643" t="s">
        <v>3472</v>
      </c>
      <c r="C2849" s="839" t="s">
        <v>3515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3151</v>
      </c>
      <c r="I2849" s="1260" t="s">
        <v>1556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 x14ac:dyDescent="0.25">
      <c r="B2850" s="643" t="s">
        <v>3471</v>
      </c>
      <c r="C2850" s="839" t="s">
        <v>3515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52" t="s">
        <v>3353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3294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 x14ac:dyDescent="0.25">
      <c r="B2851" s="643" t="s">
        <v>3470</v>
      </c>
      <c r="C2851" s="839" t="s">
        <v>3515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1540</v>
      </c>
      <c r="I2851" s="1260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3294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 x14ac:dyDescent="0.25">
      <c r="B2852" s="643" t="s">
        <v>3470</v>
      </c>
      <c r="C2852" s="839" t="s">
        <v>3515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4" t="s">
        <v>3370</v>
      </c>
      <c r="I2852" s="1252" t="s">
        <v>3353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3294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 x14ac:dyDescent="0.25">
      <c r="B2853" s="643" t="s">
        <v>3469</v>
      </c>
      <c r="C2853" s="839" t="s">
        <v>3515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3151</v>
      </c>
      <c r="I2853" s="1260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 x14ac:dyDescent="0.25">
      <c r="B2854" s="643" t="s">
        <v>3489</v>
      </c>
      <c r="C2854" s="839" t="s">
        <v>3514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3297</v>
      </c>
      <c r="I2854" s="1259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 x14ac:dyDescent="0.25">
      <c r="B2855" s="643" t="s">
        <v>3468</v>
      </c>
      <c r="C2855" s="839" t="s">
        <v>3515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3151</v>
      </c>
      <c r="I2855" s="1260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 x14ac:dyDescent="0.25">
      <c r="B2856" s="643" t="s">
        <v>3468</v>
      </c>
      <c r="C2856" s="839" t="s">
        <v>3515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1648</v>
      </c>
      <c r="I2856" s="1260" t="s">
        <v>2277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 x14ac:dyDescent="0.25">
      <c r="B2857" s="643" t="s">
        <v>3467</v>
      </c>
      <c r="C2857" s="839" t="s">
        <v>3515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3151</v>
      </c>
      <c r="I2857" s="1260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 x14ac:dyDescent="0.25">
      <c r="B2858" s="643" t="s">
        <v>3466</v>
      </c>
      <c r="C2858" s="839" t="s">
        <v>3514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3297</v>
      </c>
      <c r="I2858" s="1259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 x14ac:dyDescent="0.25">
      <c r="B2859" s="643" t="s">
        <v>3466</v>
      </c>
      <c r="C2859" s="839" t="s">
        <v>3515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3172</v>
      </c>
      <c r="I2859" s="1260" t="s">
        <v>3174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 x14ac:dyDescent="0.25">
      <c r="B2860" s="643" t="s">
        <v>3465</v>
      </c>
      <c r="C2860" s="839" t="s">
        <v>3515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3293</v>
      </c>
      <c r="I2860" s="1255" t="s">
        <v>4308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 x14ac:dyDescent="0.25">
      <c r="B2861" s="643" t="s">
        <v>3464</v>
      </c>
      <c r="C2861" s="839" t="s">
        <v>3515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3151</v>
      </c>
      <c r="I2861" s="1260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 x14ac:dyDescent="0.25">
      <c r="B2862" s="643" t="s">
        <v>3463</v>
      </c>
      <c r="C2862" s="839" t="s">
        <v>3515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3151</v>
      </c>
      <c r="I2862" s="1260" t="s">
        <v>1556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 x14ac:dyDescent="0.25">
      <c r="B2863" s="643" t="s">
        <v>3462</v>
      </c>
      <c r="C2863" s="839" t="s">
        <v>3515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3296</v>
      </c>
      <c r="I2863" s="1260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 x14ac:dyDescent="0.25">
      <c r="B2864" s="643" t="s">
        <v>3488</v>
      </c>
      <c r="C2864" s="839" t="s">
        <v>3514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3297</v>
      </c>
      <c r="I2864" s="1259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 x14ac:dyDescent="0.25">
      <c r="B2865" s="643" t="s">
        <v>3461</v>
      </c>
      <c r="C2865" s="839" t="s">
        <v>3515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3293</v>
      </c>
      <c r="I2865" s="1259" t="s">
        <v>3370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 x14ac:dyDescent="0.25">
      <c r="B2866" s="643" t="s">
        <v>3460</v>
      </c>
      <c r="C2866" s="839" t="s">
        <v>3515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3293</v>
      </c>
      <c r="I2866" s="1255" t="s">
        <v>4308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 x14ac:dyDescent="0.25">
      <c r="B2867" s="643" t="s">
        <v>3459</v>
      </c>
      <c r="C2867" s="839" t="s">
        <v>3515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180" t="s">
        <v>4321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 x14ac:dyDescent="0.25">
      <c r="B2868" s="643" t="s">
        <v>3459</v>
      </c>
      <c r="C2868" s="839" t="s">
        <v>3514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3172</v>
      </c>
      <c r="I2868" s="1260" t="s">
        <v>3174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 x14ac:dyDescent="0.25">
      <c r="B2869" s="643" t="s">
        <v>3458</v>
      </c>
      <c r="C2869" s="839" t="s">
        <v>3515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3293</v>
      </c>
      <c r="I2869" s="1255" t="s">
        <v>4308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 x14ac:dyDescent="0.25">
      <c r="B2870" s="643" t="s">
        <v>3457</v>
      </c>
      <c r="C2870" s="839" t="s">
        <v>3515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1648</v>
      </c>
      <c r="I2870" s="1260" t="s">
        <v>2920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 x14ac:dyDescent="0.25">
      <c r="B2871" s="643" t="s">
        <v>3456</v>
      </c>
      <c r="C2871" s="839" t="s">
        <v>3515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4" t="s">
        <v>3370</v>
      </c>
      <c r="I2871" s="1252" t="s">
        <v>3353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3294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 x14ac:dyDescent="0.25">
      <c r="B2872" s="643" t="s">
        <v>3455</v>
      </c>
      <c r="C2872" s="839" t="s">
        <v>3515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3151</v>
      </c>
      <c r="I2872" s="1260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 x14ac:dyDescent="0.25">
      <c r="B2873" s="643" t="s">
        <v>3454</v>
      </c>
      <c r="C2873" s="839" t="s">
        <v>3515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3234</v>
      </c>
      <c r="I2873" s="1259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 x14ac:dyDescent="0.25">
      <c r="B2874" s="643" t="s">
        <v>3454</v>
      </c>
      <c r="C2874" s="839" t="s">
        <v>3514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3234</v>
      </c>
      <c r="I2874" s="1259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 x14ac:dyDescent="0.25">
      <c r="B2875" s="643" t="s">
        <v>3453</v>
      </c>
      <c r="C2875" s="839" t="s">
        <v>3515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3151</v>
      </c>
      <c r="I2875" s="1260" t="s">
        <v>1556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 x14ac:dyDescent="0.25">
      <c r="B2876" s="643" t="s">
        <v>3452</v>
      </c>
      <c r="C2876" s="839" t="s">
        <v>3515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3296</v>
      </c>
      <c r="I2876" s="1260" t="s">
        <v>3350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 x14ac:dyDescent="0.25">
      <c r="B2877" s="643" t="s">
        <v>3451</v>
      </c>
      <c r="C2877" s="839" t="s">
        <v>3515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3293</v>
      </c>
      <c r="I2877" s="1255" t="s">
        <v>4307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 x14ac:dyDescent="0.25">
      <c r="B2878" s="643" t="s">
        <v>3450</v>
      </c>
      <c r="C2878" s="839" t="s">
        <v>3515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3297</v>
      </c>
      <c r="I2878" s="1259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 x14ac:dyDescent="0.25">
      <c r="B2879" s="643" t="s">
        <v>3449</v>
      </c>
      <c r="C2879" s="839" t="s">
        <v>3515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3293</v>
      </c>
      <c r="I2879" s="1259" t="s">
        <v>3370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 x14ac:dyDescent="0.25">
      <c r="B2880" s="643" t="s">
        <v>3448</v>
      </c>
      <c r="C2880" s="839" t="s">
        <v>3515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3151</v>
      </c>
      <c r="I2880" s="1260" t="s">
        <v>1556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 x14ac:dyDescent="0.25">
      <c r="B2881" s="643" t="s">
        <v>3447</v>
      </c>
      <c r="C2881" s="839" t="s">
        <v>3515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3151</v>
      </c>
      <c r="I2881" s="1260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 x14ac:dyDescent="0.25">
      <c r="B2882" s="643" t="s">
        <v>3446</v>
      </c>
      <c r="C2882" s="839" t="s">
        <v>3515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4" t="s">
        <v>3370</v>
      </c>
      <c r="I2882" s="1252" t="s">
        <v>3353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3294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 x14ac:dyDescent="0.25">
      <c r="B2883" s="643" t="s">
        <v>3445</v>
      </c>
      <c r="C2883" s="839" t="s">
        <v>3515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3151</v>
      </c>
      <c r="I2883" s="1260" t="s">
        <v>1556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 x14ac:dyDescent="0.25">
      <c r="B2884" s="643" t="s">
        <v>3444</v>
      </c>
      <c r="C2884" s="839" t="s">
        <v>3515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3151</v>
      </c>
      <c r="I2884" s="1260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 x14ac:dyDescent="0.25">
      <c r="B2885" s="643" t="s">
        <v>3443</v>
      </c>
      <c r="C2885" s="839" t="s">
        <v>3515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3371</v>
      </c>
      <c r="I2885" s="1259" t="s">
        <v>3372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 x14ac:dyDescent="0.25">
      <c r="B2886" s="643" t="s">
        <v>3442</v>
      </c>
      <c r="C2886" s="839" t="s">
        <v>3515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3371</v>
      </c>
      <c r="I2886" s="1259" t="s">
        <v>3372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 x14ac:dyDescent="0.25">
      <c r="B2887" s="643" t="s">
        <v>3441</v>
      </c>
      <c r="C2887" s="839" t="s">
        <v>3515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3151</v>
      </c>
      <c r="I2887" s="1260" t="s">
        <v>1556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 x14ac:dyDescent="0.25">
      <c r="B2888" s="643" t="s">
        <v>3440</v>
      </c>
      <c r="C2888" s="839" t="s">
        <v>3515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3297</v>
      </c>
      <c r="I2888" s="1259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 x14ac:dyDescent="0.25">
      <c r="B2889" s="643" t="s">
        <v>3439</v>
      </c>
      <c r="C2889" s="839" t="s">
        <v>3515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3151</v>
      </c>
      <c r="I2889" s="1260" t="s">
        <v>1556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 x14ac:dyDescent="0.25">
      <c r="B2890" s="643" t="s">
        <v>3438</v>
      </c>
      <c r="C2890" s="839" t="s">
        <v>3515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4" t="s">
        <v>3370</v>
      </c>
      <c r="I2890" s="1252" t="s">
        <v>3353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3294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 x14ac:dyDescent="0.25">
      <c r="B2891" s="643" t="s">
        <v>3437</v>
      </c>
      <c r="C2891" s="839" t="s">
        <v>3515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3297</v>
      </c>
      <c r="I2891" s="1253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 x14ac:dyDescent="0.25">
      <c r="B2892" s="643" t="s">
        <v>3436</v>
      </c>
      <c r="C2892" s="839" t="s">
        <v>3515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3151</v>
      </c>
      <c r="I2892" s="1260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 x14ac:dyDescent="0.25">
      <c r="B2893" s="643" t="s">
        <v>3435</v>
      </c>
      <c r="C2893" s="839" t="s">
        <v>3515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3293</v>
      </c>
      <c r="I2893" s="1255" t="s">
        <v>4307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 x14ac:dyDescent="0.25">
      <c r="B2894" s="643" t="s">
        <v>3434</v>
      </c>
      <c r="C2894" s="839" t="s">
        <v>3515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3296</v>
      </c>
      <c r="I2894" s="1260" t="s">
        <v>3487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 x14ac:dyDescent="0.25">
      <c r="B2895" s="643" t="s">
        <v>3433</v>
      </c>
      <c r="C2895" s="839" t="s">
        <v>3515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1648</v>
      </c>
      <c r="I2895" s="1260" t="s">
        <v>2920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 x14ac:dyDescent="0.25">
      <c r="B2896" s="643" t="s">
        <v>3432</v>
      </c>
      <c r="C2896" s="839" t="s">
        <v>3515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3151</v>
      </c>
      <c r="I2896" s="1260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 x14ac:dyDescent="0.25">
      <c r="B2897" s="643" t="s">
        <v>3431</v>
      </c>
      <c r="C2897" s="839" t="s">
        <v>3515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3293</v>
      </c>
      <c r="I2897" s="1259" t="s">
        <v>3370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 x14ac:dyDescent="0.25">
      <c r="B2898" s="643" t="s">
        <v>3430</v>
      </c>
      <c r="C2898" s="839" t="s">
        <v>3515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3296</v>
      </c>
      <c r="I2898" s="1260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 x14ac:dyDescent="0.25">
      <c r="B2899" s="643" t="s">
        <v>3429</v>
      </c>
      <c r="C2899" s="839" t="s">
        <v>3515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180" t="s">
        <v>4321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 x14ac:dyDescent="0.25">
      <c r="B2900" s="833" t="s">
        <v>3501</v>
      </c>
      <c r="C2900" s="839" t="s">
        <v>3515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3234</v>
      </c>
      <c r="I2900" s="1259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 x14ac:dyDescent="0.25">
      <c r="B2901" s="833" t="s">
        <v>3500</v>
      </c>
      <c r="C2901" s="839" t="s">
        <v>3515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3234</v>
      </c>
      <c r="I2901" s="1259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 x14ac:dyDescent="0.25">
      <c r="B2902" s="833" t="s">
        <v>3499</v>
      </c>
      <c r="C2902" s="839" t="s">
        <v>3515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1648</v>
      </c>
      <c r="I2902" s="1261" t="s">
        <v>2854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 x14ac:dyDescent="0.25">
      <c r="B2903" s="833" t="s">
        <v>3498</v>
      </c>
      <c r="C2903" s="839" t="s">
        <v>3515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3293</v>
      </c>
      <c r="I2903" s="1254" t="s">
        <v>3525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 x14ac:dyDescent="0.25">
      <c r="B2904" s="833" t="s">
        <v>3498</v>
      </c>
      <c r="C2904" s="839" t="s">
        <v>3514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4" t="s">
        <v>3370</v>
      </c>
      <c r="I2904" s="1252" t="s">
        <v>3353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3294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 x14ac:dyDescent="0.25">
      <c r="B2905" s="833" t="s">
        <v>3497</v>
      </c>
      <c r="C2905" s="839" t="s">
        <v>3515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61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2131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 x14ac:dyDescent="0.25">
      <c r="B2906" s="833" t="s">
        <v>3496</v>
      </c>
      <c r="C2906" s="839" t="s">
        <v>3515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1648</v>
      </c>
      <c r="I2906" s="1261" t="s">
        <v>1738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 x14ac:dyDescent="0.25">
      <c r="B2907" s="833" t="s">
        <v>3495</v>
      </c>
      <c r="C2907" s="839" t="s">
        <v>3515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3296</v>
      </c>
      <c r="I2907" s="1261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 x14ac:dyDescent="0.25">
      <c r="B2908" s="833" t="s">
        <v>3494</v>
      </c>
      <c r="C2908" s="839" t="s">
        <v>3515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3297</v>
      </c>
      <c r="I2908" s="1259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 x14ac:dyDescent="0.25">
      <c r="B2909" s="833" t="s">
        <v>3493</v>
      </c>
      <c r="C2909" s="839" t="s">
        <v>3515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4" t="s">
        <v>3370</v>
      </c>
      <c r="I2909" s="1252" t="s">
        <v>3353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3294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 x14ac:dyDescent="0.25">
      <c r="B2910" s="833" t="s">
        <v>3493</v>
      </c>
      <c r="C2910" s="839" t="s">
        <v>3515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1540</v>
      </c>
      <c r="I2910" s="1261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3294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 x14ac:dyDescent="0.25">
      <c r="B2911" s="833" t="s">
        <v>3492</v>
      </c>
      <c r="C2911" s="839" t="s">
        <v>3515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3293</v>
      </c>
      <c r="I2911" s="1255" t="s">
        <v>4308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 x14ac:dyDescent="0.25">
      <c r="B2912" s="833" t="s">
        <v>3491</v>
      </c>
      <c r="C2912" s="839" t="s">
        <v>3515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3297</v>
      </c>
      <c r="I2912" s="1253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 x14ac:dyDescent="0.25">
      <c r="B2913" s="839" t="s">
        <v>3507</v>
      </c>
      <c r="C2913" s="839" t="s">
        <v>3515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1648</v>
      </c>
      <c r="I2913" s="1262" t="s">
        <v>2920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 x14ac:dyDescent="0.25">
      <c r="B2914" s="839" t="s">
        <v>3506</v>
      </c>
      <c r="C2914" s="839" t="s">
        <v>3515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3293</v>
      </c>
      <c r="I2914" s="1255" t="s">
        <v>4307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 x14ac:dyDescent="0.25">
      <c r="B2915" s="839" t="s">
        <v>3506</v>
      </c>
      <c r="C2915" s="839" t="s">
        <v>3515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1648</v>
      </c>
      <c r="I2915" s="1262" t="s">
        <v>1756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 x14ac:dyDescent="0.25">
      <c r="B2916" s="839" t="s">
        <v>3505</v>
      </c>
      <c r="C2916" s="839" t="s">
        <v>3515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3296</v>
      </c>
      <c r="I2916" s="1262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 x14ac:dyDescent="0.25">
      <c r="B2917" s="839" t="s">
        <v>3511</v>
      </c>
      <c r="C2917" s="839" t="s">
        <v>3514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4" t="s">
        <v>3370</v>
      </c>
      <c r="I2917" s="1252" t="s">
        <v>3353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3294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 x14ac:dyDescent="0.25">
      <c r="B2918" s="839" t="s">
        <v>3510</v>
      </c>
      <c r="C2918" s="839" t="s">
        <v>3514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4" t="s">
        <v>3370</v>
      </c>
      <c r="I2918" s="1252" t="s">
        <v>3353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3294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 x14ac:dyDescent="0.25">
      <c r="B2919" s="839" t="s">
        <v>3504</v>
      </c>
      <c r="C2919" s="839" t="s">
        <v>3515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3297</v>
      </c>
      <c r="I2919" s="1262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 x14ac:dyDescent="0.25">
      <c r="B2920" s="839" t="s">
        <v>3504</v>
      </c>
      <c r="C2920" s="839" t="s">
        <v>3514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3172</v>
      </c>
      <c r="I2920" s="1262" t="s">
        <v>3173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 x14ac:dyDescent="0.25">
      <c r="B2921" s="839" t="s">
        <v>3509</v>
      </c>
      <c r="C2921" s="839" t="s">
        <v>3514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52" t="s">
        <v>3353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3294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 x14ac:dyDescent="0.25">
      <c r="B2922" s="839" t="s">
        <v>3509</v>
      </c>
      <c r="C2922" s="839" t="s">
        <v>3513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3216</v>
      </c>
      <c r="I2922" s="1262" t="s">
        <v>1540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 x14ac:dyDescent="0.25">
      <c r="B2923" s="839" t="s">
        <v>3504</v>
      </c>
      <c r="C2923" s="839" t="s">
        <v>3513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3216</v>
      </c>
      <c r="I2923" s="1262" t="s">
        <v>3217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 x14ac:dyDescent="0.25">
      <c r="B2924" s="839" t="s">
        <v>3503</v>
      </c>
      <c r="C2924" s="839" t="s">
        <v>3515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3297</v>
      </c>
      <c r="I2924" s="1262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 x14ac:dyDescent="0.25">
      <c r="B2925" s="839" t="s">
        <v>3503</v>
      </c>
      <c r="C2925" s="839" t="s">
        <v>3514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180" t="s">
        <v>4321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3294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 x14ac:dyDescent="0.25">
      <c r="B2926" s="839" t="s">
        <v>3503</v>
      </c>
      <c r="C2926" s="839" t="s">
        <v>3514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3172</v>
      </c>
      <c r="I2926" s="1262" t="s">
        <v>3173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 x14ac:dyDescent="0.25">
      <c r="B2927" s="839" t="s">
        <v>3508</v>
      </c>
      <c r="C2927" s="839" t="s">
        <v>3514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52" t="s">
        <v>3353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3294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 x14ac:dyDescent="0.25">
      <c r="B2928" s="849" t="s">
        <v>3523</v>
      </c>
      <c r="C2928" s="839" t="s">
        <v>3513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3216</v>
      </c>
      <c r="I2928" s="1262" t="s">
        <v>1540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 x14ac:dyDescent="0.25">
      <c r="B2929" s="849" t="s">
        <v>3524</v>
      </c>
      <c r="C2929" s="839" t="s">
        <v>3513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3216</v>
      </c>
      <c r="I2929" s="1262" t="s">
        <v>3217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 x14ac:dyDescent="0.25">
      <c r="B2930" s="849" t="s">
        <v>3519</v>
      </c>
      <c r="C2930" s="839" t="s">
        <v>3515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3371</v>
      </c>
      <c r="I2930" s="1254" t="s">
        <v>3372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 x14ac:dyDescent="0.25">
      <c r="B2931" s="849" t="s">
        <v>3521</v>
      </c>
      <c r="C2931" s="839" t="s">
        <v>3514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4" t="s">
        <v>3370</v>
      </c>
      <c r="I2931" s="1252" t="s">
        <v>3353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3294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 x14ac:dyDescent="0.25">
      <c r="B2932" s="849" t="s">
        <v>3518</v>
      </c>
      <c r="C2932" s="839" t="s">
        <v>3515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3297</v>
      </c>
      <c r="I2932" s="1254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 x14ac:dyDescent="0.25">
      <c r="B2933" s="849" t="s">
        <v>3520</v>
      </c>
      <c r="C2933" s="839" t="s">
        <v>3514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4" t="s">
        <v>3370</v>
      </c>
      <c r="I2933" s="1252" t="s">
        <v>3353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3294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 x14ac:dyDescent="0.25">
      <c r="B2934" s="849" t="s">
        <v>3517</v>
      </c>
      <c r="C2934" s="839" t="s">
        <v>3515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3371</v>
      </c>
      <c r="I2934" s="1254" t="s">
        <v>3372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 x14ac:dyDescent="0.25">
      <c r="B2935" s="849" t="s">
        <v>3516</v>
      </c>
      <c r="C2935" s="839" t="s">
        <v>3515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3293</v>
      </c>
      <c r="I2935" s="1254" t="s">
        <v>3525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 x14ac:dyDescent="0.25">
      <c r="B2936" s="849" t="s">
        <v>3516</v>
      </c>
      <c r="C2936" s="839" t="s">
        <v>3513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3216</v>
      </c>
      <c r="I2936" s="1262" t="s">
        <v>3217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 x14ac:dyDescent="0.25">
      <c r="B2937" s="849" t="s">
        <v>3522</v>
      </c>
      <c r="C2937" s="839" t="s">
        <v>3513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3216</v>
      </c>
      <c r="I2937" s="1262" t="s">
        <v>1540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 x14ac:dyDescent="0.25">
      <c r="B2938" s="854" t="s">
        <v>3537</v>
      </c>
      <c r="C2938" s="839" t="s">
        <v>3515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3151</v>
      </c>
      <c r="I2938" s="1263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 x14ac:dyDescent="0.25">
      <c r="B2939" s="854" t="s">
        <v>3536</v>
      </c>
      <c r="C2939" s="839" t="s">
        <v>3515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3538</v>
      </c>
      <c r="I2939" s="1263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 x14ac:dyDescent="0.25">
      <c r="B2940" s="854" t="s">
        <v>3535</v>
      </c>
      <c r="C2940" s="839" t="s">
        <v>3515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3297</v>
      </c>
      <c r="I2940" s="1263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 x14ac:dyDescent="0.25">
      <c r="B2941" s="854" t="s">
        <v>3534</v>
      </c>
      <c r="C2941" s="839" t="s">
        <v>3515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3151</v>
      </c>
      <c r="I2941" s="1263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 x14ac:dyDescent="0.25">
      <c r="B2942" s="854" t="s">
        <v>3533</v>
      </c>
      <c r="C2942" s="839" t="s">
        <v>3515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3297</v>
      </c>
      <c r="I2942" s="1263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 x14ac:dyDescent="0.25">
      <c r="B2943" s="854" t="s">
        <v>3532</v>
      </c>
      <c r="C2943" s="839" t="s">
        <v>3515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3216</v>
      </c>
      <c r="I2943" s="1262" t="s">
        <v>3217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 x14ac:dyDescent="0.25">
      <c r="B2944" s="854" t="s">
        <v>3531</v>
      </c>
      <c r="C2944" s="839" t="s">
        <v>3515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3216</v>
      </c>
      <c r="I2944" s="1262" t="s">
        <v>1540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 x14ac:dyDescent="0.25">
      <c r="B2945" s="860" t="s">
        <v>3584</v>
      </c>
      <c r="C2945" s="839" t="s">
        <v>3515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1648</v>
      </c>
      <c r="I2945" s="1252" t="s">
        <v>2854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 x14ac:dyDescent="0.25">
      <c r="B2946" s="860" t="s">
        <v>3583</v>
      </c>
      <c r="C2946" s="839" t="s">
        <v>3515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3297</v>
      </c>
      <c r="I2946" s="1252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 x14ac:dyDescent="0.25">
      <c r="B2947" s="860" t="s">
        <v>3582</v>
      </c>
      <c r="C2947" s="839" t="s">
        <v>3515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3151</v>
      </c>
      <c r="I2947" s="1252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 x14ac:dyDescent="0.25">
      <c r="B2948" s="860" t="s">
        <v>3559</v>
      </c>
      <c r="C2948" s="860" t="s">
        <v>3514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3216</v>
      </c>
      <c r="I2948" s="1252" t="s">
        <v>3217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 x14ac:dyDescent="0.25">
      <c r="B2949" s="860" t="s">
        <v>3559</v>
      </c>
      <c r="C2949" s="860" t="s">
        <v>3515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3234</v>
      </c>
      <c r="I2949" s="1252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 x14ac:dyDescent="0.25">
      <c r="B2950" s="860" t="s">
        <v>3558</v>
      </c>
      <c r="C2950" s="860" t="s">
        <v>3514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3216</v>
      </c>
      <c r="I2950" s="1252" t="s">
        <v>1540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 x14ac:dyDescent="0.25">
      <c r="B2951" s="860" t="s">
        <v>3558</v>
      </c>
      <c r="C2951" s="860" t="s">
        <v>3515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3293</v>
      </c>
      <c r="I2951" s="1252" t="s">
        <v>3525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 x14ac:dyDescent="0.25">
      <c r="B2952" s="860" t="s">
        <v>3581</v>
      </c>
      <c r="C2952" s="860" t="s">
        <v>3515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52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2131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 x14ac:dyDescent="0.25">
      <c r="B2953" s="860" t="s">
        <v>3580</v>
      </c>
      <c r="C2953" s="860" t="s">
        <v>3515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3538</v>
      </c>
      <c r="I2953" s="1252" t="s">
        <v>3589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 x14ac:dyDescent="0.25">
      <c r="B2954" s="860" t="s">
        <v>3580</v>
      </c>
      <c r="C2954" s="860" t="s">
        <v>3515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3151</v>
      </c>
      <c r="I2954" s="1252" t="s">
        <v>3588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 x14ac:dyDescent="0.25">
      <c r="B2955" s="860" t="s">
        <v>3579</v>
      </c>
      <c r="C2955" s="860" t="s">
        <v>3515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3297</v>
      </c>
      <c r="I2955" s="1252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 x14ac:dyDescent="0.25">
      <c r="B2956" s="860" t="s">
        <v>3578</v>
      </c>
      <c r="C2956" s="860" t="s">
        <v>3515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3371</v>
      </c>
      <c r="I2956" s="1252" t="s">
        <v>3372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 x14ac:dyDescent="0.25">
      <c r="B2957" s="860" t="s">
        <v>3557</v>
      </c>
      <c r="C2957" s="860" t="s">
        <v>3514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180" t="s">
        <v>4321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 x14ac:dyDescent="0.25">
      <c r="B2958" s="860" t="s">
        <v>3577</v>
      </c>
      <c r="C2958" s="860" t="s">
        <v>3515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3297</v>
      </c>
      <c r="I2958" s="1252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 x14ac:dyDescent="0.25">
      <c r="B2959" s="860" t="s">
        <v>3556</v>
      </c>
      <c r="C2959" s="860" t="s">
        <v>3514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52" t="s">
        <v>3353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3294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 x14ac:dyDescent="0.25">
      <c r="B2960" s="860" t="s">
        <v>3555</v>
      </c>
      <c r="C2960" s="860" t="s">
        <v>3514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4" t="s">
        <v>3370</v>
      </c>
      <c r="I2960" s="1252" t="s">
        <v>3353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3294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 x14ac:dyDescent="0.25">
      <c r="B2961" s="860" t="s">
        <v>3576</v>
      </c>
      <c r="C2961" s="860" t="s">
        <v>3515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3151</v>
      </c>
      <c r="I2961" s="1252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 x14ac:dyDescent="0.25">
      <c r="B2962" s="860" t="s">
        <v>3575</v>
      </c>
      <c r="C2962" s="860" t="s">
        <v>3515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3151</v>
      </c>
      <c r="I2962" s="1252" t="s">
        <v>1556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 x14ac:dyDescent="0.25">
      <c r="B2963" s="860" t="s">
        <v>3574</v>
      </c>
      <c r="C2963" s="860" t="s">
        <v>3515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3297</v>
      </c>
      <c r="I2963" s="1252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 x14ac:dyDescent="0.25">
      <c r="B2964" s="860" t="s">
        <v>3573</v>
      </c>
      <c r="C2964" s="860" t="s">
        <v>3515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3297</v>
      </c>
      <c r="I2964" s="1252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 x14ac:dyDescent="0.25">
      <c r="B2965" s="860" t="s">
        <v>3554</v>
      </c>
      <c r="C2965" s="860" t="s">
        <v>3514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3216</v>
      </c>
      <c r="I2965" s="1252" t="s">
        <v>3217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 x14ac:dyDescent="0.25">
      <c r="B2966" s="860" t="s">
        <v>3553</v>
      </c>
      <c r="C2966" s="860" t="s">
        <v>3514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3216</v>
      </c>
      <c r="I2966" s="1252" t="s">
        <v>1540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 x14ac:dyDescent="0.25">
      <c r="B2967" s="860" t="s">
        <v>3553</v>
      </c>
      <c r="C2967" s="860" t="s">
        <v>3515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3293</v>
      </c>
      <c r="I2967" s="1255" t="s">
        <v>4308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 x14ac:dyDescent="0.25">
      <c r="B2968" s="860" t="s">
        <v>3572</v>
      </c>
      <c r="C2968" s="860" t="s">
        <v>3515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3297</v>
      </c>
      <c r="I2968" s="1252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 x14ac:dyDescent="0.25">
      <c r="B2969" s="860" t="s">
        <v>3552</v>
      </c>
      <c r="C2969" s="860" t="s">
        <v>3514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3216</v>
      </c>
      <c r="I2969" s="1252" t="s">
        <v>3217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 x14ac:dyDescent="0.25">
      <c r="B2970" s="860" t="s">
        <v>3551</v>
      </c>
      <c r="C2970" s="860" t="s">
        <v>3514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3216</v>
      </c>
      <c r="I2970" s="1252" t="s">
        <v>1540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 x14ac:dyDescent="0.25">
      <c r="B2971" s="860" t="s">
        <v>3551</v>
      </c>
      <c r="C2971" s="860" t="s">
        <v>3515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3293</v>
      </c>
      <c r="I2971" s="1255" t="s">
        <v>4308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 x14ac:dyDescent="0.25">
      <c r="B2972" s="860" t="s">
        <v>3550</v>
      </c>
      <c r="C2972" s="860" t="s">
        <v>3514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3216</v>
      </c>
      <c r="I2972" s="1252" t="s">
        <v>3217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 x14ac:dyDescent="0.25">
      <c r="B2973" s="860" t="s">
        <v>3549</v>
      </c>
      <c r="C2973" s="860" t="s">
        <v>3514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3216</v>
      </c>
      <c r="I2973" s="1252" t="s">
        <v>1540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 x14ac:dyDescent="0.25">
      <c r="B2974" s="860" t="s">
        <v>3549</v>
      </c>
      <c r="C2974" s="860" t="s">
        <v>3515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3293</v>
      </c>
      <c r="I2974" s="1255" t="s">
        <v>4308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 x14ac:dyDescent="0.25">
      <c r="B2975" s="860" t="s">
        <v>3571</v>
      </c>
      <c r="C2975" s="860" t="s">
        <v>3515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3297</v>
      </c>
      <c r="I2975" s="1252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 x14ac:dyDescent="0.25">
      <c r="B2976" s="860" t="s">
        <v>3548</v>
      </c>
      <c r="C2976" s="860" t="s">
        <v>3514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3216</v>
      </c>
      <c r="I2976" s="1252" t="s">
        <v>3217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 x14ac:dyDescent="0.25">
      <c r="B2977" s="860" t="s">
        <v>3547</v>
      </c>
      <c r="C2977" s="860" t="s">
        <v>3514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3216</v>
      </c>
      <c r="I2977" s="1252" t="s">
        <v>1540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 x14ac:dyDescent="0.25">
      <c r="B2978" s="860" t="s">
        <v>3547</v>
      </c>
      <c r="C2978" s="860" t="s">
        <v>3515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3293</v>
      </c>
      <c r="I2978" s="1255" t="s">
        <v>4307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 x14ac:dyDescent="0.25">
      <c r="B2979" s="860" t="s">
        <v>3570</v>
      </c>
      <c r="C2979" s="860" t="s">
        <v>3515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4" t="s">
        <v>3370</v>
      </c>
      <c r="I2979" s="1252" t="s">
        <v>3353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3294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 x14ac:dyDescent="0.25">
      <c r="B2980" s="860" t="s">
        <v>3569</v>
      </c>
      <c r="C2980" s="860" t="s">
        <v>3515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3297</v>
      </c>
      <c r="I2980" s="1252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 x14ac:dyDescent="0.25">
      <c r="B2981" s="860" t="s">
        <v>3568</v>
      </c>
      <c r="C2981" s="860" t="s">
        <v>3515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3297</v>
      </c>
      <c r="I2981" s="1252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 x14ac:dyDescent="0.25">
      <c r="B2982" s="860" t="s">
        <v>3567</v>
      </c>
      <c r="C2982" s="860" t="s">
        <v>3515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1648</v>
      </c>
      <c r="I2982" s="1252" t="s">
        <v>2921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 x14ac:dyDescent="0.25">
      <c r="B2983" s="860" t="s">
        <v>3540</v>
      </c>
      <c r="C2983" s="860" t="s">
        <v>3515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3297</v>
      </c>
      <c r="I2983" s="1252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 x14ac:dyDescent="0.25">
      <c r="B2984" s="860" t="s">
        <v>3540</v>
      </c>
      <c r="C2984" s="860" t="s">
        <v>3513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3216</v>
      </c>
      <c r="I2984" s="1252" t="s">
        <v>3217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 x14ac:dyDescent="0.25">
      <c r="B2985" s="860" t="s">
        <v>3539</v>
      </c>
      <c r="C2985" s="860" t="s">
        <v>3514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52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2409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 x14ac:dyDescent="0.25">
      <c r="B2986" s="860" t="s">
        <v>3539</v>
      </c>
      <c r="C2986" s="860" t="s">
        <v>3515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3293</v>
      </c>
      <c r="I2986" s="1252" t="s">
        <v>3525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 x14ac:dyDescent="0.25">
      <c r="B2987" s="860" t="s">
        <v>3539</v>
      </c>
      <c r="C2987" s="860" t="s">
        <v>3515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1648</v>
      </c>
      <c r="I2987" s="1252" t="s">
        <v>1756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 x14ac:dyDescent="0.25">
      <c r="B2988" s="860" t="s">
        <v>3539</v>
      </c>
      <c r="C2988" s="860" t="s">
        <v>3513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3216</v>
      </c>
      <c r="I2988" s="1252" t="s">
        <v>1540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 x14ac:dyDescent="0.25">
      <c r="B2989" s="860" t="s">
        <v>3566</v>
      </c>
      <c r="C2989" s="860" t="s">
        <v>3515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3538</v>
      </c>
      <c r="I2989" s="1252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 x14ac:dyDescent="0.25">
      <c r="B2990" s="860" t="s">
        <v>3565</v>
      </c>
      <c r="C2990" s="860" t="s">
        <v>3515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1648</v>
      </c>
      <c r="I2990" s="1252" t="s">
        <v>1774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 x14ac:dyDescent="0.25">
      <c r="B2991" s="860" t="s">
        <v>3564</v>
      </c>
      <c r="C2991" s="860" t="s">
        <v>3515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3538</v>
      </c>
      <c r="I2991" s="1252" t="s">
        <v>1760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 x14ac:dyDescent="0.25">
      <c r="B2992" s="860" t="s">
        <v>3546</v>
      </c>
      <c r="C2992" s="860" t="s">
        <v>3514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3216</v>
      </c>
      <c r="I2992" s="1252" t="s">
        <v>3217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 x14ac:dyDescent="0.25">
      <c r="B2993" s="860" t="s">
        <v>3563</v>
      </c>
      <c r="C2993" s="860" t="s">
        <v>3515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3297</v>
      </c>
      <c r="I2993" s="1252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 x14ac:dyDescent="0.25">
      <c r="B2994" s="860" t="s">
        <v>3545</v>
      </c>
      <c r="C2994" s="860" t="s">
        <v>3514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3216</v>
      </c>
      <c r="I2994" s="1252" t="s">
        <v>1540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 x14ac:dyDescent="0.25">
      <c r="B2995" s="860" t="s">
        <v>3545</v>
      </c>
      <c r="C2995" s="860" t="s">
        <v>3515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3293</v>
      </c>
      <c r="I2995" s="1255" t="s">
        <v>4308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 x14ac:dyDescent="0.25">
      <c r="B2996" s="860" t="s">
        <v>3544</v>
      </c>
      <c r="C2996" s="860" t="s">
        <v>3514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3216</v>
      </c>
      <c r="I2996" s="1252" t="s">
        <v>3217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 x14ac:dyDescent="0.25">
      <c r="B2997" s="860" t="s">
        <v>3544</v>
      </c>
      <c r="C2997" s="860" t="s">
        <v>3515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3234</v>
      </c>
      <c r="I2997" s="1252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 x14ac:dyDescent="0.25">
      <c r="B2998" s="860" t="s">
        <v>3543</v>
      </c>
      <c r="C2998" s="860" t="s">
        <v>3514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3216</v>
      </c>
      <c r="I2998" s="1252" t="s">
        <v>3217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 x14ac:dyDescent="0.25">
      <c r="B2999" s="860" t="s">
        <v>3542</v>
      </c>
      <c r="C2999" s="860" t="s">
        <v>3514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3216</v>
      </c>
      <c r="I2999" s="1252" t="s">
        <v>1540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 x14ac:dyDescent="0.25">
      <c r="B3000" s="860" t="s">
        <v>3542</v>
      </c>
      <c r="C3000" s="860" t="s">
        <v>3515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3293</v>
      </c>
      <c r="I3000" s="1252" t="s">
        <v>3525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 x14ac:dyDescent="0.25">
      <c r="B3001" s="860" t="s">
        <v>3541</v>
      </c>
      <c r="C3001" s="860" t="s">
        <v>3514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3216</v>
      </c>
      <c r="I3001" s="1252" t="s">
        <v>1540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 x14ac:dyDescent="0.25">
      <c r="B3002" s="860" t="s">
        <v>3541</v>
      </c>
      <c r="C3002" s="860" t="s">
        <v>3515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3293</v>
      </c>
      <c r="I3002" s="1255" t="s">
        <v>4308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 x14ac:dyDescent="0.25">
      <c r="B3003" s="860" t="s">
        <v>3562</v>
      </c>
      <c r="C3003" s="860" t="s">
        <v>3515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3538</v>
      </c>
      <c r="I3003" s="1252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 x14ac:dyDescent="0.25">
      <c r="B3004" s="860" t="s">
        <v>3561</v>
      </c>
      <c r="C3004" s="860" t="s">
        <v>3515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3296</v>
      </c>
      <c r="I3004" s="1257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 x14ac:dyDescent="0.25">
      <c r="B3005" s="871" t="s">
        <v>3598</v>
      </c>
      <c r="C3005" s="860" t="s">
        <v>3515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3297</v>
      </c>
      <c r="I3005" s="1264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 x14ac:dyDescent="0.25">
      <c r="B3006" s="871" t="s">
        <v>3597</v>
      </c>
      <c r="C3006" s="860" t="s">
        <v>3515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64" t="s">
        <v>3353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3294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 x14ac:dyDescent="0.25">
      <c r="B3007" s="871" t="s">
        <v>3596</v>
      </c>
      <c r="C3007" s="860" t="s">
        <v>3515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64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3601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 x14ac:dyDescent="0.25">
      <c r="B3008" s="871" t="s">
        <v>3599</v>
      </c>
      <c r="C3008" s="871" t="s">
        <v>3514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3216</v>
      </c>
      <c r="I3008" s="1252" t="s">
        <v>3217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 x14ac:dyDescent="0.25">
      <c r="B3009" s="871" t="s">
        <v>3595</v>
      </c>
      <c r="C3009" s="860" t="s">
        <v>3515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3293</v>
      </c>
      <c r="I3009" s="1264" t="s">
        <v>3525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 x14ac:dyDescent="0.25">
      <c r="B3010" s="871" t="s">
        <v>3595</v>
      </c>
      <c r="C3010" s="871" t="s">
        <v>3514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3216</v>
      </c>
      <c r="I3010" s="1252" t="s">
        <v>1540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 x14ac:dyDescent="0.25">
      <c r="B3011" s="871" t="s">
        <v>3594</v>
      </c>
      <c r="C3011" s="871" t="s">
        <v>3514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3172</v>
      </c>
      <c r="I3011" s="1264" t="s">
        <v>3600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 x14ac:dyDescent="0.25">
      <c r="B3012" s="871" t="s">
        <v>3594</v>
      </c>
      <c r="C3012" s="860" t="s">
        <v>3515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3297</v>
      </c>
      <c r="I3012" s="1264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 x14ac:dyDescent="0.25">
      <c r="B3013" s="871" t="s">
        <v>3593</v>
      </c>
      <c r="C3013" s="860" t="s">
        <v>3515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3371</v>
      </c>
      <c r="I3013" s="1265" t="s">
        <v>3784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 x14ac:dyDescent="0.25">
      <c r="B3014" s="876" t="s">
        <v>3606</v>
      </c>
      <c r="C3014" s="860" t="s">
        <v>3515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3538</v>
      </c>
      <c r="I3014" s="1266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 x14ac:dyDescent="0.25">
      <c r="B3015" s="876" t="s">
        <v>3605</v>
      </c>
      <c r="C3015" s="860" t="s">
        <v>3515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4" t="s">
        <v>3370</v>
      </c>
      <c r="I3015" s="1266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3294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 x14ac:dyDescent="0.25">
      <c r="B3016" s="876" t="s">
        <v>3604</v>
      </c>
      <c r="C3016" s="860" t="s">
        <v>3515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1648</v>
      </c>
      <c r="I3016" s="1266" t="s">
        <v>2920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 x14ac:dyDescent="0.25">
      <c r="B3017" s="876" t="s">
        <v>3607</v>
      </c>
      <c r="C3017" s="871" t="s">
        <v>3514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3216</v>
      </c>
      <c r="I3017" s="1252" t="s">
        <v>3217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 x14ac:dyDescent="0.25">
      <c r="B3018" s="876" t="s">
        <v>3603</v>
      </c>
      <c r="C3018" s="860" t="s">
        <v>3515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3293</v>
      </c>
      <c r="I3018" s="1255" t="s">
        <v>4308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 x14ac:dyDescent="0.25">
      <c r="B3019" s="876" t="s">
        <v>3603</v>
      </c>
      <c r="C3019" s="871" t="s">
        <v>3514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3216</v>
      </c>
      <c r="I3019" s="1252" t="s">
        <v>1540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 x14ac:dyDescent="0.25">
      <c r="B3020" s="881" t="s">
        <v>3615</v>
      </c>
      <c r="C3020" s="860" t="s">
        <v>3515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4" t="s">
        <v>3370</v>
      </c>
      <c r="I3020" s="1267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3294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 x14ac:dyDescent="0.25">
      <c r="B3021" s="881" t="s">
        <v>3614</v>
      </c>
      <c r="C3021" s="860" t="s">
        <v>3515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3296</v>
      </c>
      <c r="I3021" s="1257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 x14ac:dyDescent="0.25">
      <c r="B3022" s="881" t="s">
        <v>3613</v>
      </c>
      <c r="C3022" s="860" t="s">
        <v>3515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3617</v>
      </c>
      <c r="I3022" s="1267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 x14ac:dyDescent="0.25">
      <c r="B3023" s="881" t="s">
        <v>3613</v>
      </c>
      <c r="C3023" s="871" t="s">
        <v>3514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3172</v>
      </c>
      <c r="I3023" s="1267" t="s">
        <v>3174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 x14ac:dyDescent="0.25">
      <c r="B3024" s="881" t="s">
        <v>3612</v>
      </c>
      <c r="C3024" s="860" t="s">
        <v>3515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3293</v>
      </c>
      <c r="I3024" s="1255" t="s">
        <v>4307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 x14ac:dyDescent="0.25">
      <c r="B3025" s="881" t="s">
        <v>3611</v>
      </c>
      <c r="C3025" s="860" t="s">
        <v>3515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1648</v>
      </c>
      <c r="I3025" s="1267" t="s">
        <v>1543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 x14ac:dyDescent="0.25">
      <c r="B3026" s="881" t="s">
        <v>3616</v>
      </c>
      <c r="C3026" s="871" t="s">
        <v>3514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3216</v>
      </c>
      <c r="I3026" s="1252" t="s">
        <v>3217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 x14ac:dyDescent="0.25">
      <c r="B3027" s="881" t="s">
        <v>3610</v>
      </c>
      <c r="C3027" s="860" t="s">
        <v>3515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3293</v>
      </c>
      <c r="I3027" s="1267" t="s">
        <v>3525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 x14ac:dyDescent="0.25">
      <c r="B3028" s="881" t="s">
        <v>3610</v>
      </c>
      <c r="C3028" s="871" t="s">
        <v>3514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3216</v>
      </c>
      <c r="I3028" s="1252" t="s">
        <v>1540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 x14ac:dyDescent="0.25">
      <c r="B3029" s="890" t="s">
        <v>3635</v>
      </c>
      <c r="C3029" s="860" t="s">
        <v>3515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268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3636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 x14ac:dyDescent="0.25">
      <c r="B3030" s="890" t="s">
        <v>3634</v>
      </c>
      <c r="C3030" s="860" t="s">
        <v>3515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4" t="s">
        <v>3370</v>
      </c>
      <c r="I3030" s="1268" t="s">
        <v>3353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3294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 x14ac:dyDescent="0.25">
      <c r="B3031" s="890" t="s">
        <v>3633</v>
      </c>
      <c r="C3031" s="860" t="s">
        <v>3515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4" t="s">
        <v>3370</v>
      </c>
      <c r="I3031" s="1268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3637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 x14ac:dyDescent="0.25">
      <c r="B3032" s="890" t="s">
        <v>3632</v>
      </c>
      <c r="C3032" s="860" t="s">
        <v>3515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1648</v>
      </c>
      <c r="I3032" s="1268" t="s">
        <v>1774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 x14ac:dyDescent="0.25">
      <c r="B3033" s="890" t="s">
        <v>3629</v>
      </c>
      <c r="C3033" s="871" t="s">
        <v>3514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3216</v>
      </c>
      <c r="I3033" s="1252" t="s">
        <v>3217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 x14ac:dyDescent="0.25">
      <c r="B3034" s="890" t="s">
        <v>3628</v>
      </c>
      <c r="C3034" s="871" t="s">
        <v>3514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3216</v>
      </c>
      <c r="I3034" s="1252" t="s">
        <v>1540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 x14ac:dyDescent="0.25">
      <c r="B3035" s="890" t="s">
        <v>3628</v>
      </c>
      <c r="C3035" s="860" t="s">
        <v>3515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3293</v>
      </c>
      <c r="I3035" s="1255" t="s">
        <v>4308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 x14ac:dyDescent="0.25">
      <c r="B3036" s="890" t="s">
        <v>3627</v>
      </c>
      <c r="C3036" s="871" t="s">
        <v>3514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3216</v>
      </c>
      <c r="I3036" s="1252" t="s">
        <v>3217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 x14ac:dyDescent="0.25">
      <c r="B3037" s="890" t="s">
        <v>3627</v>
      </c>
      <c r="C3037" s="860" t="s">
        <v>3515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3297</v>
      </c>
      <c r="I3037" s="1268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 x14ac:dyDescent="0.25">
      <c r="B3038" s="890" t="s">
        <v>3626</v>
      </c>
      <c r="C3038" s="871" t="s">
        <v>3514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3216</v>
      </c>
      <c r="I3038" s="1252" t="s">
        <v>1540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 x14ac:dyDescent="0.25">
      <c r="B3039" s="890" t="s">
        <v>3626</v>
      </c>
      <c r="C3039" s="890" t="s">
        <v>3515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3293</v>
      </c>
      <c r="I3039" s="1255" t="s">
        <v>4307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 x14ac:dyDescent="0.25">
      <c r="B3040" s="890" t="s">
        <v>3625</v>
      </c>
      <c r="C3040" s="890" t="s">
        <v>3513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3216</v>
      </c>
      <c r="I3040" s="1252" t="s">
        <v>1540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 x14ac:dyDescent="0.25">
      <c r="B3041" s="890" t="s">
        <v>3630</v>
      </c>
      <c r="C3041" s="890" t="s">
        <v>3513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3216</v>
      </c>
      <c r="I3041" s="1252" t="s">
        <v>3217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 x14ac:dyDescent="0.25">
      <c r="B3042" s="890" t="s">
        <v>3625</v>
      </c>
      <c r="C3042" s="871" t="s">
        <v>3514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4" t="s">
        <v>3370</v>
      </c>
      <c r="I3042" s="1268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2924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 x14ac:dyDescent="0.25">
      <c r="B3043" s="890" t="s">
        <v>3625</v>
      </c>
      <c r="C3043" s="860" t="s">
        <v>3515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3293</v>
      </c>
      <c r="I3043" s="1268" t="s">
        <v>3525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2924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 x14ac:dyDescent="0.25">
      <c r="B3044" s="890" t="s">
        <v>3631</v>
      </c>
      <c r="C3044" s="860" t="s">
        <v>3515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3297</v>
      </c>
      <c r="I3044" s="1268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 x14ac:dyDescent="0.25">
      <c r="B3045" s="895" t="s">
        <v>3649</v>
      </c>
      <c r="C3045" s="860" t="s">
        <v>3515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1648</v>
      </c>
      <c r="I3045" s="1269" t="s">
        <v>3296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 x14ac:dyDescent="0.25">
      <c r="B3046" s="895" t="s">
        <v>3650</v>
      </c>
      <c r="C3046" s="871" t="s">
        <v>3514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3216</v>
      </c>
      <c r="I3046" s="1252" t="s">
        <v>3217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 x14ac:dyDescent="0.25">
      <c r="B3047" s="895" t="s">
        <v>3648</v>
      </c>
      <c r="C3047" s="860" t="s">
        <v>3515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3293</v>
      </c>
      <c r="I3047" s="1255" t="s">
        <v>4308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 x14ac:dyDescent="0.25">
      <c r="B3048" s="895" t="s">
        <v>3648</v>
      </c>
      <c r="C3048" s="871" t="s">
        <v>3514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3216</v>
      </c>
      <c r="I3048" s="1252" t="s">
        <v>1540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 x14ac:dyDescent="0.25">
      <c r="B3049" s="895" t="s">
        <v>3647</v>
      </c>
      <c r="C3049" s="860" t="s">
        <v>3515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1648</v>
      </c>
      <c r="I3049" s="1269" t="s">
        <v>1543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 x14ac:dyDescent="0.25">
      <c r="B3050" s="895" t="s">
        <v>3646</v>
      </c>
      <c r="C3050" s="860" t="s">
        <v>3515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1648</v>
      </c>
      <c r="I3050" s="1269" t="s">
        <v>1738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 x14ac:dyDescent="0.25">
      <c r="B3051" s="895" t="s">
        <v>3645</v>
      </c>
      <c r="C3051" s="860" t="s">
        <v>3515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1648</v>
      </c>
      <c r="I3051" s="1269" t="s">
        <v>2338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 x14ac:dyDescent="0.25">
      <c r="B3052" s="895" t="s">
        <v>3644</v>
      </c>
      <c r="C3052" s="860" t="s">
        <v>3515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3296</v>
      </c>
      <c r="I3052" s="1257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 x14ac:dyDescent="0.25">
      <c r="B3053" s="895" t="s">
        <v>3643</v>
      </c>
      <c r="C3053" s="860" t="s">
        <v>3515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1648</v>
      </c>
      <c r="I3053" s="1269" t="s">
        <v>1756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 x14ac:dyDescent="0.25">
      <c r="B3054" s="895" t="s">
        <v>3642</v>
      </c>
      <c r="C3054" s="860" t="s">
        <v>3515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4" t="s">
        <v>3370</v>
      </c>
      <c r="I3054" s="1269" t="s">
        <v>3353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3294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 x14ac:dyDescent="0.25">
      <c r="B3055" s="895" t="s">
        <v>3641</v>
      </c>
      <c r="C3055" s="860" t="s">
        <v>3515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1648</v>
      </c>
      <c r="I3055" s="1269" t="s">
        <v>2338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 x14ac:dyDescent="0.25">
      <c r="B3056" s="895" t="s">
        <v>3640</v>
      </c>
      <c r="C3056" s="860" t="s">
        <v>3515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1648</v>
      </c>
      <c r="I3056" s="1269" t="s">
        <v>3296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 x14ac:dyDescent="0.25">
      <c r="B3057" s="895" t="s">
        <v>3639</v>
      </c>
      <c r="C3057" s="860" t="s">
        <v>3515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1648</v>
      </c>
      <c r="I3057" s="1269" t="s">
        <v>1697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 x14ac:dyDescent="0.25">
      <c r="B3058" s="895" t="s">
        <v>3673</v>
      </c>
      <c r="C3058" s="860" t="s">
        <v>3515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3297</v>
      </c>
      <c r="I3058" s="1270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 x14ac:dyDescent="0.25">
      <c r="B3059" s="902" t="s">
        <v>3673</v>
      </c>
      <c r="C3059" s="871" t="s">
        <v>3514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3216</v>
      </c>
      <c r="I3059" s="1252" t="s">
        <v>3217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 x14ac:dyDescent="0.25">
      <c r="B3060" s="895" t="s">
        <v>3672</v>
      </c>
      <c r="C3060" s="860" t="s">
        <v>3515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3293</v>
      </c>
      <c r="I3060" s="1270" t="s">
        <v>3525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 x14ac:dyDescent="0.25">
      <c r="B3061" s="902" t="s">
        <v>3672</v>
      </c>
      <c r="C3061" s="871" t="s">
        <v>3514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3216</v>
      </c>
      <c r="I3061" s="1252" t="s">
        <v>1540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 x14ac:dyDescent="0.25">
      <c r="B3062" s="895" t="s">
        <v>3678</v>
      </c>
      <c r="C3062" s="860" t="s">
        <v>3515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1648</v>
      </c>
      <c r="I3062" s="1270" t="s">
        <v>1543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 x14ac:dyDescent="0.25">
      <c r="B3063" s="895" t="s">
        <v>3677</v>
      </c>
      <c r="C3063" s="860" t="s">
        <v>3515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1648</v>
      </c>
      <c r="I3063" s="1270" t="s">
        <v>3296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 x14ac:dyDescent="0.25">
      <c r="B3064" s="895" t="s">
        <v>3676</v>
      </c>
      <c r="C3064" s="860" t="s">
        <v>3515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1648</v>
      </c>
      <c r="I3064" s="1270" t="s">
        <v>2854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 x14ac:dyDescent="0.25">
      <c r="B3065" s="902" t="s">
        <v>3670</v>
      </c>
      <c r="C3065" s="860" t="s">
        <v>3515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1648</v>
      </c>
      <c r="I3065" s="1270" t="s">
        <v>2921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 x14ac:dyDescent="0.25">
      <c r="B3066" s="902" t="s">
        <v>3669</v>
      </c>
      <c r="C3066" s="860" t="s">
        <v>3515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1648</v>
      </c>
      <c r="I3066" s="1270" t="s">
        <v>1756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 x14ac:dyDescent="0.25">
      <c r="B3067" s="902" t="s">
        <v>3668</v>
      </c>
      <c r="C3067" s="860" t="s">
        <v>3515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1648</v>
      </c>
      <c r="I3067" s="1270" t="s">
        <v>1739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 x14ac:dyDescent="0.25">
      <c r="B3068" s="902" t="s">
        <v>3667</v>
      </c>
      <c r="C3068" s="902" t="s">
        <v>3513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3216</v>
      </c>
      <c r="I3068" s="1252" t="s">
        <v>1540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 x14ac:dyDescent="0.25">
      <c r="B3069" s="902" t="s">
        <v>3675</v>
      </c>
      <c r="C3069" s="902" t="s">
        <v>3513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3216</v>
      </c>
      <c r="I3069" s="1252" t="s">
        <v>3217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 x14ac:dyDescent="0.25">
      <c r="B3070" s="902" t="s">
        <v>3667</v>
      </c>
      <c r="C3070" s="860" t="s">
        <v>3515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3293</v>
      </c>
      <c r="I3070" s="1270" t="s">
        <v>3525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 x14ac:dyDescent="0.25">
      <c r="B3071" s="902" t="s">
        <v>3667</v>
      </c>
      <c r="C3071" s="871" t="s">
        <v>3514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4" t="s">
        <v>3370</v>
      </c>
      <c r="I3071" s="1270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3601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 x14ac:dyDescent="0.25">
      <c r="B3072" s="902" t="s">
        <v>3666</v>
      </c>
      <c r="C3072" s="860" t="s">
        <v>3515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270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3636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 x14ac:dyDescent="0.25">
      <c r="B3073" s="902" t="s">
        <v>3665</v>
      </c>
      <c r="C3073" s="871" t="s">
        <v>3514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3216</v>
      </c>
      <c r="I3073" s="1252" t="s">
        <v>3217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 x14ac:dyDescent="0.25">
      <c r="B3074" s="902" t="s">
        <v>3665</v>
      </c>
      <c r="C3074" s="860" t="s">
        <v>3515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3297</v>
      </c>
      <c r="I3074" s="1270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 x14ac:dyDescent="0.25">
      <c r="B3075" s="902" t="s">
        <v>3664</v>
      </c>
      <c r="C3075" s="860" t="s">
        <v>3515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3293</v>
      </c>
      <c r="I3075" s="1255" t="s">
        <v>4308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 x14ac:dyDescent="0.25">
      <c r="B3076" s="902" t="s">
        <v>3664</v>
      </c>
      <c r="C3076" s="871" t="s">
        <v>3514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3216</v>
      </c>
      <c r="I3076" s="1252" t="s">
        <v>1540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 x14ac:dyDescent="0.25">
      <c r="B3077" s="902" t="s">
        <v>3671</v>
      </c>
      <c r="C3077" s="871" t="s">
        <v>3514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3216</v>
      </c>
      <c r="I3077" s="1252" t="s">
        <v>3217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 x14ac:dyDescent="0.25">
      <c r="B3078" s="902" t="s">
        <v>3663</v>
      </c>
      <c r="C3078" s="860" t="s">
        <v>3515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3293</v>
      </c>
      <c r="I3078" s="1255" t="s">
        <v>4308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 x14ac:dyDescent="0.25">
      <c r="B3079" s="902" t="s">
        <v>3663</v>
      </c>
      <c r="C3079" s="871" t="s">
        <v>3514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3216</v>
      </c>
      <c r="I3079" s="1252" t="s">
        <v>1540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 x14ac:dyDescent="0.25">
      <c r="B3080" s="902" t="s">
        <v>3662</v>
      </c>
      <c r="C3080" s="902" t="s">
        <v>3513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3216</v>
      </c>
      <c r="I3080" s="1252" t="s">
        <v>3217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 x14ac:dyDescent="0.25">
      <c r="B3081" s="902" t="s">
        <v>3674</v>
      </c>
      <c r="C3081" s="902" t="s">
        <v>3513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3216</v>
      </c>
      <c r="I3081" s="1252" t="s">
        <v>1540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 x14ac:dyDescent="0.25">
      <c r="B3082" s="902" t="s">
        <v>3662</v>
      </c>
      <c r="C3082" s="860" t="s">
        <v>3515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3293</v>
      </c>
      <c r="I3082" s="1255" t="s">
        <v>4308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 x14ac:dyDescent="0.25">
      <c r="B3083" s="902" t="s">
        <v>3661</v>
      </c>
      <c r="C3083" s="860" t="s">
        <v>3515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1648</v>
      </c>
      <c r="I3083" s="1270" t="s">
        <v>2919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 x14ac:dyDescent="0.25">
      <c r="B3084" s="902" t="s">
        <v>3660</v>
      </c>
      <c r="C3084" s="860" t="s">
        <v>3515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4" t="s">
        <v>3370</v>
      </c>
      <c r="I3084" s="1270" t="s">
        <v>3353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3294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 x14ac:dyDescent="0.25">
      <c r="B3085" s="902" t="s">
        <v>3659</v>
      </c>
      <c r="C3085" s="860" t="s">
        <v>3515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1648</v>
      </c>
      <c r="I3085" s="1270" t="s">
        <v>2920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 x14ac:dyDescent="0.25">
      <c r="B3086" s="902" t="s">
        <v>3658</v>
      </c>
      <c r="C3086" s="860" t="s">
        <v>3515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1648</v>
      </c>
      <c r="I3086" s="1270" t="s">
        <v>2920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 x14ac:dyDescent="0.25">
      <c r="B3087" s="902" t="s">
        <v>3657</v>
      </c>
      <c r="C3087" s="860" t="s">
        <v>3515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1648</v>
      </c>
      <c r="I3087" s="1270" t="s">
        <v>2854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 x14ac:dyDescent="0.25">
      <c r="B3088" s="902" t="s">
        <v>3657</v>
      </c>
      <c r="C3088" s="860" t="s">
        <v>3515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1648</v>
      </c>
      <c r="I3088" s="1270" t="s">
        <v>2537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 x14ac:dyDescent="0.25">
      <c r="B3089" s="902" t="s">
        <v>3656</v>
      </c>
      <c r="C3089" s="860" t="s">
        <v>3515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1648</v>
      </c>
      <c r="I3089" s="1270" t="s">
        <v>1543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 x14ac:dyDescent="0.25">
      <c r="B3090" s="902" t="s">
        <v>3655</v>
      </c>
      <c r="C3090" s="860" t="s">
        <v>3515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1648</v>
      </c>
      <c r="I3090" s="1270" t="s">
        <v>1697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 x14ac:dyDescent="0.25">
      <c r="B3091" s="902" t="s">
        <v>3654</v>
      </c>
      <c r="C3091" s="860" t="s">
        <v>3515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1648</v>
      </c>
      <c r="I3091" s="1270" t="s">
        <v>2921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 x14ac:dyDescent="0.25">
      <c r="B3092" s="902" t="s">
        <v>3653</v>
      </c>
      <c r="C3092" s="860" t="s">
        <v>3515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1648</v>
      </c>
      <c r="I3092" s="1270" t="s">
        <v>2307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 x14ac:dyDescent="0.25">
      <c r="B3093" s="902" t="s">
        <v>3652</v>
      </c>
      <c r="C3093" s="860" t="s">
        <v>3515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3297</v>
      </c>
      <c r="I3093" s="1270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 x14ac:dyDescent="0.25">
      <c r="B3094" s="902" t="s">
        <v>3651</v>
      </c>
      <c r="C3094" s="860" t="s">
        <v>3515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270" t="s">
        <v>3353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3294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 x14ac:dyDescent="0.25">
      <c r="B3095" s="907" t="s">
        <v>3680</v>
      </c>
      <c r="C3095" s="860" t="s">
        <v>3515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3297</v>
      </c>
      <c r="I3095" s="1271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 x14ac:dyDescent="0.25">
      <c r="B3096" s="907" t="s">
        <v>3681</v>
      </c>
      <c r="C3096" s="871" t="s">
        <v>3514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3216</v>
      </c>
      <c r="I3096" s="1252" t="s">
        <v>3217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 x14ac:dyDescent="0.25">
      <c r="B3097" s="907" t="s">
        <v>3679</v>
      </c>
      <c r="C3097" s="860" t="s">
        <v>3515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3293</v>
      </c>
      <c r="I3097" s="1255" t="s">
        <v>4308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 x14ac:dyDescent="0.25">
      <c r="B3098" s="907" t="s">
        <v>3679</v>
      </c>
      <c r="C3098" s="871" t="s">
        <v>3514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3216</v>
      </c>
      <c r="I3098" s="1252" t="s">
        <v>1540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 x14ac:dyDescent="0.25">
      <c r="B3099" s="912" t="s">
        <v>3684</v>
      </c>
      <c r="C3099" s="912" t="s">
        <v>3513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3216</v>
      </c>
      <c r="I3099" s="1252" t="s">
        <v>3217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 x14ac:dyDescent="0.25">
      <c r="B3100" s="912" t="s">
        <v>3683</v>
      </c>
      <c r="C3100" s="860" t="s">
        <v>3515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3296</v>
      </c>
      <c r="I3100" s="1257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 x14ac:dyDescent="0.25">
      <c r="B3101" s="912" t="s">
        <v>3682</v>
      </c>
      <c r="C3101" s="912" t="s">
        <v>3513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3216</v>
      </c>
      <c r="I3101" s="1252" t="s">
        <v>1540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 x14ac:dyDescent="0.25">
      <c r="B3102" s="912" t="s">
        <v>3682</v>
      </c>
      <c r="C3102" s="860" t="s">
        <v>3515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4" t="s">
        <v>3370</v>
      </c>
      <c r="I3102" s="1272" t="s">
        <v>3353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3294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 x14ac:dyDescent="0.25">
      <c r="B3103" s="912" t="s">
        <v>3682</v>
      </c>
      <c r="C3103" s="871" t="s">
        <v>3514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3293</v>
      </c>
      <c r="I3103" s="1272" t="s">
        <v>3525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 x14ac:dyDescent="0.25">
      <c r="B3104" s="921" t="s">
        <v>3687</v>
      </c>
      <c r="C3104" s="860" t="s">
        <v>3515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1648</v>
      </c>
      <c r="I3104" s="1273" t="s">
        <v>1647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 x14ac:dyDescent="0.25">
      <c r="B3105" s="921" t="s">
        <v>3686</v>
      </c>
      <c r="C3105" s="860" t="s">
        <v>3515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1648</v>
      </c>
      <c r="I3105" s="1270" t="s">
        <v>1697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 x14ac:dyDescent="0.25">
      <c r="B3106" s="921" t="s">
        <v>3685</v>
      </c>
      <c r="C3106" s="860" t="s">
        <v>3515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1648</v>
      </c>
      <c r="I3106" s="1270" t="s">
        <v>1697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 x14ac:dyDescent="0.25">
      <c r="B3107" s="931" t="s">
        <v>3692</v>
      </c>
      <c r="C3107" s="860" t="s">
        <v>3515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1648</v>
      </c>
      <c r="I3107" s="1274" t="s">
        <v>1756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 x14ac:dyDescent="0.25">
      <c r="B3108" s="931" t="s">
        <v>3691</v>
      </c>
      <c r="C3108" s="860" t="s">
        <v>3515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3297</v>
      </c>
      <c r="I3108" s="1274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 x14ac:dyDescent="0.25">
      <c r="B3109" s="931" t="s">
        <v>3691</v>
      </c>
      <c r="C3109" s="871" t="s">
        <v>3514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3216</v>
      </c>
      <c r="I3109" s="1252" t="s">
        <v>3217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 x14ac:dyDescent="0.25">
      <c r="B3110" s="931" t="s">
        <v>3690</v>
      </c>
      <c r="C3110" s="871" t="s">
        <v>3514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3216</v>
      </c>
      <c r="I3110" s="1252" t="s">
        <v>1540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 x14ac:dyDescent="0.25">
      <c r="B3111" s="931" t="s">
        <v>3690</v>
      </c>
      <c r="C3111" s="860" t="s">
        <v>3515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3293</v>
      </c>
      <c r="I3111" s="1274" t="s">
        <v>3525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 x14ac:dyDescent="0.25">
      <c r="B3112" s="931" t="s">
        <v>3689</v>
      </c>
      <c r="C3112" s="860" t="s">
        <v>3515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3538</v>
      </c>
      <c r="I3112" s="1274" t="s">
        <v>1760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 x14ac:dyDescent="0.25">
      <c r="B3113" s="931" t="s">
        <v>3688</v>
      </c>
      <c r="C3113" s="860" t="s">
        <v>3515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1648</v>
      </c>
      <c r="I3113" s="1274" t="s">
        <v>1739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 x14ac:dyDescent="0.25">
      <c r="B3114" s="936" t="s">
        <v>3718</v>
      </c>
      <c r="C3114" s="871" t="s">
        <v>3514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3216</v>
      </c>
      <c r="I3114" s="1252" t="s">
        <v>3217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 x14ac:dyDescent="0.25">
      <c r="B3115" s="936" t="s">
        <v>3716</v>
      </c>
      <c r="C3115" s="860" t="s">
        <v>3515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3293</v>
      </c>
      <c r="I3115" s="1255" t="s">
        <v>4308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 x14ac:dyDescent="0.25">
      <c r="B3116" s="936" t="s">
        <v>3716</v>
      </c>
      <c r="C3116" s="871" t="s">
        <v>3514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3216</v>
      </c>
      <c r="I3116" s="1252" t="s">
        <v>1540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 x14ac:dyDescent="0.25">
      <c r="B3117" s="936" t="s">
        <v>3715</v>
      </c>
      <c r="C3117" s="860" t="s">
        <v>3515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1648</v>
      </c>
      <c r="I3117" s="1257" t="s">
        <v>2337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 x14ac:dyDescent="0.25">
      <c r="B3118" s="936" t="s">
        <v>3714</v>
      </c>
      <c r="C3118" s="860" t="s">
        <v>3515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3234</v>
      </c>
      <c r="I3118" s="1257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 x14ac:dyDescent="0.25">
      <c r="B3119" s="936" t="s">
        <v>3714</v>
      </c>
      <c r="C3119" s="871" t="s">
        <v>3514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3216</v>
      </c>
      <c r="I3119" s="1252" t="s">
        <v>3217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 x14ac:dyDescent="0.25">
      <c r="B3120" s="936" t="s">
        <v>3713</v>
      </c>
      <c r="C3120" s="860" t="s">
        <v>3515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3293</v>
      </c>
      <c r="I3120" s="1255" t="s">
        <v>4308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 x14ac:dyDescent="0.25">
      <c r="B3121" s="936" t="s">
        <v>3713</v>
      </c>
      <c r="C3121" s="871" t="s">
        <v>3514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3216</v>
      </c>
      <c r="I3121" s="1252" t="s">
        <v>1540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 x14ac:dyDescent="0.25">
      <c r="B3122" s="936" t="s">
        <v>3712</v>
      </c>
      <c r="C3122" s="860" t="s">
        <v>3515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3538</v>
      </c>
      <c r="I3122" s="1257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 x14ac:dyDescent="0.25">
      <c r="B3123" s="936" t="s">
        <v>3711</v>
      </c>
      <c r="C3123" s="860" t="s">
        <v>3515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3538</v>
      </c>
      <c r="I3123" s="1257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 x14ac:dyDescent="0.25">
      <c r="B3124" s="936" t="s">
        <v>3710</v>
      </c>
      <c r="C3124" s="860" t="s">
        <v>3515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3297</v>
      </c>
      <c r="I3124" s="1257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 x14ac:dyDescent="0.25">
      <c r="B3125" s="936" t="s">
        <v>3709</v>
      </c>
      <c r="C3125" s="860" t="s">
        <v>3515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3538</v>
      </c>
      <c r="I3125" s="1257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 x14ac:dyDescent="0.25">
      <c r="B3126" s="936" t="s">
        <v>3708</v>
      </c>
      <c r="C3126" s="860" t="s">
        <v>3515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1648</v>
      </c>
      <c r="I3126" s="1257" t="s">
        <v>1739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 x14ac:dyDescent="0.25">
      <c r="B3127" s="936" t="s">
        <v>3707</v>
      </c>
      <c r="C3127" s="860" t="s">
        <v>3515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3296</v>
      </c>
      <c r="I3127" s="1257" t="s">
        <v>3350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 x14ac:dyDescent="0.25">
      <c r="B3128" s="936" t="s">
        <v>3717</v>
      </c>
      <c r="C3128" s="871" t="s">
        <v>3514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3216</v>
      </c>
      <c r="I3128" s="1252" t="s">
        <v>3217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 x14ac:dyDescent="0.25">
      <c r="B3129" s="936" t="s">
        <v>3706</v>
      </c>
      <c r="C3129" s="860" t="s">
        <v>3515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3293</v>
      </c>
      <c r="I3129" s="1255" t="s">
        <v>4307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 x14ac:dyDescent="0.25">
      <c r="B3130" s="936" t="s">
        <v>3706</v>
      </c>
      <c r="C3130" s="871" t="s">
        <v>3514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3216</v>
      </c>
      <c r="I3130" s="1252" t="s">
        <v>1540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 x14ac:dyDescent="0.25">
      <c r="B3131" s="936" t="s">
        <v>3705</v>
      </c>
      <c r="C3131" s="860" t="s">
        <v>3515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1648</v>
      </c>
      <c r="I3131" s="1257" t="s">
        <v>1543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 x14ac:dyDescent="0.25">
      <c r="B3132" s="936" t="s">
        <v>3704</v>
      </c>
      <c r="C3132" s="860" t="s">
        <v>3515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1648</v>
      </c>
      <c r="I3132" s="1257" t="s">
        <v>2854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 x14ac:dyDescent="0.25">
      <c r="B3133" s="936" t="s">
        <v>3703</v>
      </c>
      <c r="C3133" s="860" t="s">
        <v>3515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3234</v>
      </c>
      <c r="I3133" s="1257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 x14ac:dyDescent="0.25">
      <c r="B3134" s="936" t="s">
        <v>3702</v>
      </c>
      <c r="C3134" s="860" t="s">
        <v>3515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3296</v>
      </c>
      <c r="I3134" s="1257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 x14ac:dyDescent="0.25">
      <c r="B3135" s="936" t="s">
        <v>3720</v>
      </c>
      <c r="C3135" s="871" t="s">
        <v>3514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3216</v>
      </c>
      <c r="I3135" s="1252" t="s">
        <v>3217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 x14ac:dyDescent="0.25">
      <c r="B3136" s="936" t="s">
        <v>3701</v>
      </c>
      <c r="C3136" s="860" t="s">
        <v>3515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3293</v>
      </c>
      <c r="I3136" s="1257" t="s">
        <v>3525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 x14ac:dyDescent="0.25">
      <c r="B3137" s="936" t="s">
        <v>3701</v>
      </c>
      <c r="C3137" s="871" t="s">
        <v>3514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3216</v>
      </c>
      <c r="I3137" s="1252" t="s">
        <v>1540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 x14ac:dyDescent="0.25">
      <c r="B3138" s="936" t="s">
        <v>3700</v>
      </c>
      <c r="C3138" s="860" t="s">
        <v>3515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3234</v>
      </c>
      <c r="I3138" s="1257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 x14ac:dyDescent="0.25">
      <c r="B3139" s="936" t="s">
        <v>3719</v>
      </c>
      <c r="C3139" s="871" t="s">
        <v>3514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3216</v>
      </c>
      <c r="I3139" s="1252" t="s">
        <v>3217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 x14ac:dyDescent="0.25">
      <c r="B3140" s="936" t="s">
        <v>3699</v>
      </c>
      <c r="C3140" s="860" t="s">
        <v>3515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3293</v>
      </c>
      <c r="I3140" s="1255" t="s">
        <v>4308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 x14ac:dyDescent="0.25">
      <c r="B3141" s="936" t="s">
        <v>3699</v>
      </c>
      <c r="C3141" s="871" t="s">
        <v>3514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3216</v>
      </c>
      <c r="I3141" s="1252" t="s">
        <v>1540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 x14ac:dyDescent="0.25">
      <c r="B3142" s="936" t="s">
        <v>3698</v>
      </c>
      <c r="C3142" s="860" t="s">
        <v>3515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1648</v>
      </c>
      <c r="I3142" s="1257" t="s">
        <v>2277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 x14ac:dyDescent="0.25">
      <c r="B3143" s="936" t="s">
        <v>3697</v>
      </c>
      <c r="C3143" s="860" t="s">
        <v>3515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1648</v>
      </c>
      <c r="I3143" s="1257" t="s">
        <v>1543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 x14ac:dyDescent="0.25">
      <c r="B3144" s="936" t="s">
        <v>3696</v>
      </c>
      <c r="C3144" s="860" t="s">
        <v>3515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1648</v>
      </c>
      <c r="I3144" s="1257" t="s">
        <v>1543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 x14ac:dyDescent="0.25">
      <c r="B3145" s="936" t="s">
        <v>3694</v>
      </c>
      <c r="C3145" s="936" t="s">
        <v>3513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57" t="s">
        <v>3353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3294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 x14ac:dyDescent="0.25">
      <c r="B3146" s="936" t="s">
        <v>3695</v>
      </c>
      <c r="C3146" s="936" t="s">
        <v>3513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3617</v>
      </c>
      <c r="I3146" s="1257" t="s">
        <v>3353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 x14ac:dyDescent="0.25">
      <c r="B3147" s="936" t="s">
        <v>3695</v>
      </c>
      <c r="C3147" s="871" t="s">
        <v>3514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3216</v>
      </c>
      <c r="I3147" s="1252" t="s">
        <v>3217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 x14ac:dyDescent="0.25">
      <c r="B3148" s="936" t="s">
        <v>3695</v>
      </c>
      <c r="C3148" s="860" t="s">
        <v>3515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3297</v>
      </c>
      <c r="I3148" s="1257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 x14ac:dyDescent="0.25">
      <c r="B3149" s="936" t="s">
        <v>3694</v>
      </c>
      <c r="C3149" s="871" t="s">
        <v>3514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3216</v>
      </c>
      <c r="I3149" s="1252" t="s">
        <v>1540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 x14ac:dyDescent="0.25">
      <c r="B3150" s="936" t="s">
        <v>3694</v>
      </c>
      <c r="C3150" s="860" t="s">
        <v>3515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3293</v>
      </c>
      <c r="I3150" s="1255" t="s">
        <v>4307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 x14ac:dyDescent="0.25">
      <c r="B3151" s="946" t="s">
        <v>3735</v>
      </c>
      <c r="C3151" s="871" t="s">
        <v>3514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3216</v>
      </c>
      <c r="I3151" s="1252" t="s">
        <v>3217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 x14ac:dyDescent="0.25">
      <c r="B3152" s="946" t="s">
        <v>3735</v>
      </c>
      <c r="C3152" s="860" t="s">
        <v>3515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3297</v>
      </c>
      <c r="I3152" s="1275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 x14ac:dyDescent="0.25">
      <c r="B3153" s="946" t="s">
        <v>3744</v>
      </c>
      <c r="C3153" s="860" t="s">
        <v>3515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4" t="s">
        <v>3370</v>
      </c>
      <c r="I3153" s="1275" t="s">
        <v>3746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16" t="s">
        <v>3294</v>
      </c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 x14ac:dyDescent="0.25">
      <c r="B3154" s="946" t="s">
        <v>3734</v>
      </c>
      <c r="C3154" s="871" t="s">
        <v>3514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3216</v>
      </c>
      <c r="I3154" s="1252" t="s">
        <v>1540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 x14ac:dyDescent="0.25">
      <c r="B3155" s="946" t="s">
        <v>3734</v>
      </c>
      <c r="C3155" s="860" t="s">
        <v>3515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3293</v>
      </c>
      <c r="I3155" s="1275" t="s">
        <v>3525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 x14ac:dyDescent="0.25">
      <c r="B3156" s="946" t="s">
        <v>3733</v>
      </c>
      <c r="C3156" s="871" t="s">
        <v>3514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3216</v>
      </c>
      <c r="I3156" s="1252" t="s">
        <v>3217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 x14ac:dyDescent="0.25">
      <c r="B3157" s="946" t="s">
        <v>3732</v>
      </c>
      <c r="C3157" s="871" t="s">
        <v>3514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3216</v>
      </c>
      <c r="I3157" s="1252" t="s">
        <v>1540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 x14ac:dyDescent="0.25">
      <c r="B3158" s="946" t="s">
        <v>3732</v>
      </c>
      <c r="C3158" s="860" t="s">
        <v>3515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3293</v>
      </c>
      <c r="I3158" s="1275" t="s">
        <v>3525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 x14ac:dyDescent="0.25">
      <c r="B3159" s="946" t="s">
        <v>3731</v>
      </c>
      <c r="C3159" s="871" t="s">
        <v>3514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3216</v>
      </c>
      <c r="I3159" s="1252" t="s">
        <v>3217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 x14ac:dyDescent="0.25">
      <c r="B3160" s="946" t="s">
        <v>3730</v>
      </c>
      <c r="C3160" s="871" t="s">
        <v>3514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3216</v>
      </c>
      <c r="I3160" s="1252" t="s">
        <v>1540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 x14ac:dyDescent="0.25">
      <c r="B3161" s="946" t="s">
        <v>3730</v>
      </c>
      <c r="C3161" s="860" t="s">
        <v>3515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3293</v>
      </c>
      <c r="I3161" s="1255" t="s">
        <v>4308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 x14ac:dyDescent="0.25">
      <c r="B3162" s="946" t="s">
        <v>3743</v>
      </c>
      <c r="C3162" s="860" t="s">
        <v>3515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1648</v>
      </c>
      <c r="I3162" s="1275" t="s">
        <v>1543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 x14ac:dyDescent="0.25">
      <c r="B3163" s="946" t="s">
        <v>3742</v>
      </c>
      <c r="C3163" s="860" t="s">
        <v>3515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1648</v>
      </c>
      <c r="I3163" s="1275" t="s">
        <v>2337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 x14ac:dyDescent="0.25">
      <c r="B3164" s="946" t="s">
        <v>3741</v>
      </c>
      <c r="C3164" s="860" t="s">
        <v>3515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1648</v>
      </c>
      <c r="I3164" s="1275" t="s">
        <v>1739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 x14ac:dyDescent="0.25">
      <c r="B3165" s="946" t="s">
        <v>3740</v>
      </c>
      <c r="C3165" s="860" t="s">
        <v>3515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275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 x14ac:dyDescent="0.25">
      <c r="B3166" s="946" t="s">
        <v>3739</v>
      </c>
      <c r="C3166" s="860" t="s">
        <v>3515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3234</v>
      </c>
      <c r="I3166" s="1275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 x14ac:dyDescent="0.25">
      <c r="B3167" s="946" t="s">
        <v>3738</v>
      </c>
      <c r="C3167" s="860" t="s">
        <v>3515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275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 x14ac:dyDescent="0.25">
      <c r="B3168" s="946" t="s">
        <v>3727</v>
      </c>
      <c r="C3168" s="860" t="s">
        <v>3515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1648</v>
      </c>
      <c r="I3168" s="1275" t="s">
        <v>1543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 x14ac:dyDescent="0.25">
      <c r="B3169" s="946" t="s">
        <v>3726</v>
      </c>
      <c r="C3169" s="871" t="s">
        <v>3514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3216</v>
      </c>
      <c r="I3169" s="1252" t="s">
        <v>3217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 x14ac:dyDescent="0.25">
      <c r="B3170" s="946" t="s">
        <v>3726</v>
      </c>
      <c r="C3170" s="860" t="s">
        <v>3515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3617</v>
      </c>
      <c r="I3170" s="1275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 x14ac:dyDescent="0.25">
      <c r="B3171" s="946" t="s">
        <v>3725</v>
      </c>
      <c r="C3171" s="871" t="s">
        <v>3514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3216</v>
      </c>
      <c r="I3171" s="1252" t="s">
        <v>1540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 x14ac:dyDescent="0.25">
      <c r="B3172" s="946" t="s">
        <v>3725</v>
      </c>
      <c r="C3172" s="860" t="s">
        <v>3515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3293</v>
      </c>
      <c r="I3172" s="1275" t="s">
        <v>3526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 x14ac:dyDescent="0.25">
      <c r="B3173" s="946" t="s">
        <v>3737</v>
      </c>
      <c r="C3173" s="860" t="s">
        <v>3515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1648</v>
      </c>
      <c r="I3173" s="1275" t="s">
        <v>1739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 x14ac:dyDescent="0.25">
      <c r="B3174" s="946" t="s">
        <v>3736</v>
      </c>
      <c r="C3174" s="860" t="s">
        <v>3515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3296</v>
      </c>
      <c r="I3174" s="1275" t="s">
        <v>3350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 x14ac:dyDescent="0.25">
      <c r="B3175" s="956" t="s">
        <v>3754</v>
      </c>
      <c r="C3175" s="860" t="s">
        <v>3515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1648</v>
      </c>
      <c r="I3175" s="1276" t="s">
        <v>1543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 x14ac:dyDescent="0.25">
      <c r="B3176" s="956" t="s">
        <v>3755</v>
      </c>
      <c r="C3176" s="871" t="s">
        <v>3514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3216</v>
      </c>
      <c r="I3176" s="1252" t="s">
        <v>3217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 x14ac:dyDescent="0.25">
      <c r="B3177" s="956" t="s">
        <v>3753</v>
      </c>
      <c r="C3177" s="860" t="s">
        <v>3515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3293</v>
      </c>
      <c r="I3177" s="1276" t="s">
        <v>3756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 x14ac:dyDescent="0.25">
      <c r="B3178" s="956" t="s">
        <v>3753</v>
      </c>
      <c r="C3178" s="871" t="s">
        <v>3514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3216</v>
      </c>
      <c r="I3178" s="1252" t="s">
        <v>1540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 x14ac:dyDescent="0.25">
      <c r="B3179" s="956" t="s">
        <v>3752</v>
      </c>
      <c r="C3179" s="860" t="s">
        <v>3515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3296</v>
      </c>
      <c r="I3179" s="1276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 x14ac:dyDescent="0.25">
      <c r="B3180" s="956" t="s">
        <v>3751</v>
      </c>
      <c r="C3180" s="860" t="s">
        <v>3515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3297</v>
      </c>
      <c r="I3180" s="1276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 x14ac:dyDescent="0.25">
      <c r="B3181" s="956" t="s">
        <v>3751</v>
      </c>
      <c r="C3181" s="871" t="s">
        <v>3514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3617</v>
      </c>
      <c r="I3181" s="1276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 x14ac:dyDescent="0.25">
      <c r="B3182" s="956" t="s">
        <v>3750</v>
      </c>
      <c r="C3182" s="860" t="s">
        <v>3515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1648</v>
      </c>
      <c r="I3182" s="1276" t="s">
        <v>2277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 x14ac:dyDescent="0.25">
      <c r="B3183" s="961" t="s">
        <v>3760</v>
      </c>
      <c r="C3183" s="860" t="s">
        <v>3515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1648</v>
      </c>
      <c r="I3183" s="1277" t="s">
        <v>1543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 x14ac:dyDescent="0.25">
      <c r="B3184" s="961" t="s">
        <v>3765</v>
      </c>
      <c r="C3184" s="961" t="s">
        <v>3514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3216</v>
      </c>
      <c r="I3184" s="1252" t="s">
        <v>3217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 x14ac:dyDescent="0.25">
      <c r="B3185" s="961" t="s">
        <v>3759</v>
      </c>
      <c r="C3185" s="860" t="s">
        <v>3515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3293</v>
      </c>
      <c r="I3185" s="1277" t="s">
        <v>3525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 x14ac:dyDescent="0.25">
      <c r="B3186" s="961" t="s">
        <v>3759</v>
      </c>
      <c r="C3186" s="961" t="s">
        <v>3514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3216</v>
      </c>
      <c r="I3186" s="1252" t="s">
        <v>1540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 x14ac:dyDescent="0.25">
      <c r="B3187" s="961" t="s">
        <v>3761</v>
      </c>
      <c r="C3187" s="961" t="s">
        <v>3513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3771</v>
      </c>
      <c r="I3187" s="1277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 x14ac:dyDescent="0.25">
      <c r="B3188" s="961" t="s">
        <v>3761</v>
      </c>
      <c r="C3188" s="961" t="s">
        <v>3514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3216</v>
      </c>
      <c r="I3188" s="1252" t="s">
        <v>3217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 x14ac:dyDescent="0.25">
      <c r="B3189" s="961" t="s">
        <v>3758</v>
      </c>
      <c r="C3189" s="860" t="s">
        <v>3515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3293</v>
      </c>
      <c r="I3189" s="1277" t="s">
        <v>3525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 x14ac:dyDescent="0.25">
      <c r="B3190" s="961" t="s">
        <v>3758</v>
      </c>
      <c r="C3190" s="961" t="s">
        <v>3514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3216</v>
      </c>
      <c r="I3190" s="1252" t="s">
        <v>1540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 x14ac:dyDescent="0.25">
      <c r="B3191" s="961" t="s">
        <v>3757</v>
      </c>
      <c r="C3191" s="860" t="s">
        <v>3515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3771</v>
      </c>
      <c r="I3191" s="1277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 x14ac:dyDescent="0.25">
      <c r="B3192" s="976" t="s">
        <v>3782</v>
      </c>
      <c r="C3192" s="860" t="s">
        <v>3515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1648</v>
      </c>
      <c r="I3192" s="1265" t="s">
        <v>2277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 x14ac:dyDescent="0.25">
      <c r="B3193" s="976" t="s">
        <v>3779</v>
      </c>
      <c r="C3193" s="976" t="s">
        <v>3514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3216</v>
      </c>
      <c r="I3193" s="1252" t="s">
        <v>3217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 x14ac:dyDescent="0.25">
      <c r="B3194" s="976" t="s">
        <v>3778</v>
      </c>
      <c r="C3194" s="976" t="s">
        <v>3514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3216</v>
      </c>
      <c r="I3194" s="1252" t="s">
        <v>1540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 x14ac:dyDescent="0.25">
      <c r="B3195" s="976" t="s">
        <v>3778</v>
      </c>
      <c r="C3195" s="860" t="s">
        <v>3515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3293</v>
      </c>
      <c r="I3195" s="1265" t="s">
        <v>3525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 x14ac:dyDescent="0.25">
      <c r="B3196" s="976" t="s">
        <v>3777</v>
      </c>
      <c r="C3196" s="976" t="s">
        <v>3514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3771</v>
      </c>
      <c r="I3196" s="1277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 x14ac:dyDescent="0.25">
      <c r="B3197" s="976" t="s">
        <v>3593</v>
      </c>
      <c r="C3197" s="860" t="s">
        <v>3515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3371</v>
      </c>
      <c r="I3197" s="1265" t="s">
        <v>3784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 x14ac:dyDescent="0.25">
      <c r="B3198" s="976" t="s">
        <v>3781</v>
      </c>
      <c r="C3198" s="860" t="s">
        <v>3515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1648</v>
      </c>
      <c r="I3198" s="1265" t="s">
        <v>1739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 x14ac:dyDescent="0.25">
      <c r="B3199" s="976" t="s">
        <v>3780</v>
      </c>
      <c r="C3199" s="860" t="s">
        <v>3515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3771</v>
      </c>
      <c r="I3199" s="1277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 x14ac:dyDescent="0.25">
      <c r="B3200" s="976" t="s">
        <v>3772</v>
      </c>
      <c r="C3200" s="976" t="s">
        <v>3513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3771</v>
      </c>
      <c r="I3200" s="1277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 x14ac:dyDescent="0.25">
      <c r="B3201" s="976" t="s">
        <v>3772</v>
      </c>
      <c r="C3201" s="976" t="s">
        <v>3514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3216</v>
      </c>
      <c r="I3201" s="1252" t="s">
        <v>3217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 x14ac:dyDescent="0.25">
      <c r="B3202" s="976" t="s">
        <v>3773</v>
      </c>
      <c r="C3202" s="976" t="s">
        <v>3514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3216</v>
      </c>
      <c r="I3202" s="1252" t="s">
        <v>1540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 x14ac:dyDescent="0.25">
      <c r="B3203" s="976" t="s">
        <v>3773</v>
      </c>
      <c r="C3203" s="860" t="s">
        <v>3515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3293</v>
      </c>
      <c r="I3203" s="1265" t="s">
        <v>3525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 x14ac:dyDescent="0.25">
      <c r="B3204" s="981" t="s">
        <v>3797</v>
      </c>
      <c r="C3204" s="860" t="s">
        <v>3515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1648</v>
      </c>
      <c r="I3204" s="1278" t="s">
        <v>1756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 x14ac:dyDescent="0.25">
      <c r="B3205" s="981" t="s">
        <v>3796</v>
      </c>
      <c r="C3205" s="860" t="s">
        <v>3515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1648</v>
      </c>
      <c r="I3205" s="1278" t="s">
        <v>1756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 x14ac:dyDescent="0.25">
      <c r="B3206" s="981" t="s">
        <v>3799</v>
      </c>
      <c r="C3206" s="976" t="s">
        <v>3514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3216</v>
      </c>
      <c r="I3206" s="1252" t="s">
        <v>3217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 x14ac:dyDescent="0.25">
      <c r="B3207" s="981" t="s">
        <v>3795</v>
      </c>
      <c r="C3207" s="860" t="s">
        <v>3515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3293</v>
      </c>
      <c r="I3207" s="1278" t="s">
        <v>3525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 x14ac:dyDescent="0.25">
      <c r="B3208" s="981" t="s">
        <v>3795</v>
      </c>
      <c r="C3208" s="976" t="s">
        <v>3514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3216</v>
      </c>
      <c r="I3208" s="1252" t="s">
        <v>1540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 x14ac:dyDescent="0.25">
      <c r="B3209" s="981" t="s">
        <v>3794</v>
      </c>
      <c r="C3209" s="860" t="s">
        <v>3515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3296</v>
      </c>
      <c r="I3209" s="1278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 x14ac:dyDescent="0.25">
      <c r="B3210" s="981" t="s">
        <v>3793</v>
      </c>
      <c r="C3210" s="860" t="s">
        <v>3515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1648</v>
      </c>
      <c r="I3210" s="1278" t="s">
        <v>1756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 x14ac:dyDescent="0.25">
      <c r="B3211" s="981" t="s">
        <v>3798</v>
      </c>
      <c r="C3211" s="976" t="s">
        <v>3514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3216</v>
      </c>
      <c r="I3211" s="1252" t="s">
        <v>3217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 x14ac:dyDescent="0.25">
      <c r="B3212" s="981" t="s">
        <v>3792</v>
      </c>
      <c r="C3212" s="860" t="s">
        <v>3515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3293</v>
      </c>
      <c r="I3212" s="1278" t="s">
        <v>3525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 x14ac:dyDescent="0.25">
      <c r="B3213" s="981" t="s">
        <v>3792</v>
      </c>
      <c r="C3213" s="976" t="s">
        <v>3514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3216</v>
      </c>
      <c r="I3213" s="1252" t="s">
        <v>1540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 x14ac:dyDescent="0.25">
      <c r="B3214" s="981" t="s">
        <v>3791</v>
      </c>
      <c r="C3214" s="860" t="s">
        <v>3515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1648</v>
      </c>
      <c r="I3214" s="1278" t="s">
        <v>2854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 x14ac:dyDescent="0.25">
      <c r="B3215" s="981" t="s">
        <v>3790</v>
      </c>
      <c r="C3215" s="860" t="s">
        <v>3515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1648</v>
      </c>
      <c r="I3215" s="1278" t="s">
        <v>2337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 x14ac:dyDescent="0.25">
      <c r="B3216" s="981" t="s">
        <v>3789</v>
      </c>
      <c r="C3216" s="860" t="s">
        <v>3515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1648</v>
      </c>
      <c r="I3216" s="1278" t="s">
        <v>2854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 x14ac:dyDescent="0.25">
      <c r="B3217" s="981" t="s">
        <v>3788</v>
      </c>
      <c r="C3217" s="860" t="s">
        <v>3515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1648</v>
      </c>
      <c r="I3217" s="1278" t="s">
        <v>1739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 x14ac:dyDescent="0.25">
      <c r="B3218" s="981" t="s">
        <v>3787</v>
      </c>
      <c r="C3218" s="860" t="s">
        <v>3515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1648</v>
      </c>
      <c r="I3218" s="1278" t="s">
        <v>2337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 x14ac:dyDescent="0.25">
      <c r="B3219" s="981" t="s">
        <v>3786</v>
      </c>
      <c r="C3219" s="860" t="s">
        <v>3515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1648</v>
      </c>
      <c r="I3219" s="1278" t="s">
        <v>1543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 x14ac:dyDescent="0.25">
      <c r="B3220" s="981" t="s">
        <v>3785</v>
      </c>
      <c r="C3220" s="860" t="s">
        <v>3515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3538</v>
      </c>
      <c r="I3220" s="1278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 x14ac:dyDescent="0.25">
      <c r="B3221" s="986" t="s">
        <v>3818</v>
      </c>
      <c r="C3221" s="860" t="s">
        <v>3515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1648</v>
      </c>
      <c r="I3221" s="1279" t="s">
        <v>1543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 x14ac:dyDescent="0.25">
      <c r="B3222" s="986" t="s">
        <v>3817</v>
      </c>
      <c r="C3222" s="860" t="s">
        <v>3515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3234</v>
      </c>
      <c r="I3222" s="1279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 x14ac:dyDescent="0.25">
      <c r="B3223" s="986" t="s">
        <v>3815</v>
      </c>
      <c r="C3223" s="860" t="s">
        <v>3515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1648</v>
      </c>
      <c r="I3223" s="1279" t="s">
        <v>2854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 x14ac:dyDescent="0.25">
      <c r="B3224" s="986" t="s">
        <v>3816</v>
      </c>
      <c r="C3224" s="860" t="s">
        <v>3515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1648</v>
      </c>
      <c r="I3224" s="1279" t="s">
        <v>1543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 x14ac:dyDescent="0.25">
      <c r="B3225" s="986" t="s">
        <v>3814</v>
      </c>
      <c r="C3225" s="860" t="s">
        <v>3515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3296</v>
      </c>
      <c r="I3225" s="1279" t="s">
        <v>3350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 x14ac:dyDescent="0.25">
      <c r="B3226" s="986" t="s">
        <v>3820</v>
      </c>
      <c r="C3226" s="986" t="s">
        <v>3514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3216</v>
      </c>
      <c r="I3226" s="1252" t="s">
        <v>3217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 x14ac:dyDescent="0.25">
      <c r="B3227" s="986" t="s">
        <v>3813</v>
      </c>
      <c r="C3227" s="860" t="s">
        <v>3515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3293</v>
      </c>
      <c r="I3227" s="1279" t="s">
        <v>3525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 x14ac:dyDescent="0.25">
      <c r="B3228" s="986" t="s">
        <v>3813</v>
      </c>
      <c r="C3228" s="986" t="s">
        <v>3514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3216</v>
      </c>
      <c r="I3228" s="1252" t="s">
        <v>1540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 x14ac:dyDescent="0.25">
      <c r="B3229" s="986" t="s">
        <v>3812</v>
      </c>
      <c r="C3229" s="860" t="s">
        <v>3515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3538</v>
      </c>
      <c r="I3229" s="1279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 x14ac:dyDescent="0.25">
      <c r="B3230" s="986" t="s">
        <v>3811</v>
      </c>
      <c r="C3230" s="860" t="s">
        <v>3515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4" t="s">
        <v>3370</v>
      </c>
      <c r="I3230" s="1279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1347" t="s">
        <v>2011</v>
      </c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 x14ac:dyDescent="0.25">
      <c r="B3231" s="986" t="s">
        <v>3810</v>
      </c>
      <c r="C3231" s="860" t="s">
        <v>3515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1648</v>
      </c>
      <c r="I3231" s="1279" t="s">
        <v>1543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 x14ac:dyDescent="0.25">
      <c r="B3232" s="986" t="s">
        <v>3809</v>
      </c>
      <c r="C3232" s="860" t="s">
        <v>3515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3296</v>
      </c>
      <c r="I3232" s="1279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 x14ac:dyDescent="0.25">
      <c r="B3233" s="986" t="s">
        <v>3808</v>
      </c>
      <c r="C3233" s="860" t="s">
        <v>3515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3822</v>
      </c>
      <c r="I3233" s="1279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 x14ac:dyDescent="0.25">
      <c r="B3234" s="986" t="s">
        <v>3807</v>
      </c>
      <c r="C3234" s="860" t="s">
        <v>3515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3234</v>
      </c>
      <c r="I3234" s="1279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 x14ac:dyDescent="0.25">
      <c r="B3235" s="986" t="s">
        <v>3807</v>
      </c>
      <c r="C3235" s="986" t="s">
        <v>3514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3822</v>
      </c>
      <c r="I3235" s="1279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 x14ac:dyDescent="0.25">
      <c r="B3236" s="986" t="s">
        <v>3819</v>
      </c>
      <c r="C3236" s="986" t="s">
        <v>3514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3216</v>
      </c>
      <c r="I3236" s="1252" t="s">
        <v>3217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 x14ac:dyDescent="0.25">
      <c r="B3237" s="986" t="s">
        <v>3806</v>
      </c>
      <c r="C3237" s="860" t="s">
        <v>3515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3293</v>
      </c>
      <c r="I3237" s="1255" t="s">
        <v>4308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 x14ac:dyDescent="0.25">
      <c r="B3238" s="986" t="s">
        <v>3806</v>
      </c>
      <c r="C3238" s="986" t="s">
        <v>3514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3216</v>
      </c>
      <c r="I3238" s="1252" t="s">
        <v>1540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 x14ac:dyDescent="0.25">
      <c r="B3239" s="986" t="s">
        <v>3805</v>
      </c>
      <c r="C3239" s="860" t="s">
        <v>3515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280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 x14ac:dyDescent="0.25">
      <c r="B3240" s="986" t="s">
        <v>3804</v>
      </c>
      <c r="C3240" s="986" t="s">
        <v>3514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3617</v>
      </c>
      <c r="I3240" s="1279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 x14ac:dyDescent="0.25">
      <c r="B3241" s="986" t="s">
        <v>3804</v>
      </c>
      <c r="C3241" s="860" t="s">
        <v>3515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3297</v>
      </c>
      <c r="I3241" s="1279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 x14ac:dyDescent="0.25">
      <c r="B3242" s="986" t="s">
        <v>3804</v>
      </c>
      <c r="C3242" s="860" t="s">
        <v>3515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3234</v>
      </c>
      <c r="I3242" s="1279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 x14ac:dyDescent="0.25">
      <c r="B3243" s="986" t="s">
        <v>3803</v>
      </c>
      <c r="C3243" s="860" t="s">
        <v>3515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3296</v>
      </c>
      <c r="I3243" s="1279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 x14ac:dyDescent="0.25">
      <c r="B3244" s="986" t="s">
        <v>3803</v>
      </c>
      <c r="C3244" s="986" t="s">
        <v>3514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3296</v>
      </c>
      <c r="I3244" s="1279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 x14ac:dyDescent="0.25">
      <c r="B3245" s="986" t="s">
        <v>3803</v>
      </c>
      <c r="C3245" s="860" t="s">
        <v>3515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1648</v>
      </c>
      <c r="I3245" s="1279" t="s">
        <v>3296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 x14ac:dyDescent="0.25">
      <c r="B3246" s="986" t="s">
        <v>3802</v>
      </c>
      <c r="C3246" s="860" t="s">
        <v>3515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3293</v>
      </c>
      <c r="I3246" s="1255" t="s">
        <v>4307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 x14ac:dyDescent="0.25">
      <c r="B3247" s="986" t="s">
        <v>3802</v>
      </c>
      <c r="C3247" s="986" t="s">
        <v>3513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3216</v>
      </c>
      <c r="I3247" s="1252" t="s">
        <v>1540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 x14ac:dyDescent="0.25">
      <c r="B3248" s="986" t="s">
        <v>3804</v>
      </c>
      <c r="C3248" s="986" t="s">
        <v>3513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3216</v>
      </c>
      <c r="I3248" s="1252" t="s">
        <v>3217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 x14ac:dyDescent="0.25">
      <c r="B3249" s="986" t="s">
        <v>3801</v>
      </c>
      <c r="C3249" s="860" t="s">
        <v>3515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3771</v>
      </c>
      <c r="I3249" s="1279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 x14ac:dyDescent="0.25">
      <c r="B3250" s="986" t="s">
        <v>3842</v>
      </c>
      <c r="C3250" s="860" t="s">
        <v>3515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1648</v>
      </c>
      <c r="I3250" s="1279" t="s">
        <v>1543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 x14ac:dyDescent="0.25">
      <c r="B3251" s="986" t="s">
        <v>3841</v>
      </c>
      <c r="C3251" s="860" t="s">
        <v>3515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1648</v>
      </c>
      <c r="I3251" s="1279" t="s">
        <v>2854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 x14ac:dyDescent="0.25">
      <c r="B3252" s="986" t="s">
        <v>3840</v>
      </c>
      <c r="C3252" s="860" t="s">
        <v>3515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3538</v>
      </c>
      <c r="I3252" s="1279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 x14ac:dyDescent="0.25">
      <c r="B3253" s="986" t="s">
        <v>3843</v>
      </c>
      <c r="C3253" s="986" t="s">
        <v>3514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3216</v>
      </c>
      <c r="I3253" s="1252" t="s">
        <v>3217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 x14ac:dyDescent="0.25">
      <c r="B3254" s="986" t="s">
        <v>3839</v>
      </c>
      <c r="C3254" s="860" t="s">
        <v>3515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3293</v>
      </c>
      <c r="I3254" s="1279" t="s">
        <v>3525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 x14ac:dyDescent="0.25">
      <c r="B3255" s="986" t="s">
        <v>3839</v>
      </c>
      <c r="C3255" s="986" t="s">
        <v>3514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3216</v>
      </c>
      <c r="I3255" s="1252" t="s">
        <v>1540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 x14ac:dyDescent="0.25">
      <c r="B3256" s="986" t="s">
        <v>3838</v>
      </c>
      <c r="C3256" s="860" t="s">
        <v>3515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3588</v>
      </c>
      <c r="I3256" s="1279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 x14ac:dyDescent="0.25">
      <c r="B3257" s="986" t="s">
        <v>3837</v>
      </c>
      <c r="C3257" s="860" t="s">
        <v>3515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3617</v>
      </c>
      <c r="I3257" s="1279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 x14ac:dyDescent="0.25">
      <c r="B3258" s="986" t="s">
        <v>3837</v>
      </c>
      <c r="C3258" s="986" t="s">
        <v>3514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3216</v>
      </c>
      <c r="I3258" s="1252" t="s">
        <v>3217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 x14ac:dyDescent="0.25">
      <c r="B3259" s="986" t="s">
        <v>3836</v>
      </c>
      <c r="C3259" s="860" t="s">
        <v>3515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279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1347" t="s">
        <v>4467</v>
      </c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 x14ac:dyDescent="0.25">
      <c r="B3260" s="986" t="s">
        <v>3836</v>
      </c>
      <c r="C3260" s="986" t="s">
        <v>3514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3216</v>
      </c>
      <c r="I3260" s="1252" t="s">
        <v>1540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 x14ac:dyDescent="0.25">
      <c r="B3261" s="986" t="s">
        <v>3836</v>
      </c>
      <c r="C3261" s="986" t="s">
        <v>3513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3293</v>
      </c>
      <c r="I3261" s="1255" t="s">
        <v>4308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 x14ac:dyDescent="0.25">
      <c r="B3262" s="986" t="s">
        <v>3835</v>
      </c>
      <c r="C3262" s="860" t="s">
        <v>3515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279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 x14ac:dyDescent="0.25">
      <c r="B3263" s="986" t="s">
        <v>3834</v>
      </c>
      <c r="C3263" s="860" t="s">
        <v>3515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1648</v>
      </c>
      <c r="I3263" s="1279" t="s">
        <v>1543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 x14ac:dyDescent="0.25">
      <c r="B3264" s="986" t="s">
        <v>3832</v>
      </c>
      <c r="C3264" s="986" t="s">
        <v>3513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3293</v>
      </c>
      <c r="I3264" s="1279" t="s">
        <v>3756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 x14ac:dyDescent="0.25">
      <c r="B3265" s="986" t="s">
        <v>3833</v>
      </c>
      <c r="C3265" s="860" t="s">
        <v>3515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3216</v>
      </c>
      <c r="I3265" s="1279" t="s">
        <v>3217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 x14ac:dyDescent="0.25">
      <c r="B3266" s="986" t="s">
        <v>3832</v>
      </c>
      <c r="C3266" s="860" t="s">
        <v>3515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3216</v>
      </c>
      <c r="I3266" s="1279" t="s">
        <v>1540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 x14ac:dyDescent="0.25">
      <c r="B3267" s="986" t="s">
        <v>3832</v>
      </c>
      <c r="C3267" s="986" t="s">
        <v>3514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4" t="s">
        <v>3370</v>
      </c>
      <c r="I3267" s="1279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1347" t="s">
        <v>2011</v>
      </c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 x14ac:dyDescent="0.25">
      <c r="B3268" s="986" t="s">
        <v>3831</v>
      </c>
      <c r="C3268" s="986" t="s">
        <v>3513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3822</v>
      </c>
      <c r="I3268" s="1279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 x14ac:dyDescent="0.25">
      <c r="B3269" s="986" t="s">
        <v>3831</v>
      </c>
      <c r="C3269" s="860" t="s">
        <v>3515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3216</v>
      </c>
      <c r="I3269" s="1279" t="s">
        <v>3217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 x14ac:dyDescent="0.25">
      <c r="B3270" s="986" t="s">
        <v>3831</v>
      </c>
      <c r="C3270" s="986" t="s">
        <v>3514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3617</v>
      </c>
      <c r="I3270" s="1279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 x14ac:dyDescent="0.25">
      <c r="B3271" s="986" t="s">
        <v>3830</v>
      </c>
      <c r="C3271" s="860" t="s">
        <v>3515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3216</v>
      </c>
      <c r="I3271" s="1279" t="s">
        <v>1540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 x14ac:dyDescent="0.25">
      <c r="B3272" s="986" t="s">
        <v>3830</v>
      </c>
      <c r="C3272" s="986" t="s">
        <v>3514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3293</v>
      </c>
      <c r="I3272" s="1255" t="s">
        <v>4307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 x14ac:dyDescent="0.25">
      <c r="B3273" s="986" t="s">
        <v>3829</v>
      </c>
      <c r="C3273" s="860" t="s">
        <v>3515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3296</v>
      </c>
      <c r="I3273" s="1279" t="s">
        <v>3350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 x14ac:dyDescent="0.25">
      <c r="B3274" s="986" t="s">
        <v>3828</v>
      </c>
      <c r="C3274" s="860" t="s">
        <v>3515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3216</v>
      </c>
      <c r="I3274" s="1279" t="s">
        <v>3217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 x14ac:dyDescent="0.25">
      <c r="B3275" s="986" t="s">
        <v>3828</v>
      </c>
      <c r="C3275" s="986" t="s">
        <v>3514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3822</v>
      </c>
      <c r="I3275" s="1279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 x14ac:dyDescent="0.25">
      <c r="B3276" s="986" t="s">
        <v>3827</v>
      </c>
      <c r="C3276" s="986" t="s">
        <v>3514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3293</v>
      </c>
      <c r="I3276" s="1255" t="s">
        <v>4308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 x14ac:dyDescent="0.25">
      <c r="B3277" s="986" t="s">
        <v>3827</v>
      </c>
      <c r="C3277" s="860" t="s">
        <v>3515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3216</v>
      </c>
      <c r="I3277" s="1279" t="s">
        <v>1540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 x14ac:dyDescent="0.25">
      <c r="B3278" s="986" t="s">
        <v>3826</v>
      </c>
      <c r="C3278" s="986" t="s">
        <v>3513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3771</v>
      </c>
      <c r="I3278" s="1279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 x14ac:dyDescent="0.25">
      <c r="B3279" s="986" t="s">
        <v>3826</v>
      </c>
      <c r="C3279" s="860" t="s">
        <v>3515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3216</v>
      </c>
      <c r="I3279" s="1279" t="s">
        <v>3217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 x14ac:dyDescent="0.25">
      <c r="B3280" s="986" t="s">
        <v>3825</v>
      </c>
      <c r="C3280" s="986" t="s">
        <v>3514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3293</v>
      </c>
      <c r="I3280" s="1255" t="s">
        <v>4308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 x14ac:dyDescent="0.25">
      <c r="B3281" s="986" t="s">
        <v>3825</v>
      </c>
      <c r="C3281" s="860" t="s">
        <v>3515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3216</v>
      </c>
      <c r="I3281" s="1279" t="s">
        <v>1540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 x14ac:dyDescent="0.25">
      <c r="B3282" s="986" t="s">
        <v>3824</v>
      </c>
      <c r="C3282" s="860" t="s">
        <v>3515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3297</v>
      </c>
      <c r="I3282" s="1279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 x14ac:dyDescent="0.25">
      <c r="B3283" s="986" t="s">
        <v>3823</v>
      </c>
      <c r="C3283" s="860" t="s">
        <v>3515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1648</v>
      </c>
      <c r="I3283" s="1279" t="s">
        <v>1543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 x14ac:dyDescent="0.25">
      <c r="B3284" s="991" t="s">
        <v>3864</v>
      </c>
      <c r="C3284" s="860" t="s">
        <v>3515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3216</v>
      </c>
      <c r="I3284" s="1279" t="s">
        <v>3217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 x14ac:dyDescent="0.25">
      <c r="B3285" s="991" t="s">
        <v>3852</v>
      </c>
      <c r="C3285" s="986" t="s">
        <v>3514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3293</v>
      </c>
      <c r="I3285" s="1281" t="s">
        <v>3525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 x14ac:dyDescent="0.25">
      <c r="B3286" s="991" t="s">
        <v>3852</v>
      </c>
      <c r="C3286" s="860" t="s">
        <v>3515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3216</v>
      </c>
      <c r="I3286" s="1279" t="s">
        <v>1540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 x14ac:dyDescent="0.25">
      <c r="B3287" s="991" t="s">
        <v>3863</v>
      </c>
      <c r="C3287" s="860" t="s">
        <v>3515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3216</v>
      </c>
      <c r="I3287" s="1279" t="s">
        <v>3217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 x14ac:dyDescent="0.25">
      <c r="B3288" s="991" t="s">
        <v>3851</v>
      </c>
      <c r="C3288" s="986" t="s">
        <v>3514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3293</v>
      </c>
      <c r="I3288" s="1281" t="s">
        <v>3525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 x14ac:dyDescent="0.25">
      <c r="B3289" s="991" t="s">
        <v>3851</v>
      </c>
      <c r="C3289" s="860" t="s">
        <v>3515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3216</v>
      </c>
      <c r="I3289" s="1279" t="s">
        <v>1540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 x14ac:dyDescent="0.25">
      <c r="B3290" s="991" t="s">
        <v>3862</v>
      </c>
      <c r="C3290" s="860" t="s">
        <v>3515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3216</v>
      </c>
      <c r="I3290" s="1279" t="s">
        <v>3217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 x14ac:dyDescent="0.25">
      <c r="B3291" s="991" t="s">
        <v>3861</v>
      </c>
      <c r="C3291" s="860" t="s">
        <v>3515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3216</v>
      </c>
      <c r="I3291" s="1279" t="s">
        <v>1540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 x14ac:dyDescent="0.25">
      <c r="B3292" s="991" t="s">
        <v>3860</v>
      </c>
      <c r="C3292" s="860" t="s">
        <v>3515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1648</v>
      </c>
      <c r="I3292" s="1281" t="s">
        <v>2919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 x14ac:dyDescent="0.25">
      <c r="B3293" s="991" t="s">
        <v>3859</v>
      </c>
      <c r="C3293" s="860" t="s">
        <v>3515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1648</v>
      </c>
      <c r="I3293" s="1281" t="s">
        <v>1543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 x14ac:dyDescent="0.25">
      <c r="B3294" s="991" t="s">
        <v>3858</v>
      </c>
      <c r="C3294" s="860" t="s">
        <v>3515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3538</v>
      </c>
      <c r="I3294" s="1281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 x14ac:dyDescent="0.25">
      <c r="B3295" s="991" t="s">
        <v>3846</v>
      </c>
      <c r="C3295" s="991" t="s">
        <v>3513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3293</v>
      </c>
      <c r="I3295" s="1279" t="s">
        <v>3756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 x14ac:dyDescent="0.25">
      <c r="B3296" s="991" t="s">
        <v>3850</v>
      </c>
      <c r="C3296" s="986" t="s">
        <v>3514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3216</v>
      </c>
      <c r="I3296" s="1252" t="s">
        <v>3217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 x14ac:dyDescent="0.25">
      <c r="B3297" s="991" t="s">
        <v>3846</v>
      </c>
      <c r="C3297" s="986" t="s">
        <v>3514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3216</v>
      </c>
      <c r="I3297" s="1252" t="s">
        <v>1540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 x14ac:dyDescent="0.25">
      <c r="B3298" s="991" t="s">
        <v>3846</v>
      </c>
      <c r="C3298" s="860" t="s">
        <v>3515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4" t="s">
        <v>3370</v>
      </c>
      <c r="I3298" s="1281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1347" t="s">
        <v>4467</v>
      </c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 x14ac:dyDescent="0.25">
      <c r="B3299" s="991" t="s">
        <v>3857</v>
      </c>
      <c r="C3299" s="860" t="s">
        <v>3515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3234</v>
      </c>
      <c r="I3299" s="1281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 x14ac:dyDescent="0.25">
      <c r="B3300" s="991" t="s">
        <v>3856</v>
      </c>
      <c r="C3300" s="860" t="s">
        <v>3515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282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 x14ac:dyDescent="0.25">
      <c r="B3301" s="991" t="s">
        <v>3856</v>
      </c>
      <c r="C3301" s="860" t="s">
        <v>3515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1648</v>
      </c>
      <c r="I3301" s="1281" t="s">
        <v>2919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 x14ac:dyDescent="0.25">
      <c r="B3302" s="991" t="s">
        <v>3855</v>
      </c>
      <c r="C3302" s="860" t="s">
        <v>3515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3297</v>
      </c>
      <c r="I3302" s="1281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 x14ac:dyDescent="0.25">
      <c r="B3303" s="991" t="s">
        <v>3854</v>
      </c>
      <c r="C3303" s="860" t="s">
        <v>3515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1648</v>
      </c>
      <c r="I3303" s="1281" t="s">
        <v>2277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 x14ac:dyDescent="0.25">
      <c r="B3304" s="991" t="s">
        <v>3845</v>
      </c>
      <c r="C3304" s="991" t="s">
        <v>3513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3293</v>
      </c>
      <c r="I3304" s="1255" t="s">
        <v>4307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 x14ac:dyDescent="0.25">
      <c r="B3305" s="991" t="s">
        <v>3845</v>
      </c>
      <c r="C3305" s="986" t="s">
        <v>3514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3216</v>
      </c>
      <c r="I3305" s="1252" t="s">
        <v>1540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 x14ac:dyDescent="0.25">
      <c r="B3306" s="991" t="s">
        <v>3845</v>
      </c>
      <c r="C3306" s="860" t="s">
        <v>3515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4" t="s">
        <v>3370</v>
      </c>
      <c r="I3306" s="1281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1347" t="s">
        <v>4468</v>
      </c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 x14ac:dyDescent="0.25">
      <c r="B3307" s="991" t="s">
        <v>3849</v>
      </c>
      <c r="C3307" s="986" t="s">
        <v>3514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3216</v>
      </c>
      <c r="I3307" s="1252" t="s">
        <v>3217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 x14ac:dyDescent="0.25">
      <c r="B3308" s="991" t="s">
        <v>3849</v>
      </c>
      <c r="C3308" s="860" t="s">
        <v>3515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3771</v>
      </c>
      <c r="I3308" s="1281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 x14ac:dyDescent="0.25">
      <c r="B3309" s="991" t="s">
        <v>3848</v>
      </c>
      <c r="C3309" s="986" t="s">
        <v>3514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3216</v>
      </c>
      <c r="I3309" s="1252" t="s">
        <v>3217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 x14ac:dyDescent="0.25">
      <c r="B3310" s="991" t="s">
        <v>3847</v>
      </c>
      <c r="C3310" s="986" t="s">
        <v>3514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3216</v>
      </c>
      <c r="I3310" s="1252" t="s">
        <v>1540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 x14ac:dyDescent="0.25">
      <c r="B3311" s="991" t="s">
        <v>3847</v>
      </c>
      <c r="C3311" s="860" t="s">
        <v>3515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3293</v>
      </c>
      <c r="I3311" s="1281" t="s">
        <v>3756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 x14ac:dyDescent="0.25">
      <c r="B3312" s="991" t="s">
        <v>3853</v>
      </c>
      <c r="C3312" s="860" t="s">
        <v>3515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1648</v>
      </c>
      <c r="I3312" s="1281" t="s">
        <v>1543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 x14ac:dyDescent="0.25">
      <c r="B3313" s="1007" t="s">
        <v>3894</v>
      </c>
      <c r="C3313" s="860" t="s">
        <v>3515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1648</v>
      </c>
      <c r="I3313" s="1281" t="s">
        <v>2277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 x14ac:dyDescent="0.25">
      <c r="B3314" s="1007" t="s">
        <v>3893</v>
      </c>
      <c r="C3314" s="860" t="s">
        <v>3515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3297</v>
      </c>
      <c r="I3314" s="1282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 x14ac:dyDescent="0.25">
      <c r="B3315" s="1007" t="s">
        <v>3893</v>
      </c>
      <c r="C3315" s="860" t="s">
        <v>3515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282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 x14ac:dyDescent="0.25">
      <c r="B3316" s="1007" t="s">
        <v>3892</v>
      </c>
      <c r="C3316" s="860" t="s">
        <v>3515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3538</v>
      </c>
      <c r="I3316" s="1282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 x14ac:dyDescent="0.25">
      <c r="B3317" s="1007" t="s">
        <v>3891</v>
      </c>
      <c r="C3317" s="860" t="s">
        <v>3515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1648</v>
      </c>
      <c r="I3317" s="1282" t="s">
        <v>1543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 x14ac:dyDescent="0.25">
      <c r="B3318" s="1007" t="s">
        <v>3890</v>
      </c>
      <c r="C3318" s="860" t="s">
        <v>3515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282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 x14ac:dyDescent="0.25">
      <c r="B3319" s="1007" t="s">
        <v>3889</v>
      </c>
      <c r="C3319" s="860" t="s">
        <v>3515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1648</v>
      </c>
      <c r="I3319" s="1282" t="s">
        <v>1543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 x14ac:dyDescent="0.25">
      <c r="B3320" s="1013" t="s">
        <v>3905</v>
      </c>
      <c r="C3320" s="860" t="s">
        <v>3515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3771</v>
      </c>
      <c r="I3320" s="1283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 x14ac:dyDescent="0.25">
      <c r="B3321" s="1013" t="s">
        <v>3904</v>
      </c>
      <c r="C3321" s="860" t="s">
        <v>3515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3296</v>
      </c>
      <c r="I3321" s="1283" t="s">
        <v>3350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 x14ac:dyDescent="0.25">
      <c r="B3322" s="1013" t="s">
        <v>3903</v>
      </c>
      <c r="C3322" s="860" t="s">
        <v>3515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1648</v>
      </c>
      <c r="I3322" s="1283" t="s">
        <v>1756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 x14ac:dyDescent="0.25">
      <c r="B3323" s="1013" t="s">
        <v>3902</v>
      </c>
      <c r="C3323" s="860" t="s">
        <v>3515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1648</v>
      </c>
      <c r="I3323" s="1283" t="s">
        <v>1543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 x14ac:dyDescent="0.25">
      <c r="B3324" s="1013" t="s">
        <v>3901</v>
      </c>
      <c r="C3324" s="860" t="s">
        <v>3515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1648</v>
      </c>
      <c r="I3324" s="1283" t="s">
        <v>1543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 x14ac:dyDescent="0.25">
      <c r="B3325" s="1013" t="s">
        <v>3900</v>
      </c>
      <c r="C3325" s="860" t="s">
        <v>3515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1648</v>
      </c>
      <c r="I3325" s="1283" t="s">
        <v>1543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 x14ac:dyDescent="0.25">
      <c r="B3326" s="1013" t="s">
        <v>3899</v>
      </c>
      <c r="C3326" s="860" t="s">
        <v>3515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1648</v>
      </c>
      <c r="I3326" s="1283" t="s">
        <v>2854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 x14ac:dyDescent="0.25">
      <c r="B3327" s="1013" t="s">
        <v>3898</v>
      </c>
      <c r="C3327" s="860" t="s">
        <v>3515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1648</v>
      </c>
      <c r="I3327" s="1283" t="s">
        <v>2277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 x14ac:dyDescent="0.25">
      <c r="B3328" s="1013" t="s">
        <v>3898</v>
      </c>
      <c r="C3328" s="860" t="s">
        <v>3515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3538</v>
      </c>
      <c r="I3328" s="1283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 x14ac:dyDescent="0.25">
      <c r="B3329" s="1013" t="s">
        <v>3897</v>
      </c>
      <c r="C3329" s="860" t="s">
        <v>3515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3296</v>
      </c>
      <c r="I3329" s="1283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 x14ac:dyDescent="0.25">
      <c r="B3330" s="1013" t="s">
        <v>3896</v>
      </c>
      <c r="C3330" s="860" t="s">
        <v>3515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3876</v>
      </c>
      <c r="I3330" s="1283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 x14ac:dyDescent="0.25">
      <c r="B3331" s="1013" t="s">
        <v>3906</v>
      </c>
      <c r="C3331" s="1013" t="s">
        <v>3514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3216</v>
      </c>
      <c r="I3331" s="1252" t="s">
        <v>3217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 x14ac:dyDescent="0.25">
      <c r="B3332" s="1013" t="s">
        <v>3895</v>
      </c>
      <c r="C3332" s="860" t="s">
        <v>3515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3293</v>
      </c>
      <c r="I3332" s="1283" t="s">
        <v>3525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 x14ac:dyDescent="0.25">
      <c r="B3333" s="1013" t="s">
        <v>3895</v>
      </c>
      <c r="C3333" s="1013" t="s">
        <v>3514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3216</v>
      </c>
      <c r="I3333" s="1252" t="s">
        <v>1540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 x14ac:dyDescent="0.25">
      <c r="B3334" s="1021" t="s">
        <v>3925</v>
      </c>
      <c r="C3334" s="860" t="s">
        <v>3515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3876</v>
      </c>
      <c r="I3334" s="1284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 x14ac:dyDescent="0.25">
      <c r="B3335" s="1021" t="s">
        <v>3924</v>
      </c>
      <c r="C3335" s="860" t="s">
        <v>3515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3822</v>
      </c>
      <c r="I3335" s="1284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 x14ac:dyDescent="0.25">
      <c r="B3336" s="1021" t="s">
        <v>3927</v>
      </c>
      <c r="C3336" s="1013" t="s">
        <v>3514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3216</v>
      </c>
      <c r="I3336" s="1252" t="s">
        <v>3217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 x14ac:dyDescent="0.25">
      <c r="B3337" s="1021" t="s">
        <v>3923</v>
      </c>
      <c r="C3337" s="1013" t="s">
        <v>3514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3216</v>
      </c>
      <c r="I3337" s="1252" t="s">
        <v>1540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 x14ac:dyDescent="0.25">
      <c r="B3338" s="1021" t="s">
        <v>3923</v>
      </c>
      <c r="C3338" s="860" t="s">
        <v>3515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3293</v>
      </c>
      <c r="I3338" s="1284" t="s">
        <v>3525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 x14ac:dyDescent="0.25">
      <c r="B3339" s="1021" t="s">
        <v>3922</v>
      </c>
      <c r="C3339" s="860" t="s">
        <v>3515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3234</v>
      </c>
      <c r="I3339" s="1284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 x14ac:dyDescent="0.25">
      <c r="B3340" s="1021" t="s">
        <v>3922</v>
      </c>
      <c r="C3340" s="1013" t="s">
        <v>3514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3216</v>
      </c>
      <c r="I3340" s="1252" t="s">
        <v>3217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 x14ac:dyDescent="0.25">
      <c r="B3341" s="1021" t="s">
        <v>3921</v>
      </c>
      <c r="C3341" s="860" t="s">
        <v>3515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3293</v>
      </c>
      <c r="I3341" s="1255" t="s">
        <v>4308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 x14ac:dyDescent="0.25">
      <c r="B3342" s="1021" t="s">
        <v>3921</v>
      </c>
      <c r="C3342" s="1013" t="s">
        <v>3514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3216</v>
      </c>
      <c r="I3342" s="1252" t="s">
        <v>1540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 x14ac:dyDescent="0.25">
      <c r="B3343" s="1021" t="s">
        <v>3920</v>
      </c>
      <c r="C3343" s="860" t="s">
        <v>3515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284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 x14ac:dyDescent="0.25">
      <c r="B3344" s="1021" t="s">
        <v>3919</v>
      </c>
      <c r="C3344" s="860" t="s">
        <v>3515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1648</v>
      </c>
      <c r="I3344" s="1284" t="s">
        <v>2854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 x14ac:dyDescent="0.25">
      <c r="B3345" s="1021" t="s">
        <v>3918</v>
      </c>
      <c r="C3345" s="860" t="s">
        <v>3515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284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 x14ac:dyDescent="0.25">
      <c r="B3346" s="1021" t="s">
        <v>3917</v>
      </c>
      <c r="C3346" s="860" t="s">
        <v>3515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284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 x14ac:dyDescent="0.25">
      <c r="B3347" s="1021" t="s">
        <v>3917</v>
      </c>
      <c r="C3347" s="1013" t="s">
        <v>3514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3876</v>
      </c>
      <c r="I3347" s="1284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 x14ac:dyDescent="0.25">
      <c r="B3348" s="1021" t="s">
        <v>3916</v>
      </c>
      <c r="C3348" s="860" t="s">
        <v>3515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4" t="s">
        <v>3370</v>
      </c>
      <c r="I3348" s="1284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347" t="s">
        <v>1360</v>
      </c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 x14ac:dyDescent="0.25">
      <c r="B3349" s="1021" t="s">
        <v>3915</v>
      </c>
      <c r="C3349" s="860" t="s">
        <v>3515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3876</v>
      </c>
      <c r="I3349" s="1284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 x14ac:dyDescent="0.25">
      <c r="B3350" s="1021" t="s">
        <v>3914</v>
      </c>
      <c r="C3350" s="860" t="s">
        <v>3515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3876</v>
      </c>
      <c r="I3350" s="1284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 x14ac:dyDescent="0.25">
      <c r="B3351" s="1021" t="s">
        <v>3913</v>
      </c>
      <c r="C3351" s="860" t="s">
        <v>3515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284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 x14ac:dyDescent="0.25">
      <c r="B3352" s="1021" t="s">
        <v>3926</v>
      </c>
      <c r="C3352" s="1013" t="s">
        <v>3514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3216</v>
      </c>
      <c r="I3352" s="1252" t="s">
        <v>3217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 x14ac:dyDescent="0.25">
      <c r="B3353" s="1021" t="s">
        <v>3912</v>
      </c>
      <c r="C3353" s="1013" t="s">
        <v>3514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3216</v>
      </c>
      <c r="I3353" s="1252" t="s">
        <v>1540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 x14ac:dyDescent="0.25">
      <c r="B3354" s="1021" t="s">
        <v>3912</v>
      </c>
      <c r="C3354" s="860" t="s">
        <v>3515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3293</v>
      </c>
      <c r="I3354" s="1255" t="s">
        <v>4308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 x14ac:dyDescent="0.25">
      <c r="B3355" s="1021" t="s">
        <v>3911</v>
      </c>
      <c r="C3355" s="860" t="s">
        <v>3515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3234</v>
      </c>
      <c r="I3355" s="1284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 x14ac:dyDescent="0.25">
      <c r="B3356" s="1021" t="s">
        <v>3910</v>
      </c>
      <c r="C3356" s="860" t="s">
        <v>3515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1648</v>
      </c>
      <c r="I3356" s="1284" t="s">
        <v>1739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 x14ac:dyDescent="0.25">
      <c r="B3357" s="1034" t="s">
        <v>3971</v>
      </c>
      <c r="C3357" s="860" t="s">
        <v>3515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3822</v>
      </c>
      <c r="I3357" s="1285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 x14ac:dyDescent="0.25">
      <c r="B3358" s="1034" t="s">
        <v>3970</v>
      </c>
      <c r="C3358" s="860" t="s">
        <v>3515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3234</v>
      </c>
      <c r="I3358" s="1285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 x14ac:dyDescent="0.25">
      <c r="B3359" s="1034" t="s">
        <v>3970</v>
      </c>
      <c r="C3359" s="1013" t="s">
        <v>3514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3822</v>
      </c>
      <c r="I3359" s="1285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 x14ac:dyDescent="0.25">
      <c r="B3360" s="1034" t="s">
        <v>3969</v>
      </c>
      <c r="C3360" s="860" t="s">
        <v>3515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3617</v>
      </c>
      <c r="I3360" s="1285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 x14ac:dyDescent="0.25">
      <c r="B3361" s="1034" t="s">
        <v>3969</v>
      </c>
      <c r="C3361" s="1013" t="s">
        <v>3514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3216</v>
      </c>
      <c r="I3361" s="1252" t="s">
        <v>3217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 x14ac:dyDescent="0.25">
      <c r="B3362" s="1034" t="s">
        <v>3968</v>
      </c>
      <c r="C3362" s="860" t="s">
        <v>3515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3293</v>
      </c>
      <c r="I3362" s="1285" t="s">
        <v>3525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 x14ac:dyDescent="0.25">
      <c r="B3363" s="1034" t="s">
        <v>3968</v>
      </c>
      <c r="C3363" s="1013" t="s">
        <v>3514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3216</v>
      </c>
      <c r="I3363" s="1252" t="s">
        <v>1540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 x14ac:dyDescent="0.25">
      <c r="B3364" s="1034" t="s">
        <v>3967</v>
      </c>
      <c r="C3364" s="860" t="s">
        <v>3515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1648</v>
      </c>
      <c r="I3364" s="1285" t="s">
        <v>2919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 x14ac:dyDescent="0.25">
      <c r="B3365" s="1034" t="s">
        <v>3966</v>
      </c>
      <c r="C3365" s="860" t="s">
        <v>3515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1648</v>
      </c>
      <c r="I3365" s="1285" t="s">
        <v>1739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 x14ac:dyDescent="0.25">
      <c r="B3366" s="1034" t="s">
        <v>3972</v>
      </c>
      <c r="C3366" s="1013" t="s">
        <v>3514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3216</v>
      </c>
      <c r="I3366" s="1252" t="s">
        <v>3217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 x14ac:dyDescent="0.25">
      <c r="B3367" s="1034" t="s">
        <v>3963</v>
      </c>
      <c r="C3367" s="1034" t="s">
        <v>3513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3172</v>
      </c>
      <c r="I3367" s="1285" t="s">
        <v>3174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 x14ac:dyDescent="0.25">
      <c r="B3368" s="1034" t="s">
        <v>3965</v>
      </c>
      <c r="C3368" s="860" t="s">
        <v>3515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3293</v>
      </c>
      <c r="I3368" s="1285" t="s">
        <v>3525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 x14ac:dyDescent="0.25">
      <c r="B3369" s="1034" t="s">
        <v>3965</v>
      </c>
      <c r="C3369" s="1013" t="s">
        <v>3514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3216</v>
      </c>
      <c r="I3369" s="1252" t="s">
        <v>1540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 x14ac:dyDescent="0.25">
      <c r="B3370" s="1034" t="s">
        <v>3964</v>
      </c>
      <c r="C3370" s="860" t="s">
        <v>3515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3771</v>
      </c>
      <c r="I3370" s="1285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 x14ac:dyDescent="0.25">
      <c r="B3371" s="1034" t="s">
        <v>3963</v>
      </c>
      <c r="C3371" s="1013" t="s">
        <v>3514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3216</v>
      </c>
      <c r="I3371" s="1252" t="s">
        <v>3217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 x14ac:dyDescent="0.25">
      <c r="B3372" s="1034" t="s">
        <v>3963</v>
      </c>
      <c r="C3372" s="860" t="s">
        <v>3515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3234</v>
      </c>
      <c r="I3372" s="1285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 x14ac:dyDescent="0.25">
      <c r="B3373" s="1034" t="s">
        <v>3962</v>
      </c>
      <c r="C3373" s="860" t="s">
        <v>3515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1648</v>
      </c>
      <c r="I3373" s="1285" t="s">
        <v>2854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 x14ac:dyDescent="0.25">
      <c r="B3374" s="1034" t="s">
        <v>3961</v>
      </c>
      <c r="C3374" s="860" t="s">
        <v>3515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3293</v>
      </c>
      <c r="I3374" s="1255" t="s">
        <v>4308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 x14ac:dyDescent="0.25">
      <c r="B3375" s="1034" t="s">
        <v>3961</v>
      </c>
      <c r="C3375" s="1013" t="s">
        <v>3514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3216</v>
      </c>
      <c r="I3375" s="1252" t="s">
        <v>1540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 x14ac:dyDescent="0.25">
      <c r="B3376" s="1034" t="s">
        <v>3960</v>
      </c>
      <c r="C3376" s="860" t="s">
        <v>3515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3876</v>
      </c>
      <c r="I3376" s="1285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 x14ac:dyDescent="0.25">
      <c r="B3377" s="1034" t="s">
        <v>3959</v>
      </c>
      <c r="C3377" s="860" t="s">
        <v>3515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3771</v>
      </c>
      <c r="I3377" s="1285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 x14ac:dyDescent="0.25">
      <c r="B3378" s="1034" t="s">
        <v>3958</v>
      </c>
      <c r="C3378" s="860" t="s">
        <v>3515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1648</v>
      </c>
      <c r="I3378" s="1285" t="s">
        <v>2277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 x14ac:dyDescent="0.25">
      <c r="B3379" s="1034" t="s">
        <v>3957</v>
      </c>
      <c r="C3379" s="860" t="s">
        <v>3515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3216</v>
      </c>
      <c r="I3379" s="1285" t="s">
        <v>3217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 x14ac:dyDescent="0.25">
      <c r="B3380" s="1034" t="s">
        <v>3956</v>
      </c>
      <c r="C3380" s="860" t="s">
        <v>3515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3216</v>
      </c>
      <c r="I3380" s="1279" t="s">
        <v>1540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 x14ac:dyDescent="0.25">
      <c r="B3381" s="1034" t="s">
        <v>3955</v>
      </c>
      <c r="C3381" s="860" t="s">
        <v>3515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3293</v>
      </c>
      <c r="I3381" s="1285" t="s">
        <v>3525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 x14ac:dyDescent="0.25">
      <c r="B3382" s="1034" t="s">
        <v>3954</v>
      </c>
      <c r="C3382" s="860" t="s">
        <v>3515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3876</v>
      </c>
      <c r="I3382" s="1285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 x14ac:dyDescent="0.25">
      <c r="B3383" s="1034" t="s">
        <v>3953</v>
      </c>
      <c r="C3383" s="860" t="s">
        <v>3515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3875</v>
      </c>
      <c r="I3383" s="1285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 x14ac:dyDescent="0.25">
      <c r="B3384" s="1041" t="s">
        <v>3992</v>
      </c>
      <c r="C3384" s="860" t="s">
        <v>3515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3293</v>
      </c>
      <c r="I3384" s="1286" t="s">
        <v>3525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 x14ac:dyDescent="0.25">
      <c r="B3385" s="1041" t="s">
        <v>3991</v>
      </c>
      <c r="C3385" s="860" t="s">
        <v>3515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1648</v>
      </c>
      <c r="I3385" s="1286" t="s">
        <v>2337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 x14ac:dyDescent="0.25">
      <c r="B3386" s="1041" t="s">
        <v>3990</v>
      </c>
      <c r="C3386" s="860" t="s">
        <v>3515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3297</v>
      </c>
      <c r="I3386" s="1286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 x14ac:dyDescent="0.25">
      <c r="B3387" s="1041" t="s">
        <v>3990</v>
      </c>
      <c r="C3387" s="860" t="s">
        <v>3515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3234</v>
      </c>
      <c r="I3387" s="1286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 x14ac:dyDescent="0.25">
      <c r="B3388" s="1041" t="s">
        <v>3989</v>
      </c>
      <c r="C3388" s="860" t="s">
        <v>3515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3876</v>
      </c>
      <c r="I3388" s="1286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 x14ac:dyDescent="0.25">
      <c r="B3389" s="1041" t="s">
        <v>3988</v>
      </c>
      <c r="C3389" s="860" t="s">
        <v>3515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3293</v>
      </c>
      <c r="I3389" s="1286" t="s">
        <v>3525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 x14ac:dyDescent="0.25">
      <c r="B3390" s="1041" t="s">
        <v>3987</v>
      </c>
      <c r="C3390" s="860" t="s">
        <v>3515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3822</v>
      </c>
      <c r="I3390" s="1286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 x14ac:dyDescent="0.25">
      <c r="B3391" s="1041" t="s">
        <v>3986</v>
      </c>
      <c r="C3391" s="860" t="s">
        <v>3515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3875</v>
      </c>
      <c r="I3391" s="1286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 x14ac:dyDescent="0.25">
      <c r="B3392" s="1041" t="s">
        <v>3985</v>
      </c>
      <c r="C3392" s="860" t="s">
        <v>3515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1648</v>
      </c>
      <c r="I3392" s="1286" t="s">
        <v>2854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 x14ac:dyDescent="0.25">
      <c r="B3393" s="1041" t="s">
        <v>3984</v>
      </c>
      <c r="C3393" s="860" t="s">
        <v>3515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3876</v>
      </c>
      <c r="I3393" s="1286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 x14ac:dyDescent="0.25">
      <c r="B3394" s="1041" t="s">
        <v>3983</v>
      </c>
      <c r="C3394" s="860" t="s">
        <v>3515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3216</v>
      </c>
      <c r="I3394" s="1285" t="s">
        <v>3217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 x14ac:dyDescent="0.25">
      <c r="B3395" s="1041" t="s">
        <v>3982</v>
      </c>
      <c r="C3395" s="860" t="s">
        <v>3515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3216</v>
      </c>
      <c r="I3395" s="1252" t="s">
        <v>1540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 x14ac:dyDescent="0.25">
      <c r="B3396" s="1041" t="s">
        <v>3981</v>
      </c>
      <c r="C3396" s="860" t="s">
        <v>3515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3771</v>
      </c>
      <c r="I3396" s="1286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 x14ac:dyDescent="0.25">
      <c r="B3397" s="1041" t="s">
        <v>3980</v>
      </c>
      <c r="C3397" s="860" t="s">
        <v>3515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3771</v>
      </c>
      <c r="I3397" s="1286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 x14ac:dyDescent="0.25">
      <c r="B3398" s="1041" t="s">
        <v>3979</v>
      </c>
      <c r="C3398" s="860" t="s">
        <v>3515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3876</v>
      </c>
      <c r="I3398" s="1285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 x14ac:dyDescent="0.25">
      <c r="B3399" s="1041" t="s">
        <v>3978</v>
      </c>
      <c r="C3399" s="860" t="s">
        <v>3515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1648</v>
      </c>
      <c r="I3399" s="1286" t="s">
        <v>2854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 x14ac:dyDescent="0.25">
      <c r="B3400" s="1041" t="s">
        <v>3977</v>
      </c>
      <c r="C3400" s="860" t="s">
        <v>3515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3297</v>
      </c>
      <c r="I3400" s="1286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 x14ac:dyDescent="0.25">
      <c r="B3401" s="1041" t="s">
        <v>3977</v>
      </c>
      <c r="C3401" s="1013" t="s">
        <v>3514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3216</v>
      </c>
      <c r="I3401" s="1285" t="s">
        <v>3217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 x14ac:dyDescent="0.25">
      <c r="B3402" s="1041" t="s">
        <v>3993</v>
      </c>
      <c r="C3402" s="1013" t="s">
        <v>3514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3216</v>
      </c>
      <c r="I3402" s="1252" t="s">
        <v>1540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 x14ac:dyDescent="0.25">
      <c r="B3403" s="1046" t="s">
        <v>4036</v>
      </c>
      <c r="C3403" s="860" t="s">
        <v>3515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3216</v>
      </c>
      <c r="I3403" s="1285" t="s">
        <v>3217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 x14ac:dyDescent="0.25">
      <c r="B3404" s="1046" t="s">
        <v>4036</v>
      </c>
      <c r="C3404" s="1013" t="s">
        <v>3514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3822</v>
      </c>
      <c r="I3404" s="1287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 x14ac:dyDescent="0.25">
      <c r="B3405" s="1046" t="s">
        <v>4035</v>
      </c>
      <c r="C3405" s="860" t="s">
        <v>3515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3216</v>
      </c>
      <c r="I3405" s="1252" t="s">
        <v>1540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 x14ac:dyDescent="0.25">
      <c r="B3406" s="1046" t="s">
        <v>4034</v>
      </c>
      <c r="C3406" s="1046" t="s">
        <v>3513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3293</v>
      </c>
      <c r="I3406" s="1287" t="s">
        <v>3525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 x14ac:dyDescent="0.25">
      <c r="B3407" s="1046" t="s">
        <v>4034</v>
      </c>
      <c r="C3407" s="860" t="s">
        <v>3515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3216</v>
      </c>
      <c r="I3407" s="1252" t="s">
        <v>1540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 x14ac:dyDescent="0.25">
      <c r="B3408" s="1046" t="s">
        <v>4033</v>
      </c>
      <c r="C3408" s="860" t="s">
        <v>3515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3216</v>
      </c>
      <c r="I3408" s="1285" t="s">
        <v>3217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 x14ac:dyDescent="0.25">
      <c r="B3409" s="1046" t="s">
        <v>4032</v>
      </c>
      <c r="C3409" s="860" t="s">
        <v>3515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1648</v>
      </c>
      <c r="I3409" s="1287" t="s">
        <v>1739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 x14ac:dyDescent="0.25">
      <c r="B3410" s="1046" t="s">
        <v>4031</v>
      </c>
      <c r="C3410" s="860" t="s">
        <v>3515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3771</v>
      </c>
      <c r="I3410" s="1287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 x14ac:dyDescent="0.25">
      <c r="B3411" s="1046" t="s">
        <v>4030</v>
      </c>
      <c r="C3411" s="860" t="s">
        <v>3515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3771</v>
      </c>
      <c r="I3411" s="1287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 x14ac:dyDescent="0.25">
      <c r="B3412" s="1046" t="s">
        <v>4029</v>
      </c>
      <c r="C3412" s="860" t="s">
        <v>3515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1648</v>
      </c>
      <c r="I3412" s="1287" t="s">
        <v>2854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 x14ac:dyDescent="0.25">
      <c r="B3413" s="1046" t="s">
        <v>4028</v>
      </c>
      <c r="C3413" s="860" t="s">
        <v>3515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3822</v>
      </c>
      <c r="I3413" s="1287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 x14ac:dyDescent="0.25">
      <c r="B3414" s="1046" t="s">
        <v>4027</v>
      </c>
      <c r="C3414" s="860" t="s">
        <v>3515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1648</v>
      </c>
      <c r="I3414" s="1287" t="s">
        <v>1739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 x14ac:dyDescent="0.25">
      <c r="B3415" s="1046" t="s">
        <v>4026</v>
      </c>
      <c r="C3415" s="860" t="s">
        <v>3515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3216</v>
      </c>
      <c r="I3415" s="1285" t="s">
        <v>3217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 x14ac:dyDescent="0.25">
      <c r="B3416" s="1046" t="s">
        <v>4025</v>
      </c>
      <c r="C3416" s="860" t="s">
        <v>3515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3216</v>
      </c>
      <c r="I3416" s="1252" t="s">
        <v>1540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 x14ac:dyDescent="0.25">
      <c r="B3417" s="1046" t="s">
        <v>4025</v>
      </c>
      <c r="C3417" s="1013" t="s">
        <v>3514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3293</v>
      </c>
      <c r="I3417" s="1255" t="s">
        <v>4308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 x14ac:dyDescent="0.25">
      <c r="B3418" s="1046" t="s">
        <v>4024</v>
      </c>
      <c r="C3418" s="860" t="s">
        <v>3515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3297</v>
      </c>
      <c r="I3418" s="1287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 x14ac:dyDescent="0.25">
      <c r="B3419" s="1046" t="s">
        <v>4024</v>
      </c>
      <c r="C3419" s="1013" t="s">
        <v>3514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3771</v>
      </c>
      <c r="I3419" s="1287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 x14ac:dyDescent="0.25">
      <c r="B3420" s="1046" t="s">
        <v>4023</v>
      </c>
      <c r="C3420" s="860" t="s">
        <v>3515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3771</v>
      </c>
      <c r="I3420" s="1287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 x14ac:dyDescent="0.25">
      <c r="B3421" s="1046" t="s">
        <v>4022</v>
      </c>
      <c r="C3421" s="860" t="s">
        <v>3515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3216</v>
      </c>
      <c r="I3421" s="1285" t="s">
        <v>3217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 x14ac:dyDescent="0.25">
      <c r="B3422" s="1046" t="s">
        <v>4021</v>
      </c>
      <c r="C3422" s="860" t="s">
        <v>3515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3216</v>
      </c>
      <c r="I3422" s="1252" t="s">
        <v>1540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 x14ac:dyDescent="0.25">
      <c r="B3423" s="1046" t="s">
        <v>4021</v>
      </c>
      <c r="C3423" s="1013" t="s">
        <v>3514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3293</v>
      </c>
      <c r="I3423" s="1287" t="s">
        <v>3525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 x14ac:dyDescent="0.25">
      <c r="B3424" s="1046" t="s">
        <v>4020</v>
      </c>
      <c r="C3424" s="860" t="s">
        <v>3515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3216</v>
      </c>
      <c r="I3424" s="1285" t="s">
        <v>3217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 x14ac:dyDescent="0.25">
      <c r="B3425" s="1046" t="s">
        <v>4019</v>
      </c>
      <c r="C3425" s="860" t="s">
        <v>3515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3216</v>
      </c>
      <c r="I3425" s="1252" t="s">
        <v>1540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 x14ac:dyDescent="0.25">
      <c r="B3426" s="1046" t="s">
        <v>4019</v>
      </c>
      <c r="C3426" s="1013" t="s">
        <v>3514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3293</v>
      </c>
      <c r="I3426" s="1287" t="s">
        <v>3525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 x14ac:dyDescent="0.25">
      <c r="B3427" s="1046" t="s">
        <v>4018</v>
      </c>
      <c r="C3427" s="860" t="s">
        <v>3515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1648</v>
      </c>
      <c r="I3427" s="1287" t="s">
        <v>2854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 x14ac:dyDescent="0.25">
      <c r="B3428" s="1046" t="s">
        <v>4017</v>
      </c>
      <c r="C3428" s="860" t="s">
        <v>3515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3297</v>
      </c>
      <c r="I3428" s="1287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 x14ac:dyDescent="0.25">
      <c r="B3429" s="1046" t="s">
        <v>4038</v>
      </c>
      <c r="C3429" s="1013" t="s">
        <v>3514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3216</v>
      </c>
      <c r="I3429" s="1285" t="s">
        <v>3217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 x14ac:dyDescent="0.25">
      <c r="B3430" s="1046" t="s">
        <v>4016</v>
      </c>
      <c r="C3430" s="1046" t="s">
        <v>3513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3293</v>
      </c>
      <c r="I3430" s="1255" t="s">
        <v>4308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 x14ac:dyDescent="0.25">
      <c r="B3431" s="1046" t="s">
        <v>4016</v>
      </c>
      <c r="C3431" s="860" t="s">
        <v>3515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287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347" t="s">
        <v>3026</v>
      </c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 x14ac:dyDescent="0.25">
      <c r="B3432" s="1046" t="s">
        <v>4016</v>
      </c>
      <c r="C3432" s="1046" t="s">
        <v>3514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3216</v>
      </c>
      <c r="I3432" s="1252" t="s">
        <v>1540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 x14ac:dyDescent="0.25">
      <c r="B3433" s="1046" t="s">
        <v>4015</v>
      </c>
      <c r="C3433" s="860" t="s">
        <v>3515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3216</v>
      </c>
      <c r="I3433" s="1285" t="s">
        <v>3217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 x14ac:dyDescent="0.25">
      <c r="B3434" s="1046" t="s">
        <v>4014</v>
      </c>
      <c r="C3434" s="860" t="s">
        <v>3515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3216</v>
      </c>
      <c r="I3434" s="1252" t="s">
        <v>1540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 x14ac:dyDescent="0.25">
      <c r="B3435" s="1046" t="s">
        <v>4014</v>
      </c>
      <c r="C3435" s="1013" t="s">
        <v>3514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3293</v>
      </c>
      <c r="I3435" s="1287" t="s">
        <v>3525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 x14ac:dyDescent="0.25">
      <c r="B3436" s="1046" t="s">
        <v>4013</v>
      </c>
      <c r="C3436" s="860" t="s">
        <v>3515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1648</v>
      </c>
      <c r="I3436" s="1287" t="s">
        <v>2854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 x14ac:dyDescent="0.25">
      <c r="B3437" s="1046" t="s">
        <v>4012</v>
      </c>
      <c r="C3437" s="860" t="s">
        <v>3515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3876</v>
      </c>
      <c r="I3437" s="1287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 x14ac:dyDescent="0.25">
      <c r="B3438" s="1046" t="s">
        <v>4012</v>
      </c>
      <c r="C3438" s="1013" t="s">
        <v>3514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3771</v>
      </c>
      <c r="I3438" s="1287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 x14ac:dyDescent="0.25">
      <c r="B3439" s="1046" t="s">
        <v>4010</v>
      </c>
      <c r="C3439" s="1046" t="s">
        <v>3513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3293</v>
      </c>
      <c r="I3439" s="1255" t="s">
        <v>4308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 x14ac:dyDescent="0.25">
      <c r="B3440" s="1046" t="s">
        <v>4011</v>
      </c>
      <c r="C3440" s="1046" t="s">
        <v>3513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3172</v>
      </c>
      <c r="I3440" s="1285" t="s">
        <v>3174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 x14ac:dyDescent="0.25">
      <c r="B3441" s="1046" t="s">
        <v>4011</v>
      </c>
      <c r="C3441" s="860" t="s">
        <v>3515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3216</v>
      </c>
      <c r="I3441" s="1285" t="s">
        <v>3217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 x14ac:dyDescent="0.25">
      <c r="B3442" s="1046" t="s">
        <v>4011</v>
      </c>
      <c r="C3442" s="1013" t="s">
        <v>3514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3822</v>
      </c>
      <c r="I3442" s="1287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 x14ac:dyDescent="0.25">
      <c r="B3443" s="1046" t="s">
        <v>4010</v>
      </c>
      <c r="C3443" s="860" t="s">
        <v>3515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3216</v>
      </c>
      <c r="I3443" s="1252" t="s">
        <v>1540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 x14ac:dyDescent="0.25">
      <c r="B3444" s="1046" t="s">
        <v>4009</v>
      </c>
      <c r="C3444" s="860" t="s">
        <v>3515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3293</v>
      </c>
      <c r="I3444" s="1287" t="s">
        <v>3525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 x14ac:dyDescent="0.25">
      <c r="B3445" s="1046" t="s">
        <v>4008</v>
      </c>
      <c r="C3445" s="860" t="s">
        <v>3515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3771</v>
      </c>
      <c r="I3445" s="1287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 x14ac:dyDescent="0.25">
      <c r="B3446" s="1046" t="s">
        <v>4008</v>
      </c>
      <c r="C3446" s="1013" t="s">
        <v>3514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3216</v>
      </c>
      <c r="I3446" s="1285" t="s">
        <v>3217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 x14ac:dyDescent="0.25">
      <c r="B3447" s="1046" t="s">
        <v>4037</v>
      </c>
      <c r="C3447" s="1013" t="s">
        <v>3514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3216</v>
      </c>
      <c r="I3447" s="1252" t="s">
        <v>1540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 x14ac:dyDescent="0.25">
      <c r="B3448" s="1046" t="s">
        <v>4007</v>
      </c>
      <c r="C3448" s="860" t="s">
        <v>3515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3771</v>
      </c>
      <c r="I3448" s="1287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 x14ac:dyDescent="0.25">
      <c r="B3449" s="1046" t="s">
        <v>4006</v>
      </c>
      <c r="C3449" s="860" t="s">
        <v>3515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3771</v>
      </c>
      <c r="I3449" s="1287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 x14ac:dyDescent="0.25">
      <c r="B3450" s="1046" t="s">
        <v>4005</v>
      </c>
      <c r="C3450" s="860" t="s">
        <v>3515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287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 x14ac:dyDescent="0.25">
      <c r="B3451" s="1046" t="s">
        <v>4004</v>
      </c>
      <c r="C3451" s="860" t="s">
        <v>3515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1648</v>
      </c>
      <c r="I3451" s="1287" t="s">
        <v>2337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 x14ac:dyDescent="0.25">
      <c r="B3452" s="1046" t="s">
        <v>4003</v>
      </c>
      <c r="C3452" s="860" t="s">
        <v>3515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1648</v>
      </c>
      <c r="I3452" s="1287" t="s">
        <v>1739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 x14ac:dyDescent="0.25">
      <c r="B3453" s="1046" t="s">
        <v>4002</v>
      </c>
      <c r="C3453" s="860" t="s">
        <v>3515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3216</v>
      </c>
      <c r="I3453" s="1285" t="s">
        <v>3217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 x14ac:dyDescent="0.25">
      <c r="B3454" s="1046" t="s">
        <v>4001</v>
      </c>
      <c r="C3454" s="860" t="s">
        <v>3515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3216</v>
      </c>
      <c r="I3454" s="1252" t="s">
        <v>1540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 x14ac:dyDescent="0.25">
      <c r="B3455" s="1046" t="s">
        <v>4000</v>
      </c>
      <c r="C3455" s="860" t="s">
        <v>3515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1648</v>
      </c>
      <c r="I3455" s="1287" t="s">
        <v>1739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 x14ac:dyDescent="0.25">
      <c r="B3456" s="1046" t="s">
        <v>3999</v>
      </c>
      <c r="C3456" s="860" t="s">
        <v>3515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1648</v>
      </c>
      <c r="I3456" s="1287" t="s">
        <v>2919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 x14ac:dyDescent="0.25">
      <c r="B3457" s="1046" t="s">
        <v>3998</v>
      </c>
      <c r="C3457" s="860" t="s">
        <v>3515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3216</v>
      </c>
      <c r="I3457" s="1285" t="s">
        <v>3217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 x14ac:dyDescent="0.25">
      <c r="B3458" s="1046" t="s">
        <v>3997</v>
      </c>
      <c r="C3458" s="860" t="s">
        <v>3515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3216</v>
      </c>
      <c r="I3458" s="1252" t="s">
        <v>1540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 x14ac:dyDescent="0.25">
      <c r="B3459" s="1046" t="s">
        <v>3997</v>
      </c>
      <c r="C3459" s="1013" t="s">
        <v>3514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3293</v>
      </c>
      <c r="I3459" s="1287" t="s">
        <v>3525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 x14ac:dyDescent="0.25">
      <c r="B3460" s="1046" t="s">
        <v>3996</v>
      </c>
      <c r="C3460" s="860" t="s">
        <v>3515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1648</v>
      </c>
      <c r="I3460" s="1287" t="s">
        <v>2919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 x14ac:dyDescent="0.25">
      <c r="B3461" s="1046" t="s">
        <v>3995</v>
      </c>
      <c r="C3461" s="860" t="s">
        <v>3515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3771</v>
      </c>
      <c r="I3461" s="1287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 x14ac:dyDescent="0.25">
      <c r="B3462" s="1046" t="s">
        <v>3995</v>
      </c>
      <c r="C3462" s="1013" t="s">
        <v>3514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3297</v>
      </c>
      <c r="I3462" s="1287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 x14ac:dyDescent="0.25">
      <c r="B3463" s="1054" t="s">
        <v>4076</v>
      </c>
      <c r="C3463" s="860" t="s">
        <v>3515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1648</v>
      </c>
      <c r="I3463" s="1288" t="s">
        <v>1700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 x14ac:dyDescent="0.25">
      <c r="B3464" s="1054" t="s">
        <v>4076</v>
      </c>
      <c r="C3464" s="860" t="s">
        <v>3515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1648</v>
      </c>
      <c r="I3464" s="1288" t="s">
        <v>1739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 x14ac:dyDescent="0.25">
      <c r="B3465" s="1054" t="s">
        <v>4075</v>
      </c>
      <c r="C3465" s="860" t="s">
        <v>3515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4" t="s">
        <v>3370</v>
      </c>
      <c r="I3465" s="1288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347" t="s">
        <v>1439</v>
      </c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 x14ac:dyDescent="0.25">
      <c r="B3466" s="1054" t="s">
        <v>4074</v>
      </c>
      <c r="C3466" s="860" t="s">
        <v>3515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3297</v>
      </c>
      <c r="I3466" s="1288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 x14ac:dyDescent="0.25">
      <c r="B3467" s="1054" t="s">
        <v>4074</v>
      </c>
      <c r="C3467" s="1013" t="s">
        <v>3514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3822</v>
      </c>
      <c r="I3467" s="1288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 x14ac:dyDescent="0.25">
      <c r="B3468" s="1054" t="s">
        <v>4073</v>
      </c>
      <c r="C3468" s="860" t="s">
        <v>3515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1648</v>
      </c>
      <c r="I3468" s="1288" t="s">
        <v>2854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 x14ac:dyDescent="0.25">
      <c r="B3469" s="1054" t="s">
        <v>4072</v>
      </c>
      <c r="C3469" s="860" t="s">
        <v>3515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1648</v>
      </c>
      <c r="I3469" s="1288" t="s">
        <v>3296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 x14ac:dyDescent="0.25">
      <c r="B3470" s="1054" t="s">
        <v>4069</v>
      </c>
      <c r="C3470" s="1054" t="s">
        <v>3513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3293</v>
      </c>
      <c r="I3470" s="1287" t="s">
        <v>3525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 x14ac:dyDescent="0.25">
      <c r="B3471" s="1054" t="s">
        <v>4070</v>
      </c>
      <c r="C3471" s="860" t="s">
        <v>3515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3234</v>
      </c>
      <c r="I3471" s="1288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 x14ac:dyDescent="0.25">
      <c r="B3472" s="1054" t="s">
        <v>4071</v>
      </c>
      <c r="C3472" s="860" t="s">
        <v>3515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3297</v>
      </c>
      <c r="I3472" s="1288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 x14ac:dyDescent="0.25">
      <c r="B3473" s="1054" t="s">
        <v>4071</v>
      </c>
      <c r="C3473" s="1013" t="s">
        <v>3514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3216</v>
      </c>
      <c r="I3473" s="1285" t="s">
        <v>3217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 x14ac:dyDescent="0.25">
      <c r="B3474" s="1054" t="s">
        <v>4069</v>
      </c>
      <c r="C3474" s="860" t="s">
        <v>3515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288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347" t="s">
        <v>4467</v>
      </c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 x14ac:dyDescent="0.25">
      <c r="B3475" s="1054" t="s">
        <v>4069</v>
      </c>
      <c r="C3475" s="1013" t="s">
        <v>3514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3216</v>
      </c>
      <c r="I3475" s="1252" t="s">
        <v>1540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 x14ac:dyDescent="0.25">
      <c r="B3476" s="1054" t="s">
        <v>4068</v>
      </c>
      <c r="C3476" s="860" t="s">
        <v>3515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3234</v>
      </c>
      <c r="I3476" s="1288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 x14ac:dyDescent="0.25">
      <c r="B3477" s="1054" t="s">
        <v>4067</v>
      </c>
      <c r="C3477" s="860" t="s">
        <v>3515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3216</v>
      </c>
      <c r="I3477" s="1285" t="s">
        <v>3217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 x14ac:dyDescent="0.25">
      <c r="B3478" s="1054" t="s">
        <v>4066</v>
      </c>
      <c r="C3478" s="860" t="s">
        <v>3515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3216</v>
      </c>
      <c r="I3478" s="1252" t="s">
        <v>1540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 x14ac:dyDescent="0.25">
      <c r="B3479" s="1054" t="s">
        <v>4066</v>
      </c>
      <c r="C3479" s="1013" t="s">
        <v>3514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3293</v>
      </c>
      <c r="I3479" s="1255" t="s">
        <v>4307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 x14ac:dyDescent="0.25">
      <c r="B3480" s="1054" t="s">
        <v>4065</v>
      </c>
      <c r="C3480" s="860" t="s">
        <v>3515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3234</v>
      </c>
      <c r="I3480" s="1288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 x14ac:dyDescent="0.25">
      <c r="B3481" s="1054" t="s">
        <v>4064</v>
      </c>
      <c r="C3481" s="860" t="s">
        <v>3515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3297</v>
      </c>
      <c r="I3481" s="1288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 x14ac:dyDescent="0.25">
      <c r="B3482" s="1054" t="s">
        <v>4064</v>
      </c>
      <c r="C3482" s="1013" t="s">
        <v>3514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3822</v>
      </c>
      <c r="I3482" s="1288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 x14ac:dyDescent="0.25">
      <c r="B3483" s="1054" t="s">
        <v>4063</v>
      </c>
      <c r="C3483" s="860" t="s">
        <v>3515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288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 x14ac:dyDescent="0.25">
      <c r="B3484" s="1054" t="s">
        <v>4062</v>
      </c>
      <c r="C3484" s="860" t="s">
        <v>3515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288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 x14ac:dyDescent="0.25">
      <c r="B3485" s="1054" t="s">
        <v>4059</v>
      </c>
      <c r="C3485" s="1054" t="s">
        <v>3513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3216</v>
      </c>
      <c r="I3485" s="1252" t="s">
        <v>1540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 x14ac:dyDescent="0.25">
      <c r="B3486" s="1054" t="s">
        <v>4061</v>
      </c>
      <c r="C3486" s="1054" t="s">
        <v>3513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3216</v>
      </c>
      <c r="I3486" s="1252" t="s">
        <v>3217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 x14ac:dyDescent="0.25">
      <c r="B3487" s="1054" t="s">
        <v>4061</v>
      </c>
      <c r="C3487" s="860" t="s">
        <v>3515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3822</v>
      </c>
      <c r="I3487" s="1288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 x14ac:dyDescent="0.25">
      <c r="B3488" s="1054" t="s">
        <v>4060</v>
      </c>
      <c r="C3488" s="860" t="s">
        <v>3515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288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 x14ac:dyDescent="0.25">
      <c r="B3489" s="1054" t="s">
        <v>4059</v>
      </c>
      <c r="C3489" s="860" t="s">
        <v>3515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3293</v>
      </c>
      <c r="I3489" s="1255" t="s">
        <v>4308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 x14ac:dyDescent="0.25">
      <c r="B3490" s="1054" t="s">
        <v>4058</v>
      </c>
      <c r="C3490" s="860" t="s">
        <v>3515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1648</v>
      </c>
      <c r="I3490" s="1288" t="s">
        <v>2537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 x14ac:dyDescent="0.25">
      <c r="B3491" s="1054" t="s">
        <v>4057</v>
      </c>
      <c r="C3491" s="860" t="s">
        <v>3515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1648</v>
      </c>
      <c r="I3491" s="1288" t="s">
        <v>2337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 x14ac:dyDescent="0.25">
      <c r="B3492" s="1054" t="s">
        <v>4056</v>
      </c>
      <c r="C3492" s="860" t="s">
        <v>3515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1648</v>
      </c>
      <c r="I3492" s="1288" t="s">
        <v>2854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 x14ac:dyDescent="0.25">
      <c r="B3493" s="1054" t="s">
        <v>4055</v>
      </c>
      <c r="C3493" s="860" t="s">
        <v>3515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3234</v>
      </c>
      <c r="I3493" s="1288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 x14ac:dyDescent="0.25">
      <c r="B3494" s="1054" t="s">
        <v>4054</v>
      </c>
      <c r="C3494" s="860" t="s">
        <v>3515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288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 x14ac:dyDescent="0.25">
      <c r="B3495" s="1054" t="s">
        <v>4052</v>
      </c>
      <c r="C3495" s="1054" t="s">
        <v>3513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3293</v>
      </c>
      <c r="I3495" s="1287" t="s">
        <v>3525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 x14ac:dyDescent="0.25">
      <c r="B3496" s="1054" t="s">
        <v>4054</v>
      </c>
      <c r="C3496" s="860" t="s">
        <v>3515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1648</v>
      </c>
      <c r="I3496" s="1288" t="s">
        <v>2854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 x14ac:dyDescent="0.25">
      <c r="B3497" s="1054" t="s">
        <v>4053</v>
      </c>
      <c r="C3497" s="860" t="s">
        <v>3515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3216</v>
      </c>
      <c r="I3497" s="1285" t="s">
        <v>3217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 x14ac:dyDescent="0.25">
      <c r="B3498" s="1054" t="s">
        <v>4053</v>
      </c>
      <c r="C3498" s="1013" t="s">
        <v>3514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3771</v>
      </c>
      <c r="I3498" s="1287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 x14ac:dyDescent="0.25">
      <c r="B3499" s="1054" t="s">
        <v>4052</v>
      </c>
      <c r="C3499" s="860" t="s">
        <v>3515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3216</v>
      </c>
      <c r="I3499" s="1252" t="s">
        <v>1540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 x14ac:dyDescent="0.25">
      <c r="B3500" s="1054" t="s">
        <v>4051</v>
      </c>
      <c r="C3500" s="860" t="s">
        <v>3515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3216</v>
      </c>
      <c r="I3500" s="1285" t="s">
        <v>3217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 x14ac:dyDescent="0.25">
      <c r="B3501" s="1054" t="s">
        <v>4050</v>
      </c>
      <c r="C3501" s="860" t="s">
        <v>3515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3216</v>
      </c>
      <c r="I3501" s="1252" t="s">
        <v>1540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 x14ac:dyDescent="0.25">
      <c r="B3502" s="1054" t="s">
        <v>4050</v>
      </c>
      <c r="C3502" s="1013" t="s">
        <v>3514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3293</v>
      </c>
      <c r="I3502" s="1287" t="s">
        <v>3525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 x14ac:dyDescent="0.25">
      <c r="B3503" s="1054" t="s">
        <v>4049</v>
      </c>
      <c r="C3503" s="860" t="s">
        <v>3515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3297</v>
      </c>
      <c r="I3503" s="1288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 x14ac:dyDescent="0.25">
      <c r="B3504" s="1054" t="s">
        <v>4048</v>
      </c>
      <c r="C3504" s="860" t="s">
        <v>3515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288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 x14ac:dyDescent="0.25">
      <c r="B3505" s="1054" t="s">
        <v>4047</v>
      </c>
      <c r="C3505" s="860" t="s">
        <v>3515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3771</v>
      </c>
      <c r="I3505" s="1288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 x14ac:dyDescent="0.25">
      <c r="B3506" s="1054" t="s">
        <v>4046</v>
      </c>
      <c r="C3506" s="860" t="s">
        <v>3515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3876</v>
      </c>
      <c r="I3506" s="1288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 x14ac:dyDescent="0.25">
      <c r="B3507" s="1054" t="s">
        <v>4044</v>
      </c>
      <c r="C3507" s="1054" t="s">
        <v>3513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3216</v>
      </c>
      <c r="I3507" s="1252" t="s">
        <v>1540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 x14ac:dyDescent="0.25">
      <c r="B3508" s="1054" t="s">
        <v>4045</v>
      </c>
      <c r="C3508" s="1054" t="s">
        <v>3513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3216</v>
      </c>
      <c r="I3508" s="1252" t="s">
        <v>3217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 x14ac:dyDescent="0.25">
      <c r="B3509" s="1054" t="s">
        <v>4045</v>
      </c>
      <c r="C3509" s="1013" t="s">
        <v>3514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3771</v>
      </c>
      <c r="I3509" s="1287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 x14ac:dyDescent="0.25">
      <c r="B3510" s="1054" t="s">
        <v>4045</v>
      </c>
      <c r="C3510" s="860" t="s">
        <v>3515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3297</v>
      </c>
      <c r="I3510" s="1288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 x14ac:dyDescent="0.25">
      <c r="B3511" s="1054" t="s">
        <v>4045</v>
      </c>
      <c r="C3511" s="860" t="s">
        <v>3515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3234</v>
      </c>
      <c r="I3511" s="1288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 x14ac:dyDescent="0.25">
      <c r="B3512" s="1054" t="s">
        <v>4044</v>
      </c>
      <c r="C3512" s="860" t="s">
        <v>3515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4" t="s">
        <v>3370</v>
      </c>
      <c r="I3512" s="1288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347" t="s">
        <v>1360</v>
      </c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 x14ac:dyDescent="0.25">
      <c r="B3513" s="1054" t="s">
        <v>4044</v>
      </c>
      <c r="C3513" s="1013" t="s">
        <v>3514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3293</v>
      </c>
      <c r="I3513" s="1287" t="s">
        <v>3525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 x14ac:dyDescent="0.25">
      <c r="B3514" s="1054" t="s">
        <v>4043</v>
      </c>
      <c r="C3514" s="1054" t="s">
        <v>3513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3172</v>
      </c>
      <c r="I3514" s="1288" t="s">
        <v>3173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 x14ac:dyDescent="0.25">
      <c r="B3515" s="1054" t="s">
        <v>4043</v>
      </c>
      <c r="C3515" s="860" t="s">
        <v>3515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3216</v>
      </c>
      <c r="I3515" s="1285" t="s">
        <v>3217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 x14ac:dyDescent="0.25">
      <c r="B3516" s="1054" t="s">
        <v>4043</v>
      </c>
      <c r="C3516" s="1013" t="s">
        <v>3514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3234</v>
      </c>
      <c r="I3516" s="1288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 x14ac:dyDescent="0.25">
      <c r="B3517" s="1054" t="s">
        <v>4042</v>
      </c>
      <c r="C3517" s="860" t="s">
        <v>3515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3216</v>
      </c>
      <c r="I3517" s="1252" t="s">
        <v>1540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 x14ac:dyDescent="0.25">
      <c r="B3518" s="1054" t="s">
        <v>4042</v>
      </c>
      <c r="C3518" s="1013" t="s">
        <v>3514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3293</v>
      </c>
      <c r="I3518" s="1287" t="s">
        <v>3525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 x14ac:dyDescent="0.25">
      <c r="B3519" s="1054" t="s">
        <v>4041</v>
      </c>
      <c r="C3519" s="860" t="s">
        <v>3515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3876</v>
      </c>
      <c r="I3519" s="1288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 x14ac:dyDescent="0.25">
      <c r="B3520" s="1054" t="s">
        <v>4040</v>
      </c>
      <c r="C3520" s="860" t="s">
        <v>3515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3876</v>
      </c>
      <c r="I3520" s="1288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 x14ac:dyDescent="0.25">
      <c r="B3521" s="1054" t="s">
        <v>4039</v>
      </c>
      <c r="C3521" s="860" t="s">
        <v>3515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1648</v>
      </c>
      <c r="I3521" s="1288" t="s">
        <v>1739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 x14ac:dyDescent="0.25">
      <c r="B3522" s="1057" t="s">
        <v>4090</v>
      </c>
      <c r="C3522" s="860" t="s">
        <v>3515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3297</v>
      </c>
      <c r="I3522" s="1289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 x14ac:dyDescent="0.25">
      <c r="B3523" s="1057" t="s">
        <v>4089</v>
      </c>
      <c r="C3523" s="860" t="s">
        <v>3515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3293</v>
      </c>
      <c r="I3523" s="1255" t="s">
        <v>4308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 x14ac:dyDescent="0.25">
      <c r="B3524" s="1057" t="s">
        <v>4088</v>
      </c>
      <c r="C3524" s="860" t="s">
        <v>3515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3293</v>
      </c>
      <c r="I3524" s="1255" t="s">
        <v>4308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 x14ac:dyDescent="0.25">
      <c r="B3525" s="1057" t="s">
        <v>4087</v>
      </c>
      <c r="C3525" s="860" t="s">
        <v>3515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289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 x14ac:dyDescent="0.25">
      <c r="B3526" s="1057" t="s">
        <v>4086</v>
      </c>
      <c r="C3526" s="860" t="s">
        <v>3515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3588</v>
      </c>
      <c r="I3526" s="1289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 x14ac:dyDescent="0.25">
      <c r="B3527" s="1057" t="s">
        <v>4085</v>
      </c>
      <c r="C3527" s="860" t="s">
        <v>3515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3234</v>
      </c>
      <c r="I3527" s="1289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 x14ac:dyDescent="0.25">
      <c r="B3528" s="1057" t="s">
        <v>4084</v>
      </c>
      <c r="C3528" s="860" t="s">
        <v>3515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3588</v>
      </c>
      <c r="I3528" s="1289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 x14ac:dyDescent="0.25">
      <c r="B3529" s="1057" t="s">
        <v>4083</v>
      </c>
      <c r="C3529" s="860" t="s">
        <v>3515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1648</v>
      </c>
      <c r="I3529" s="1289" t="s">
        <v>2919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 x14ac:dyDescent="0.25">
      <c r="B3530" s="1057" t="s">
        <v>4082</v>
      </c>
      <c r="C3530" s="860" t="s">
        <v>3515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1648</v>
      </c>
      <c r="I3530" s="1289" t="s">
        <v>2277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 x14ac:dyDescent="0.25">
      <c r="B3531" s="1057" t="s">
        <v>4081</v>
      </c>
      <c r="C3531" s="860" t="s">
        <v>3515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1648</v>
      </c>
      <c r="I3531" s="1289" t="s">
        <v>2854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 x14ac:dyDescent="0.25">
      <c r="B3532" s="1057" t="s">
        <v>4080</v>
      </c>
      <c r="C3532" s="860" t="s">
        <v>3515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3876</v>
      </c>
      <c r="I3532" s="1289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 x14ac:dyDescent="0.25">
      <c r="B3533" s="1057" t="s">
        <v>4079</v>
      </c>
      <c r="C3533" s="860" t="s">
        <v>3515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3293</v>
      </c>
      <c r="I3533" s="1255" t="s">
        <v>4308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 x14ac:dyDescent="0.25">
      <c r="B3534" s="1062" t="s">
        <v>4093</v>
      </c>
      <c r="C3534" s="860" t="s">
        <v>3515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3875</v>
      </c>
      <c r="I3534" s="1290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 x14ac:dyDescent="0.25">
      <c r="B3535" s="1062" t="s">
        <v>4092</v>
      </c>
      <c r="C3535" s="860" t="s">
        <v>3515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3771</v>
      </c>
      <c r="I3535" s="1290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 x14ac:dyDescent="0.25">
      <c r="B3536" s="1062" t="s">
        <v>4091</v>
      </c>
      <c r="C3536" s="860" t="s">
        <v>3515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3293</v>
      </c>
      <c r="I3536" s="1290" t="s">
        <v>3526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 x14ac:dyDescent="0.25">
      <c r="B3537" s="1067" t="s">
        <v>4103</v>
      </c>
      <c r="C3537" s="860" t="s">
        <v>3515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3771</v>
      </c>
      <c r="I3537" s="1291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 x14ac:dyDescent="0.25">
      <c r="B3538" s="1067" t="s">
        <v>4102</v>
      </c>
      <c r="C3538" s="860" t="s">
        <v>3515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3771</v>
      </c>
      <c r="I3538" s="1291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 x14ac:dyDescent="0.25">
      <c r="B3539" s="1067" t="s">
        <v>4101</v>
      </c>
      <c r="C3539" s="860" t="s">
        <v>3515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3822</v>
      </c>
      <c r="I3539" s="1291" t="s">
        <v>4104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 x14ac:dyDescent="0.25">
      <c r="B3540" s="1067" t="s">
        <v>4100</v>
      </c>
      <c r="C3540" s="860" t="s">
        <v>3515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3771</v>
      </c>
      <c r="I3540" s="1291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 x14ac:dyDescent="0.25">
      <c r="B3541" s="1067" t="s">
        <v>4099</v>
      </c>
      <c r="C3541" s="860" t="s">
        <v>3515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1648</v>
      </c>
      <c r="I3541" s="1291" t="s">
        <v>2277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 x14ac:dyDescent="0.25">
      <c r="B3542" s="1067" t="s">
        <v>4098</v>
      </c>
      <c r="C3542" s="860" t="s">
        <v>3515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3822</v>
      </c>
      <c r="I3542" s="1291" t="s">
        <v>4104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 x14ac:dyDescent="0.25">
      <c r="B3543" s="1067" t="s">
        <v>4097</v>
      </c>
      <c r="C3543" s="860" t="s">
        <v>3515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3771</v>
      </c>
      <c r="I3543" s="1291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 x14ac:dyDescent="0.25">
      <c r="B3544" s="1067" t="s">
        <v>4096</v>
      </c>
      <c r="C3544" s="860" t="s">
        <v>3515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3297</v>
      </c>
      <c r="I3544" s="1291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 x14ac:dyDescent="0.25">
      <c r="B3545" s="1067" t="s">
        <v>4095</v>
      </c>
      <c r="C3545" s="860" t="s">
        <v>3515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291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 x14ac:dyDescent="0.25">
      <c r="B3546" s="1067" t="s">
        <v>4095</v>
      </c>
      <c r="C3546" s="860" t="s">
        <v>3515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1648</v>
      </c>
      <c r="I3546" s="1291" t="s">
        <v>2854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 x14ac:dyDescent="0.25">
      <c r="B3547" s="1067" t="s">
        <v>4094</v>
      </c>
      <c r="C3547" s="860" t="s">
        <v>3515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3293</v>
      </c>
      <c r="I3547" s="1255" t="s">
        <v>4308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 x14ac:dyDescent="0.25">
      <c r="B3548" s="1073" t="s">
        <v>4108</v>
      </c>
      <c r="C3548" s="860" t="s">
        <v>3515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3588</v>
      </c>
      <c r="I3548" s="1292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 x14ac:dyDescent="0.25">
      <c r="B3549" s="1073" t="s">
        <v>4107</v>
      </c>
      <c r="C3549" s="860" t="s">
        <v>3515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3822</v>
      </c>
      <c r="I3549" s="1292" t="s">
        <v>4109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 x14ac:dyDescent="0.25">
      <c r="B3550" s="1073" t="s">
        <v>4106</v>
      </c>
      <c r="C3550" s="860" t="s">
        <v>3515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1648</v>
      </c>
      <c r="I3550" s="1292" t="s">
        <v>2277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 x14ac:dyDescent="0.25">
      <c r="B3551" s="1078" t="s">
        <v>4167</v>
      </c>
      <c r="C3551" s="860" t="s">
        <v>3515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1648</v>
      </c>
      <c r="I3551" s="1293" t="s">
        <v>2277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 x14ac:dyDescent="0.25">
      <c r="B3552" s="1078" t="s">
        <v>4166</v>
      </c>
      <c r="C3552" s="860" t="s">
        <v>3515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293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 x14ac:dyDescent="0.25">
      <c r="B3553" s="1078" t="s">
        <v>4165</v>
      </c>
      <c r="C3553" s="860" t="s">
        <v>3515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1648</v>
      </c>
      <c r="I3553" s="1291" t="s">
        <v>2854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 x14ac:dyDescent="0.25">
      <c r="B3554" s="1078" t="s">
        <v>4164</v>
      </c>
      <c r="C3554" s="860" t="s">
        <v>3515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3293</v>
      </c>
      <c r="I3554" s="1255" t="s">
        <v>4308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 x14ac:dyDescent="0.25">
      <c r="B3555" s="1078" t="s">
        <v>4163</v>
      </c>
      <c r="C3555" s="860" t="s">
        <v>3515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3297</v>
      </c>
      <c r="I3555" s="1293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 x14ac:dyDescent="0.25">
      <c r="B3556" s="1078" t="s">
        <v>4162</v>
      </c>
      <c r="C3556" s="860" t="s">
        <v>3515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293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347" t="s">
        <v>2011</v>
      </c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 x14ac:dyDescent="0.25">
      <c r="B3557" s="1083" t="s">
        <v>4162</v>
      </c>
      <c r="C3557" s="1083" t="s">
        <v>3514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3293</v>
      </c>
      <c r="I3557" s="1255" t="s">
        <v>4308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 x14ac:dyDescent="0.25">
      <c r="B3558" s="1078" t="s">
        <v>4161</v>
      </c>
      <c r="C3558" s="860" t="s">
        <v>3515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3234</v>
      </c>
      <c r="I3558" s="1293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 x14ac:dyDescent="0.25">
      <c r="B3559" s="1078" t="s">
        <v>4160</v>
      </c>
      <c r="C3559" s="860" t="s">
        <v>3515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3588</v>
      </c>
      <c r="I3559" s="1293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 x14ac:dyDescent="0.25">
      <c r="B3560" s="1078" t="s">
        <v>4159</v>
      </c>
      <c r="C3560" s="860" t="s">
        <v>3515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3822</v>
      </c>
      <c r="I3560" s="1293" t="s">
        <v>4109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 x14ac:dyDescent="0.25">
      <c r="B3561" s="1083" t="s">
        <v>4188</v>
      </c>
      <c r="C3561" s="860" t="s">
        <v>3515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293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 x14ac:dyDescent="0.25">
      <c r="B3562" s="1083" t="s">
        <v>4187</v>
      </c>
      <c r="C3562" s="860" t="s">
        <v>3515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3293</v>
      </c>
      <c r="I3562" s="1255" t="s">
        <v>4308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 x14ac:dyDescent="0.25">
      <c r="B3563" s="1083" t="s">
        <v>4186</v>
      </c>
      <c r="C3563" s="860" t="s">
        <v>3515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1648</v>
      </c>
      <c r="I3563" s="1291" t="s">
        <v>2854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 x14ac:dyDescent="0.25">
      <c r="B3564" s="1083" t="s">
        <v>4185</v>
      </c>
      <c r="C3564" s="860" t="s">
        <v>3515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1648</v>
      </c>
      <c r="I3564" s="1294" t="s">
        <v>3296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 x14ac:dyDescent="0.25">
      <c r="B3565" s="1083" t="s">
        <v>4184</v>
      </c>
      <c r="C3565" s="860" t="s">
        <v>3515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3822</v>
      </c>
      <c r="I3565" s="1294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 x14ac:dyDescent="0.25">
      <c r="B3566" s="1083" t="s">
        <v>4183</v>
      </c>
      <c r="C3566" s="860" t="s">
        <v>3515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293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347" t="s">
        <v>3601</v>
      </c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 x14ac:dyDescent="0.25">
      <c r="B3567" s="1083" t="s">
        <v>4182</v>
      </c>
      <c r="C3567" s="860" t="s">
        <v>3515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293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347" t="s">
        <v>4469</v>
      </c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 x14ac:dyDescent="0.25">
      <c r="B3568" s="1083" t="s">
        <v>4181</v>
      </c>
      <c r="C3568" s="860" t="s">
        <v>3515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1648</v>
      </c>
      <c r="I3568" s="1291" t="s">
        <v>2854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 x14ac:dyDescent="0.25">
      <c r="B3569" s="1083" t="s">
        <v>4180</v>
      </c>
      <c r="C3569" s="860" t="s">
        <v>3515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3293</v>
      </c>
      <c r="I3569" s="1255" t="s">
        <v>4308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 x14ac:dyDescent="0.25">
      <c r="B3570" s="1083" t="s">
        <v>4179</v>
      </c>
      <c r="C3570" s="860" t="s">
        <v>3515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293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 x14ac:dyDescent="0.25">
      <c r="B3571" s="1083" t="s">
        <v>4178</v>
      </c>
      <c r="C3571" s="860" t="s">
        <v>3515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3297</v>
      </c>
      <c r="I3571" s="1294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 x14ac:dyDescent="0.25">
      <c r="B3572" s="1083" t="s">
        <v>4177</v>
      </c>
      <c r="C3572" s="860" t="s">
        <v>3515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293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 x14ac:dyDescent="0.25">
      <c r="B3573" s="1083" t="s">
        <v>4176</v>
      </c>
      <c r="C3573" s="860" t="s">
        <v>3515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3293</v>
      </c>
      <c r="I3573" s="1255" t="s">
        <v>4308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 x14ac:dyDescent="0.25">
      <c r="B3574" s="1083" t="s">
        <v>4175</v>
      </c>
      <c r="C3574" s="860" t="s">
        <v>3515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1648</v>
      </c>
      <c r="I3574" s="1294" t="s">
        <v>3296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 x14ac:dyDescent="0.25">
      <c r="B3575" s="1083" t="s">
        <v>4174</v>
      </c>
      <c r="C3575" s="860" t="s">
        <v>3515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1648</v>
      </c>
      <c r="I3575" s="1291" t="s">
        <v>2854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 x14ac:dyDescent="0.25">
      <c r="B3576" s="1083" t="s">
        <v>4173</v>
      </c>
      <c r="C3576" s="860" t="s">
        <v>3515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1648</v>
      </c>
      <c r="I3576" s="1294" t="s">
        <v>1739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 x14ac:dyDescent="0.25">
      <c r="B3577" s="1083" t="s">
        <v>4172</v>
      </c>
      <c r="C3577" s="860" t="s">
        <v>3515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3822</v>
      </c>
      <c r="I3577" s="1294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 x14ac:dyDescent="0.25">
      <c r="B3578" s="1083" t="s">
        <v>4171</v>
      </c>
      <c r="C3578" s="860" t="s">
        <v>3515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1648</v>
      </c>
      <c r="I3578" s="1294" t="s">
        <v>1700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 x14ac:dyDescent="0.25">
      <c r="B3579" s="1083" t="s">
        <v>4170</v>
      </c>
      <c r="C3579" s="860" t="s">
        <v>3515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3822</v>
      </c>
      <c r="I3579" s="1294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 x14ac:dyDescent="0.25">
      <c r="B3580" s="1083" t="s">
        <v>4169</v>
      </c>
      <c r="C3580" s="860" t="s">
        <v>3515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3297</v>
      </c>
      <c r="I3580" s="1294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 x14ac:dyDescent="0.25">
      <c r="B3581" s="1088" t="s">
        <v>4213</v>
      </c>
      <c r="C3581" s="860" t="s">
        <v>3515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3297</v>
      </c>
      <c r="I3581" s="1294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 x14ac:dyDescent="0.25">
      <c r="B3582" s="1088" t="s">
        <v>4212</v>
      </c>
      <c r="C3582" s="860" t="s">
        <v>3515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1648</v>
      </c>
      <c r="I3582" s="1295" t="s">
        <v>2337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 x14ac:dyDescent="0.25">
      <c r="B3583" s="1088" t="s">
        <v>4211</v>
      </c>
      <c r="C3583" s="860" t="s">
        <v>3515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1648</v>
      </c>
      <c r="I3583" s="1295" t="s">
        <v>1700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 x14ac:dyDescent="0.25">
      <c r="B3584" s="1088" t="s">
        <v>4210</v>
      </c>
      <c r="C3584" s="860" t="s">
        <v>3515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1648</v>
      </c>
      <c r="I3584" s="1291" t="s">
        <v>2854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 x14ac:dyDescent="0.25">
      <c r="B3585" s="1088" t="s">
        <v>4209</v>
      </c>
      <c r="C3585" s="860" t="s">
        <v>3515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1648</v>
      </c>
      <c r="I3585" s="1295" t="s">
        <v>2277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 x14ac:dyDescent="0.25">
      <c r="B3586" s="1088" t="s">
        <v>4208</v>
      </c>
      <c r="C3586" s="860" t="s">
        <v>3515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1648</v>
      </c>
      <c r="I3586" s="1295" t="s">
        <v>1739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 x14ac:dyDescent="0.25">
      <c r="B3587" s="1088" t="s">
        <v>4207</v>
      </c>
      <c r="C3587" s="860" t="s">
        <v>3515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1648</v>
      </c>
      <c r="I3587" s="1295" t="s">
        <v>1739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 x14ac:dyDescent="0.25">
      <c r="B3588" s="1088" t="s">
        <v>4206</v>
      </c>
      <c r="C3588" s="860" t="s">
        <v>3515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293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 x14ac:dyDescent="0.25">
      <c r="B3589" s="1088" t="s">
        <v>4205</v>
      </c>
      <c r="C3589" s="860" t="s">
        <v>3515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3588</v>
      </c>
      <c r="I3589" s="1295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 x14ac:dyDescent="0.25">
      <c r="B3590" s="1088" t="s">
        <v>4204</v>
      </c>
      <c r="C3590" s="860" t="s">
        <v>3515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3588</v>
      </c>
      <c r="I3590" s="1295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 x14ac:dyDescent="0.25">
      <c r="B3591" s="1088" t="s">
        <v>4203</v>
      </c>
      <c r="C3591" s="860" t="s">
        <v>3515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4" t="s">
        <v>3370</v>
      </c>
      <c r="I3591" s="1295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347" t="s">
        <v>3026</v>
      </c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 x14ac:dyDescent="0.25">
      <c r="B3592" s="1088" t="s">
        <v>4202</v>
      </c>
      <c r="C3592" s="860" t="s">
        <v>3515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4" t="s">
        <v>3370</v>
      </c>
      <c r="I3592" s="1295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347" t="s">
        <v>3026</v>
      </c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 x14ac:dyDescent="0.25">
      <c r="B3593" s="1088" t="s">
        <v>4201</v>
      </c>
      <c r="C3593" s="860" t="s">
        <v>3515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293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 x14ac:dyDescent="0.25">
      <c r="B3594" s="1088" t="s">
        <v>4200</v>
      </c>
      <c r="C3594" s="860" t="s">
        <v>3515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3297</v>
      </c>
      <c r="I3594" s="1295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 x14ac:dyDescent="0.25">
      <c r="B3595" s="1088" t="s">
        <v>4199</v>
      </c>
      <c r="C3595" s="860" t="s">
        <v>3515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3293</v>
      </c>
      <c r="I3595" s="1255" t="s">
        <v>4308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 x14ac:dyDescent="0.25">
      <c r="B3596" s="1088" t="s">
        <v>4198</v>
      </c>
      <c r="C3596" s="860" t="s">
        <v>3515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293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 x14ac:dyDescent="0.25">
      <c r="B3597" s="1088" t="s">
        <v>4197</v>
      </c>
      <c r="C3597" s="860" t="s">
        <v>3515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1648</v>
      </c>
      <c r="I3597" s="1295" t="s">
        <v>2919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 x14ac:dyDescent="0.25">
      <c r="B3598" s="1088" t="s">
        <v>4196</v>
      </c>
      <c r="C3598" s="860" t="s">
        <v>3515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3822</v>
      </c>
      <c r="I3598" s="1293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 x14ac:dyDescent="0.25">
      <c r="B3599" s="1088" t="s">
        <v>4195</v>
      </c>
      <c r="C3599" s="860" t="s">
        <v>3515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3822</v>
      </c>
      <c r="I3599" s="1293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 x14ac:dyDescent="0.25">
      <c r="B3600" s="1088" t="s">
        <v>4194</v>
      </c>
      <c r="C3600" s="860" t="s">
        <v>3515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1648</v>
      </c>
      <c r="I3600" s="1295" t="s">
        <v>2919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 x14ac:dyDescent="0.25">
      <c r="B3601" s="1088" t="s">
        <v>4193</v>
      </c>
      <c r="C3601" s="860" t="s">
        <v>3515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1648</v>
      </c>
      <c r="I3601" s="1295" t="s">
        <v>2919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 x14ac:dyDescent="0.25">
      <c r="B3602" s="1088" t="s">
        <v>4192</v>
      </c>
      <c r="C3602" s="860" t="s">
        <v>3515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3822</v>
      </c>
      <c r="I3602" s="1293" t="s">
        <v>4109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 x14ac:dyDescent="0.25">
      <c r="B3603" s="1094" t="s">
        <v>4221</v>
      </c>
      <c r="C3603" s="860" t="s">
        <v>3515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296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 x14ac:dyDescent="0.25">
      <c r="B3604" s="1094" t="s">
        <v>4220</v>
      </c>
      <c r="C3604" s="860" t="s">
        <v>3515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4" t="s">
        <v>3370</v>
      </c>
      <c r="I3604" s="1296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347" t="s">
        <v>4467</v>
      </c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 x14ac:dyDescent="0.25">
      <c r="B3605" s="1094" t="s">
        <v>4219</v>
      </c>
      <c r="C3605" s="860" t="s">
        <v>3515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3297</v>
      </c>
      <c r="I3605" s="1296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 x14ac:dyDescent="0.25">
      <c r="B3606" s="1094" t="s">
        <v>4218</v>
      </c>
      <c r="C3606" s="860" t="s">
        <v>3515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3822</v>
      </c>
      <c r="I3606" s="1293" t="s">
        <v>4109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 x14ac:dyDescent="0.25">
      <c r="B3607" s="1094" t="s">
        <v>4217</v>
      </c>
      <c r="C3607" s="860" t="s">
        <v>3515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3822</v>
      </c>
      <c r="I3607" s="1296" t="s">
        <v>4104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 x14ac:dyDescent="0.25">
      <c r="B3608" s="1099" t="s">
        <v>4224</v>
      </c>
      <c r="C3608" s="860" t="s">
        <v>3515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3822</v>
      </c>
      <c r="I3608" s="1297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 x14ac:dyDescent="0.25">
      <c r="B3609" s="1099" t="s">
        <v>4223</v>
      </c>
      <c r="C3609" s="860" t="s">
        <v>3515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3822</v>
      </c>
      <c r="I3609" s="1297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 x14ac:dyDescent="0.25">
      <c r="B3610" s="1099" t="s">
        <v>4222</v>
      </c>
      <c r="C3610" s="860" t="s">
        <v>3515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297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 x14ac:dyDescent="0.25">
      <c r="B3611" s="1104" t="s">
        <v>4230</v>
      </c>
      <c r="C3611" s="860" t="s">
        <v>3515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3293</v>
      </c>
      <c r="I3611" s="1255" t="s">
        <v>4308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 x14ac:dyDescent="0.25">
      <c r="B3612" s="1104" t="s">
        <v>4229</v>
      </c>
      <c r="C3612" s="860" t="s">
        <v>3515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297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 x14ac:dyDescent="0.25">
      <c r="B3613" s="1104" t="s">
        <v>4228</v>
      </c>
      <c r="C3613" s="860" t="s">
        <v>3515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3293</v>
      </c>
      <c r="I3613" s="1255" t="s">
        <v>4308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 x14ac:dyDescent="0.25">
      <c r="B3614" s="1104" t="s">
        <v>2940</v>
      </c>
      <c r="C3614" s="860" t="s">
        <v>3515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4" t="s">
        <v>3370</v>
      </c>
      <c r="I3614" s="1298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347" t="s">
        <v>1360</v>
      </c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 x14ac:dyDescent="0.25">
      <c r="B3615" s="1104" t="s">
        <v>4227</v>
      </c>
      <c r="C3615" s="860" t="s">
        <v>3515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4253</v>
      </c>
      <c r="I3615" s="1299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 x14ac:dyDescent="0.25">
      <c r="B3616" s="1104" t="s">
        <v>4226</v>
      </c>
      <c r="C3616" s="860" t="s">
        <v>3515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1648</v>
      </c>
      <c r="I3616" s="1298" t="s">
        <v>3296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 x14ac:dyDescent="0.25">
      <c r="B3617" s="1109" t="s">
        <v>4234</v>
      </c>
      <c r="C3617" s="860" t="s">
        <v>3515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4253</v>
      </c>
      <c r="I3617" s="1299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 x14ac:dyDescent="0.25">
      <c r="B3618" s="1109" t="s">
        <v>4233</v>
      </c>
      <c r="C3618" s="860" t="s">
        <v>3515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1648</v>
      </c>
      <c r="I3618" s="1300" t="s">
        <v>1739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 x14ac:dyDescent="0.25">
      <c r="B3619" s="1109" t="s">
        <v>4232</v>
      </c>
      <c r="C3619" s="860" t="s">
        <v>3515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4253</v>
      </c>
      <c r="I3619" s="1299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 x14ac:dyDescent="0.25">
      <c r="B3620" s="1114" t="s">
        <v>4251</v>
      </c>
      <c r="C3620" s="860" t="s">
        <v>3515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1648</v>
      </c>
      <c r="I3620" s="1301" t="s">
        <v>2277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 x14ac:dyDescent="0.25">
      <c r="B3621" s="1114" t="s">
        <v>4250</v>
      </c>
      <c r="C3621" s="860" t="s">
        <v>3515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4" t="s">
        <v>3370</v>
      </c>
      <c r="I3621" s="1298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347" t="s">
        <v>2409</v>
      </c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 x14ac:dyDescent="0.25">
      <c r="B3622" s="1114" t="s">
        <v>4249</v>
      </c>
      <c r="C3622" s="860" t="s">
        <v>3515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3822</v>
      </c>
      <c r="I3622" s="1301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 x14ac:dyDescent="0.25">
      <c r="B3623" s="1114" t="s">
        <v>4248</v>
      </c>
      <c r="C3623" s="860" t="s">
        <v>3515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3822</v>
      </c>
      <c r="I3623" s="1301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 x14ac:dyDescent="0.25">
      <c r="B3624" s="1114" t="s">
        <v>4247</v>
      </c>
      <c r="C3624" s="860" t="s">
        <v>3515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1648</v>
      </c>
      <c r="I3624" s="1301" t="s">
        <v>2277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 x14ac:dyDescent="0.25">
      <c r="B3625" s="1114" t="s">
        <v>4246</v>
      </c>
      <c r="C3625" s="860" t="s">
        <v>3515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01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 x14ac:dyDescent="0.25">
      <c r="B3626" s="1114" t="s">
        <v>4245</v>
      </c>
      <c r="C3626" s="860" t="s">
        <v>3515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01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 x14ac:dyDescent="0.25">
      <c r="B3627" s="1114" t="s">
        <v>4244</v>
      </c>
      <c r="C3627" s="860" t="s">
        <v>3515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4253</v>
      </c>
      <c r="I3627" s="1299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 x14ac:dyDescent="0.25">
      <c r="B3628" s="1114" t="s">
        <v>4243</v>
      </c>
      <c r="C3628" s="860" t="s">
        <v>3515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1648</v>
      </c>
      <c r="I3628" s="1301" t="s">
        <v>3296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 x14ac:dyDescent="0.25">
      <c r="B3629" s="1114" t="s">
        <v>4242</v>
      </c>
      <c r="C3629" s="860" t="s">
        <v>3515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3297</v>
      </c>
      <c r="I3629" s="1301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 x14ac:dyDescent="0.25">
      <c r="B3630" s="1114" t="s">
        <v>4241</v>
      </c>
      <c r="C3630" s="860" t="s">
        <v>3515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4253</v>
      </c>
      <c r="I3630" s="1299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 x14ac:dyDescent="0.25">
      <c r="B3631" s="1114" t="s">
        <v>4240</v>
      </c>
      <c r="C3631" s="860" t="s">
        <v>3515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3293</v>
      </c>
      <c r="I3631" s="1255" t="s">
        <v>4307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 x14ac:dyDescent="0.25">
      <c r="B3632" s="1114" t="s">
        <v>4239</v>
      </c>
      <c r="C3632" s="860" t="s">
        <v>3515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4253</v>
      </c>
      <c r="I3632" s="1299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 x14ac:dyDescent="0.25">
      <c r="B3633" s="1114" t="s">
        <v>4238</v>
      </c>
      <c r="C3633" s="860" t="s">
        <v>3515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3297</v>
      </c>
      <c r="I3633" s="1301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 x14ac:dyDescent="0.25">
      <c r="B3634" s="1114" t="s">
        <v>4237</v>
      </c>
      <c r="C3634" s="860" t="s">
        <v>3515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4" t="s">
        <v>3370</v>
      </c>
      <c r="I3634" s="1298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347" t="s">
        <v>3295</v>
      </c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 x14ac:dyDescent="0.25">
      <c r="B3635" s="1114" t="s">
        <v>4236</v>
      </c>
      <c r="C3635" s="860" t="s">
        <v>3515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4" t="s">
        <v>3370</v>
      </c>
      <c r="I3635" s="1298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347" t="s">
        <v>2069</v>
      </c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 x14ac:dyDescent="0.25">
      <c r="B3636" s="1114" t="s">
        <v>4235</v>
      </c>
      <c r="C3636" s="860" t="s">
        <v>3515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4253</v>
      </c>
      <c r="I3636" s="1299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 x14ac:dyDescent="0.25">
      <c r="B3637" s="1120" t="s">
        <v>4278</v>
      </c>
      <c r="C3637" s="860" t="s">
        <v>3515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1648</v>
      </c>
      <c r="I3637" s="1302" t="s">
        <v>2537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 x14ac:dyDescent="0.25">
      <c r="B3638" s="1120" t="s">
        <v>4277</v>
      </c>
      <c r="C3638" s="860" t="s">
        <v>3515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3293</v>
      </c>
      <c r="I3638" s="1255" t="s">
        <v>4307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 x14ac:dyDescent="0.25">
      <c r="B3639" s="1120" t="s">
        <v>4276</v>
      </c>
      <c r="C3639" s="860" t="s">
        <v>3515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1648</v>
      </c>
      <c r="I3639" s="1302" t="s">
        <v>2537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 x14ac:dyDescent="0.25">
      <c r="B3640" s="1120" t="s">
        <v>4275</v>
      </c>
      <c r="C3640" s="860" t="s">
        <v>3515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3297</v>
      </c>
      <c r="I3640" s="1302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 x14ac:dyDescent="0.25">
      <c r="B3641" s="1120" t="s">
        <v>4274</v>
      </c>
      <c r="C3641" s="860" t="s">
        <v>3515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1648</v>
      </c>
      <c r="I3641" s="1302" t="s">
        <v>1739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 x14ac:dyDescent="0.25">
      <c r="B3642" s="1120" t="s">
        <v>4273</v>
      </c>
      <c r="C3642" s="860" t="s">
        <v>3515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3297</v>
      </c>
      <c r="I3642" s="1302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 x14ac:dyDescent="0.25">
      <c r="B3643" s="1120" t="s">
        <v>4272</v>
      </c>
      <c r="C3643" s="860" t="s">
        <v>3515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02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347" t="s">
        <v>2011</v>
      </c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 x14ac:dyDescent="0.25">
      <c r="B3644" s="1120" t="s">
        <v>4271</v>
      </c>
      <c r="C3644" s="860" t="s">
        <v>3515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3822</v>
      </c>
      <c r="I3644" s="1302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 x14ac:dyDescent="0.25">
      <c r="B3645" s="1120" t="s">
        <v>4270</v>
      </c>
      <c r="C3645" s="860" t="s">
        <v>3515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3293</v>
      </c>
      <c r="I3645" s="1255" t="s">
        <v>4308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 x14ac:dyDescent="0.25">
      <c r="B3646" s="1120" t="s">
        <v>4269</v>
      </c>
      <c r="C3646" s="860" t="s">
        <v>3515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1648</v>
      </c>
      <c r="I3646" s="1302" t="s">
        <v>2919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 x14ac:dyDescent="0.25">
      <c r="B3647" s="1120" t="s">
        <v>4268</v>
      </c>
      <c r="C3647" s="860" t="s">
        <v>3515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4253</v>
      </c>
      <c r="I3647" s="1299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 x14ac:dyDescent="0.25">
      <c r="B3648" s="1120" t="s">
        <v>4267</v>
      </c>
      <c r="C3648" s="860" t="s">
        <v>3515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3293</v>
      </c>
      <c r="I3648" s="1255" t="s">
        <v>4308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 x14ac:dyDescent="0.25">
      <c r="B3649" s="1120" t="s">
        <v>4266</v>
      </c>
      <c r="C3649" s="860" t="s">
        <v>3515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4253</v>
      </c>
      <c r="I3649" s="1299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 x14ac:dyDescent="0.25">
      <c r="B3650" s="1120" t="s">
        <v>4265</v>
      </c>
      <c r="C3650" s="860" t="s">
        <v>3515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3293</v>
      </c>
      <c r="I3650" s="1255" t="s">
        <v>4307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 x14ac:dyDescent="0.25">
      <c r="B3651" s="1120" t="s">
        <v>4264</v>
      </c>
      <c r="C3651" s="860" t="s">
        <v>3515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1648</v>
      </c>
      <c r="I3651" s="1302" t="s">
        <v>3296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 x14ac:dyDescent="0.25">
      <c r="B3652" s="1120" t="s">
        <v>4263</v>
      </c>
      <c r="C3652" s="860" t="s">
        <v>3515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1648</v>
      </c>
      <c r="I3652" s="1302" t="s">
        <v>1739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 x14ac:dyDescent="0.25">
      <c r="B3653" s="1120" t="s">
        <v>4262</v>
      </c>
      <c r="C3653" s="860" t="s">
        <v>3515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02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 x14ac:dyDescent="0.25">
      <c r="B3654" s="1120" t="s">
        <v>4261</v>
      </c>
      <c r="C3654" s="860" t="s">
        <v>3515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4253</v>
      </c>
      <c r="I3654" s="1299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 x14ac:dyDescent="0.25">
      <c r="B3655" s="1120" t="s">
        <v>4260</v>
      </c>
      <c r="C3655" s="860" t="s">
        <v>3515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4253</v>
      </c>
      <c r="I3655" s="1299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 x14ac:dyDescent="0.25">
      <c r="B3656" s="1120" t="s">
        <v>4259</v>
      </c>
      <c r="C3656" s="860" t="s">
        <v>3515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3822</v>
      </c>
      <c r="I3656" s="1302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 x14ac:dyDescent="0.25">
      <c r="B3657" s="1120" t="s">
        <v>4258</v>
      </c>
      <c r="C3657" s="860" t="s">
        <v>3515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1648</v>
      </c>
      <c r="I3657" s="1302" t="s">
        <v>3296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 x14ac:dyDescent="0.25">
      <c r="B3658" s="1120" t="s">
        <v>4257</v>
      </c>
      <c r="C3658" s="860" t="s">
        <v>3515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3234</v>
      </c>
      <c r="I3658" s="1302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 x14ac:dyDescent="0.25">
      <c r="B3659" s="1120" t="s">
        <v>4256</v>
      </c>
      <c r="C3659" s="860" t="s">
        <v>3515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4253</v>
      </c>
      <c r="I3659" s="1299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 x14ac:dyDescent="0.25">
      <c r="B3660" s="1120" t="s">
        <v>4255</v>
      </c>
      <c r="C3660" s="860" t="s">
        <v>3515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1648</v>
      </c>
      <c r="I3660" s="1302" t="s">
        <v>2919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 x14ac:dyDescent="0.25">
      <c r="B3661" s="1120" t="s">
        <v>4254</v>
      </c>
      <c r="C3661" s="860" t="s">
        <v>3515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4253</v>
      </c>
      <c r="I3661" s="1299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 x14ac:dyDescent="0.25">
      <c r="B3662" s="1125" t="s">
        <v>4306</v>
      </c>
      <c r="C3662" s="860" t="s">
        <v>3515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1648</v>
      </c>
      <c r="I3662" s="1255" t="s">
        <v>3296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 x14ac:dyDescent="0.25">
      <c r="B3663" s="1125" t="s">
        <v>4305</v>
      </c>
      <c r="C3663" s="860" t="s">
        <v>3515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4253</v>
      </c>
      <c r="I3663" s="1299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 x14ac:dyDescent="0.25">
      <c r="B3664" s="1125" t="s">
        <v>4304</v>
      </c>
      <c r="C3664" s="860" t="s">
        <v>3515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3297</v>
      </c>
      <c r="I3664" s="1255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 x14ac:dyDescent="0.25">
      <c r="B3665" s="1125" t="s">
        <v>4303</v>
      </c>
      <c r="C3665" s="860" t="s">
        <v>3515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3822</v>
      </c>
      <c r="I3665" s="1255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 x14ac:dyDescent="0.25">
      <c r="B3666" s="1125" t="s">
        <v>4302</v>
      </c>
      <c r="C3666" s="860" t="s">
        <v>3515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4253</v>
      </c>
      <c r="I3666" s="1299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 x14ac:dyDescent="0.25">
      <c r="B3667" s="1125" t="s">
        <v>4301</v>
      </c>
      <c r="C3667" s="860" t="s">
        <v>3515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55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 x14ac:dyDescent="0.25">
      <c r="B3668" s="1125" t="s">
        <v>4300</v>
      </c>
      <c r="C3668" s="860" t="s">
        <v>3515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3293</v>
      </c>
      <c r="I3668" s="1255" t="s">
        <v>4307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 x14ac:dyDescent="0.25">
      <c r="B3669" s="1125" t="s">
        <v>4299</v>
      </c>
      <c r="C3669" s="860" t="s">
        <v>3515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3234</v>
      </c>
      <c r="I3669" s="1255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 x14ac:dyDescent="0.25">
      <c r="B3670" s="1125" t="s">
        <v>4298</v>
      </c>
      <c r="C3670" s="860" t="s">
        <v>3515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55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347" t="s">
        <v>2409</v>
      </c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 x14ac:dyDescent="0.25">
      <c r="B3671" s="1125" t="s">
        <v>4298</v>
      </c>
      <c r="C3671" s="1125" t="s">
        <v>3514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3293</v>
      </c>
      <c r="I3671" s="1255" t="s">
        <v>4307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 x14ac:dyDescent="0.25">
      <c r="B3672" s="1125" t="s">
        <v>4297</v>
      </c>
      <c r="C3672" s="860" t="s">
        <v>3515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3297</v>
      </c>
      <c r="I3672" s="1255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 x14ac:dyDescent="0.25">
      <c r="B3673" s="1125" t="s">
        <v>4296</v>
      </c>
      <c r="C3673" s="860" t="s">
        <v>3515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4" t="s">
        <v>3370</v>
      </c>
      <c r="I3673" s="1255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347" t="s">
        <v>3026</v>
      </c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 x14ac:dyDescent="0.25">
      <c r="B3674" s="1125" t="s">
        <v>4295</v>
      </c>
      <c r="C3674" s="860" t="s">
        <v>3515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3293</v>
      </c>
      <c r="I3674" s="1255" t="s">
        <v>4307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 x14ac:dyDescent="0.25">
      <c r="B3675" s="1125" t="s">
        <v>4294</v>
      </c>
      <c r="C3675" s="860" t="s">
        <v>3515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1648</v>
      </c>
      <c r="I3675" s="1255" t="s">
        <v>1739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 x14ac:dyDescent="0.25">
      <c r="B3676" s="1125" t="s">
        <v>4293</v>
      </c>
      <c r="C3676" s="860" t="s">
        <v>3515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4253</v>
      </c>
      <c r="I3676" s="1299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 x14ac:dyDescent="0.25">
      <c r="B3677" s="1125" t="s">
        <v>4292</v>
      </c>
      <c r="C3677" s="860" t="s">
        <v>3515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3297</v>
      </c>
      <c r="I3677" s="1255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 x14ac:dyDescent="0.25">
      <c r="B3678" s="1125" t="s">
        <v>4291</v>
      </c>
      <c r="C3678" s="860" t="s">
        <v>3515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4" t="s">
        <v>3370</v>
      </c>
      <c r="I3678" s="1255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347" t="s">
        <v>3637</v>
      </c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 x14ac:dyDescent="0.25">
      <c r="B3679" s="1125" t="s">
        <v>4290</v>
      </c>
      <c r="C3679" s="860" t="s">
        <v>3515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4253</v>
      </c>
      <c r="I3679" s="1299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 x14ac:dyDescent="0.25">
      <c r="B3680" s="1125" t="s">
        <v>4289</v>
      </c>
      <c r="C3680" s="860" t="s">
        <v>3515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4253</v>
      </c>
      <c r="I3680" s="1299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 x14ac:dyDescent="0.25">
      <c r="B3681" s="1125" t="s">
        <v>4288</v>
      </c>
      <c r="C3681" s="860" t="s">
        <v>3515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55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347" t="s">
        <v>1360</v>
      </c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 x14ac:dyDescent="0.25">
      <c r="B3682" s="1125" t="s">
        <v>4287</v>
      </c>
      <c r="C3682" s="860" t="s">
        <v>3515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4253</v>
      </c>
      <c r="I3682" s="1299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 x14ac:dyDescent="0.25">
      <c r="B3683" s="1125" t="s">
        <v>4286</v>
      </c>
      <c r="C3683" s="860" t="s">
        <v>3515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3297</v>
      </c>
      <c r="I3683" s="1255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 x14ac:dyDescent="0.25">
      <c r="B3684" s="1125" t="s">
        <v>4285</v>
      </c>
      <c r="C3684" s="860" t="s">
        <v>3515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4253</v>
      </c>
      <c r="I3684" s="1299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 x14ac:dyDescent="0.25">
      <c r="B3685" s="1125" t="s">
        <v>4284</v>
      </c>
      <c r="C3685" s="860" t="s">
        <v>3515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3822</v>
      </c>
      <c r="I3685" s="1255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 x14ac:dyDescent="0.25">
      <c r="B3686" s="1125" t="s">
        <v>4283</v>
      </c>
      <c r="C3686" s="860" t="s">
        <v>3515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3293</v>
      </c>
      <c r="I3686" s="1255" t="s">
        <v>4307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 x14ac:dyDescent="0.25">
      <c r="B3687" s="1125" t="s">
        <v>4282</v>
      </c>
      <c r="C3687" s="860" t="s">
        <v>3515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1648</v>
      </c>
      <c r="I3687" s="1255" t="s">
        <v>1739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 x14ac:dyDescent="0.25">
      <c r="B3688" s="1125" t="s">
        <v>4281</v>
      </c>
      <c r="C3688" s="860" t="s">
        <v>3515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4" t="s">
        <v>3370</v>
      </c>
      <c r="I3688" s="1255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347" t="s">
        <v>1360</v>
      </c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 x14ac:dyDescent="0.25">
      <c r="B3689" s="1125" t="s">
        <v>4280</v>
      </c>
      <c r="C3689" s="860" t="s">
        <v>3515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4253</v>
      </c>
      <c r="I3689" s="1299" t="s">
        <v>3586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 x14ac:dyDescent="0.25">
      <c r="B3690" s="1125" t="s">
        <v>4279</v>
      </c>
      <c r="C3690" s="860" t="s">
        <v>3515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1648</v>
      </c>
      <c r="I3690" s="1255" t="s">
        <v>2277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 x14ac:dyDescent="0.25">
      <c r="B3691" s="1132" t="s">
        <v>4319</v>
      </c>
      <c r="C3691" s="860" t="s">
        <v>3515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03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 x14ac:dyDescent="0.25">
      <c r="B3692" s="1132" t="s">
        <v>4318</v>
      </c>
      <c r="C3692" s="860" t="s">
        <v>3515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03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 x14ac:dyDescent="0.25">
      <c r="B3693" s="1132" t="s">
        <v>4317</v>
      </c>
      <c r="C3693" s="860" t="s">
        <v>3515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1648</v>
      </c>
      <c r="I3693" s="1303" t="s">
        <v>1739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 x14ac:dyDescent="0.25">
      <c r="B3694" s="1132" t="s">
        <v>4316</v>
      </c>
      <c r="C3694" s="860" t="s">
        <v>3515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3297</v>
      </c>
      <c r="I3694" s="1303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 x14ac:dyDescent="0.25">
      <c r="B3695" s="1132" t="s">
        <v>4315</v>
      </c>
      <c r="C3695" s="860" t="s">
        <v>3515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1648</v>
      </c>
      <c r="I3695" s="1303" t="s">
        <v>1739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 x14ac:dyDescent="0.25">
      <c r="B3696" s="1132" t="s">
        <v>4314</v>
      </c>
      <c r="C3696" s="860" t="s">
        <v>3515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4" t="s">
        <v>3370</v>
      </c>
      <c r="I3696" s="1303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347" t="s">
        <v>4467</v>
      </c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 x14ac:dyDescent="0.25">
      <c r="B3697" s="1132" t="s">
        <v>4314</v>
      </c>
      <c r="C3697" s="1125" t="s">
        <v>3514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4320</v>
      </c>
      <c r="I3697" s="1304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 x14ac:dyDescent="0.25">
      <c r="B3698" s="1132" t="s">
        <v>4313</v>
      </c>
      <c r="C3698" s="860" t="s">
        <v>3515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1648</v>
      </c>
      <c r="I3698" s="1303" t="s">
        <v>2919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 x14ac:dyDescent="0.25">
      <c r="B3699" s="1132" t="s">
        <v>4312</v>
      </c>
      <c r="C3699" s="860" t="s">
        <v>3515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4253</v>
      </c>
      <c r="I3699" s="1299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 x14ac:dyDescent="0.25">
      <c r="B3700" s="1132" t="s">
        <v>4311</v>
      </c>
      <c r="C3700" s="860" t="s">
        <v>3515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4253</v>
      </c>
      <c r="I3700" s="1299" t="s">
        <v>3217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 x14ac:dyDescent="0.25">
      <c r="B3701" s="1132" t="s">
        <v>4310</v>
      </c>
      <c r="C3701" s="860" t="s">
        <v>3515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1648</v>
      </c>
      <c r="I3701" s="1303" t="s">
        <v>1739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 x14ac:dyDescent="0.25">
      <c r="B3702" s="1132" t="s">
        <v>4309</v>
      </c>
      <c r="C3702" s="860" t="s">
        <v>3515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1648</v>
      </c>
      <c r="I3702" s="1303" t="s">
        <v>3296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 x14ac:dyDescent="0.25">
      <c r="B3703" s="1139" t="s">
        <v>4324</v>
      </c>
      <c r="C3703" s="860" t="s">
        <v>3515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05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 x14ac:dyDescent="0.25">
      <c r="B3704" s="1139" t="s">
        <v>4323</v>
      </c>
      <c r="C3704" s="860" t="s">
        <v>3515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1648</v>
      </c>
      <c r="I3704" s="1305" t="s">
        <v>2919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 x14ac:dyDescent="0.25">
      <c r="B3705" s="1139" t="s">
        <v>4322</v>
      </c>
      <c r="C3705" s="860" t="s">
        <v>3515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1648</v>
      </c>
      <c r="I3705" s="1305" t="s">
        <v>1739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 x14ac:dyDescent="0.25">
      <c r="B3706" s="1145" t="s">
        <v>4328</v>
      </c>
      <c r="C3706" s="860" t="s">
        <v>3515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1648</v>
      </c>
      <c r="I3706" s="1305" t="s">
        <v>2919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 x14ac:dyDescent="0.25">
      <c r="B3707" s="1145" t="s">
        <v>4327</v>
      </c>
      <c r="C3707" s="860" t="s">
        <v>3515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1648</v>
      </c>
      <c r="I3707" s="1305" t="s">
        <v>1739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 x14ac:dyDescent="0.25">
      <c r="B3708" s="1145" t="s">
        <v>4326</v>
      </c>
      <c r="C3708" s="860" t="s">
        <v>3515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1648</v>
      </c>
      <c r="I3708" s="1305" t="s">
        <v>2919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 x14ac:dyDescent="0.25">
      <c r="B3709" s="1145" t="s">
        <v>4325</v>
      </c>
      <c r="C3709" s="860" t="s">
        <v>3515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1648</v>
      </c>
      <c r="I3709" s="1305" t="s">
        <v>1739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 x14ac:dyDescent="0.25">
      <c r="B3710" s="1151" t="s">
        <v>4340</v>
      </c>
      <c r="C3710" s="860" t="s">
        <v>3515</v>
      </c>
      <c r="D3710" s="1152">
        <v>46248.4374537037</v>
      </c>
      <c r="E3710" s="1153">
        <v>7.69</v>
      </c>
      <c r="F3710" s="584">
        <v>4.4999999999999998E-2</v>
      </c>
      <c r="G3710" s="1154">
        <f t="shared" ref="G3710:G3721" si="125">IF(E3710&gt;0,E3710/(1-F3710),E3710)</f>
        <v>8.0523560209424083</v>
      </c>
      <c r="H3710" s="1154" t="s">
        <v>3297</v>
      </c>
      <c r="I3710" s="1306" t="s">
        <v>626</v>
      </c>
      <c r="J3710" s="1154">
        <v>60</v>
      </c>
      <c r="K3710" s="1154">
        <v>474.95</v>
      </c>
      <c r="L3710" s="1152">
        <f>INT(base[[#This Row],[Data de liquidação]])</f>
        <v>46248</v>
      </c>
      <c r="M3710" s="1154">
        <f>base[[#This Row],[L/P Bruto]]-base[[#This Row],[L/P Líquido]]</f>
        <v>0.36235602094240793</v>
      </c>
      <c r="N3710" s="1154">
        <f>base[[#This Row],[L/P Líquido]]/base[[#This Row],[Stake/Responsabilidade]]</f>
        <v>1.6191178018738817E-2</v>
      </c>
      <c r="O3710" s="1155">
        <f>IF(base[[#This Row],[L/P Líquido]]&gt;0,1,0)</f>
        <v>1</v>
      </c>
      <c r="P3710" s="1155"/>
      <c r="Q3710" s="1155" t="str">
        <f>LEFT(base[[#This Row],[Evento / Mercado]],FIND("vs",base[[#This Row],[Evento / Mercado]])-2)</f>
        <v>Shandong Taishan</v>
      </c>
      <c r="R371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5" t="str">
        <f>LEFT(base[[#This Row],[Evento / Mercado]],FIND("/",base[[#This Row],[Evento / Mercado]])-2)</f>
        <v>Shandong Taishan vs Qingdao Hainiu</v>
      </c>
      <c r="T3710" s="1156">
        <f>base[[#This Row],[Data de liquidação]]</f>
        <v>46248.4374537037</v>
      </c>
    </row>
    <row r="3711" spans="2:20" ht="15" customHeight="1" x14ac:dyDescent="0.25">
      <c r="B3711" s="1151" t="s">
        <v>4339</v>
      </c>
      <c r="C3711" s="860" t="s">
        <v>3515</v>
      </c>
      <c r="D3711" s="1152">
        <v>46248.437638888892</v>
      </c>
      <c r="E3711" s="1153">
        <v>42.5</v>
      </c>
      <c r="F3711" s="584">
        <v>4.4999999999999998E-2</v>
      </c>
      <c r="G3711" s="1154">
        <f t="shared" si="125"/>
        <v>44.502617801047123</v>
      </c>
      <c r="H3711" s="1164" t="s">
        <v>3370</v>
      </c>
      <c r="I3711" s="1306" t="s">
        <v>391</v>
      </c>
      <c r="J3711" s="1154">
        <v>11</v>
      </c>
      <c r="K3711" s="1154">
        <v>445</v>
      </c>
      <c r="L3711" s="1152">
        <f>INT(base[[#This Row],[Data de liquidação]])</f>
        <v>46248</v>
      </c>
      <c r="M3711" s="1154">
        <f>base[[#This Row],[L/P Bruto]]-base[[#This Row],[L/P Líquido]]</f>
        <v>2.0026178010471227</v>
      </c>
      <c r="N3711" s="1154">
        <f>base[[#This Row],[L/P Líquido]]/base[[#This Row],[Stake/Responsabilidade]]</f>
        <v>9.5505617977528087E-2</v>
      </c>
      <c r="O3711" s="1155">
        <f>IF(base[[#This Row],[L/P Líquido]]&gt;0,1,0)</f>
        <v>1</v>
      </c>
      <c r="P3711" s="1347" t="s">
        <v>4469</v>
      </c>
      <c r="Q3711" s="1155" t="str">
        <f>LEFT(base[[#This Row],[Evento / Mercado]],FIND("vs",base[[#This Row],[Evento / Mercado]])-2)</f>
        <v>Shandong Taishan</v>
      </c>
      <c r="R371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5" t="str">
        <f>LEFT(base[[#This Row],[Evento / Mercado]],FIND("/",base[[#This Row],[Evento / Mercado]])-2)</f>
        <v>Shandong Taishan vs Qingdao Hainiu</v>
      </c>
      <c r="T3711" s="1156">
        <f>base[[#This Row],[Data de liquidação]]</f>
        <v>46248.437638888892</v>
      </c>
    </row>
    <row r="3712" spans="2:20" ht="15" customHeight="1" x14ac:dyDescent="0.25">
      <c r="B3712" s="1151" t="s">
        <v>4338</v>
      </c>
      <c r="C3712" s="860" t="s">
        <v>3515</v>
      </c>
      <c r="D3712" s="1152">
        <v>46248.453159722223</v>
      </c>
      <c r="E3712" s="1153">
        <v>-20</v>
      </c>
      <c r="F3712" s="584">
        <v>4.4999999999999998E-2</v>
      </c>
      <c r="G3712" s="1154">
        <f t="shared" si="125"/>
        <v>-20</v>
      </c>
      <c r="H3712" s="1154" t="s">
        <v>1648</v>
      </c>
      <c r="I3712" s="1306" t="s">
        <v>2277</v>
      </c>
      <c r="J3712" s="1154">
        <v>1.54</v>
      </c>
      <c r="K3712" s="1154">
        <v>20</v>
      </c>
      <c r="L3712" s="1152">
        <f>INT(base[[#This Row],[Data de liquidação]])</f>
        <v>46248</v>
      </c>
      <c r="M3712" s="1154">
        <f>base[[#This Row],[L/P Bruto]]-base[[#This Row],[L/P Líquido]]</f>
        <v>0</v>
      </c>
      <c r="N3712" s="1154">
        <f>base[[#This Row],[L/P Líquido]]/base[[#This Row],[Stake/Responsabilidade]]</f>
        <v>-1</v>
      </c>
      <c r="O3712" s="1155">
        <f>IF(base[[#This Row],[L/P Líquido]]&gt;0,1,0)</f>
        <v>0</v>
      </c>
      <c r="P3712" s="1155"/>
      <c r="Q3712" s="1155" t="str">
        <f>LEFT(base[[#This Row],[Evento / Mercado]],FIND("vs",base[[#This Row],[Evento / Mercado]])-2)</f>
        <v>Qingdao West Coast</v>
      </c>
      <c r="R3712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5" t="str">
        <f>LEFT(base[[#This Row],[Evento / Mercado]],FIND("/",base[[#This Row],[Evento / Mercado]])-2)</f>
        <v>Qingdao West Coast vs Chongqing Tonglianglong</v>
      </c>
      <c r="T3712" s="1156">
        <f>base[[#This Row],[Data de liquidação]]</f>
        <v>46248.453159722223</v>
      </c>
    </row>
    <row r="3713" spans="2:20" ht="15" customHeight="1" x14ac:dyDescent="0.25">
      <c r="B3713" s="1151" t="s">
        <v>4338</v>
      </c>
      <c r="C3713" s="860" t="s">
        <v>3515</v>
      </c>
      <c r="D3713" s="1152">
        <v>46248.453159722223</v>
      </c>
      <c r="E3713" s="1153">
        <v>-20</v>
      </c>
      <c r="F3713" s="584">
        <v>4.4999999999999998E-2</v>
      </c>
      <c r="G3713" s="1154">
        <f t="shared" ref="G3713" si="126">IF(E3713&gt;0,E3713/(1-F3713),E3713)</f>
        <v>-20</v>
      </c>
      <c r="H3713" s="1154" t="s">
        <v>4253</v>
      </c>
      <c r="I3713" s="1299" t="s">
        <v>75</v>
      </c>
      <c r="J3713" s="1154">
        <v>1.4</v>
      </c>
      <c r="K3713" s="1154">
        <v>20</v>
      </c>
      <c r="L3713" s="1152">
        <f>INT(base[[#This Row],[Data de liquidação]])</f>
        <v>46248</v>
      </c>
      <c r="M3713" s="1154">
        <f>base[[#This Row],[L/P Bruto]]-base[[#This Row],[L/P Líquido]]</f>
        <v>0</v>
      </c>
      <c r="N3713" s="1154">
        <f>base[[#This Row],[L/P Líquido]]/base[[#This Row],[Stake/Responsabilidade]]</f>
        <v>-1</v>
      </c>
      <c r="O3713" s="1155">
        <f>IF(base[[#This Row],[L/P Líquido]]&gt;0,1,0)</f>
        <v>0</v>
      </c>
      <c r="P3713" s="1155"/>
      <c r="Q3713" s="1155" t="str">
        <f>LEFT(base[[#This Row],[Evento / Mercado]],FIND("vs",base[[#This Row],[Evento / Mercado]])-2)</f>
        <v>Qingdao West Coast</v>
      </c>
      <c r="R3713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5" t="str">
        <f>LEFT(base[[#This Row],[Evento / Mercado]],FIND("/",base[[#This Row],[Evento / Mercado]])-2)</f>
        <v>Qingdao West Coast vs Chongqing Tonglianglong</v>
      </c>
      <c r="T3713" s="1156">
        <f>base[[#This Row],[Data de liquidação]]</f>
        <v>46248.453159722223</v>
      </c>
    </row>
    <row r="3714" spans="2:20" ht="15" customHeight="1" x14ac:dyDescent="0.25">
      <c r="B3714" s="1151" t="s">
        <v>4337</v>
      </c>
      <c r="C3714" s="860" t="s">
        <v>3515</v>
      </c>
      <c r="D3714" s="1152">
        <v>46248.580231481479</v>
      </c>
      <c r="E3714" s="1153">
        <v>21.83</v>
      </c>
      <c r="F3714" s="584">
        <v>4.4999999999999998E-2</v>
      </c>
      <c r="G3714" s="1154">
        <f t="shared" si="125"/>
        <v>22.858638743455497</v>
      </c>
      <c r="H3714" s="1154" t="s">
        <v>3234</v>
      </c>
      <c r="I3714" s="1306" t="s">
        <v>626</v>
      </c>
      <c r="J3714" s="1154">
        <v>18.5</v>
      </c>
      <c r="K3714" s="1154">
        <v>400.05</v>
      </c>
      <c r="L3714" s="1152">
        <f>INT(base[[#This Row],[Data de liquidação]])</f>
        <v>46248</v>
      </c>
      <c r="M3714" s="1154">
        <f>base[[#This Row],[L/P Bruto]]-base[[#This Row],[L/P Líquido]]</f>
        <v>1.0286387434554989</v>
      </c>
      <c r="N3714" s="1154">
        <f>base[[#This Row],[L/P Líquido]]/base[[#This Row],[Stake/Responsabilidade]]</f>
        <v>5.4568178977627793E-2</v>
      </c>
      <c r="O3714" s="1155">
        <f>IF(base[[#This Row],[L/P Líquido]]&gt;0,1,0)</f>
        <v>1</v>
      </c>
      <c r="P3714" s="1155"/>
      <c r="Q3714" s="1155" t="str">
        <f>LEFT(base[[#This Row],[Evento / Mercado]],FIND("vs",base[[#This Row],[Evento / Mercado]])-2)</f>
        <v>VPS</v>
      </c>
      <c r="R3714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5" t="str">
        <f>LEFT(base[[#This Row],[Evento / Mercado]],FIND("/",base[[#This Row],[Evento / Mercado]])-2)</f>
        <v>VPS vs TPS</v>
      </c>
      <c r="T3714" s="1156">
        <f>base[[#This Row],[Data de liquidação]]</f>
        <v>46248.580231481479</v>
      </c>
    </row>
    <row r="3715" spans="2:20" ht="15" customHeight="1" x14ac:dyDescent="0.25">
      <c r="B3715" s="1151" t="s">
        <v>4336</v>
      </c>
      <c r="C3715" s="860" t="s">
        <v>3515</v>
      </c>
      <c r="D3715" s="1152">
        <v>46248.603888888887</v>
      </c>
      <c r="E3715" s="1153">
        <v>-119.98</v>
      </c>
      <c r="F3715" s="584">
        <v>4.4999999999999998E-2</v>
      </c>
      <c r="G3715" s="1154">
        <f t="shared" si="125"/>
        <v>-119.98</v>
      </c>
      <c r="H3715" s="1135" t="s">
        <v>1648</v>
      </c>
      <c r="I3715" s="1303" t="s">
        <v>1739</v>
      </c>
      <c r="J3715" s="1154">
        <v>15</v>
      </c>
      <c r="K3715" s="1154">
        <v>119.98</v>
      </c>
      <c r="L3715" s="1152">
        <f>INT(base[[#This Row],[Data de liquidação]])</f>
        <v>46248</v>
      </c>
      <c r="M3715" s="1154">
        <f>base[[#This Row],[L/P Bruto]]-base[[#This Row],[L/P Líquido]]</f>
        <v>0</v>
      </c>
      <c r="N3715" s="1154">
        <f>base[[#This Row],[L/P Líquido]]/base[[#This Row],[Stake/Responsabilidade]]</f>
        <v>-1</v>
      </c>
      <c r="O3715" s="1155">
        <f>IF(base[[#This Row],[L/P Líquido]]&gt;0,1,0)</f>
        <v>0</v>
      </c>
      <c r="P3715" s="1155"/>
      <c r="Q3715" s="1155" t="str">
        <f>LEFT(base[[#This Row],[Evento / Mercado]],FIND("vs",base[[#This Row],[Evento / Mercado]])-2)</f>
        <v>Kispest Honved</v>
      </c>
      <c r="R3715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5" t="str">
        <f>LEFT(base[[#This Row],[Evento / Mercado]],FIND("/",base[[#This Row],[Evento / Mercado]])-2)</f>
        <v>Kispest Honved vs Vasas SC</v>
      </c>
      <c r="T3715" s="1156">
        <f>base[[#This Row],[Data de liquidação]]</f>
        <v>46248.603888888887</v>
      </c>
    </row>
    <row r="3716" spans="2:20" ht="15" customHeight="1" x14ac:dyDescent="0.25">
      <c r="B3716" s="1151" t="s">
        <v>4335</v>
      </c>
      <c r="C3716" s="860" t="s">
        <v>3515</v>
      </c>
      <c r="D3716" s="1152">
        <v>46248.619305555556</v>
      </c>
      <c r="E3716" s="1153">
        <v>74.489999999999995</v>
      </c>
      <c r="F3716" s="584">
        <v>4.4999999999999998E-2</v>
      </c>
      <c r="G3716" s="1154">
        <f t="shared" si="125"/>
        <v>78</v>
      </c>
      <c r="H3716" s="1154" t="s">
        <v>314</v>
      </c>
      <c r="I3716" s="1306" t="s">
        <v>349</v>
      </c>
      <c r="J3716" s="1154">
        <v>1.65</v>
      </c>
      <c r="K3716" s="1154">
        <v>120</v>
      </c>
      <c r="L3716" s="1152">
        <f>INT(base[[#This Row],[Data de liquidação]])</f>
        <v>46248</v>
      </c>
      <c r="M3716" s="1154">
        <f>base[[#This Row],[L/P Bruto]]-base[[#This Row],[L/P Líquido]]</f>
        <v>3.5100000000000051</v>
      </c>
      <c r="N3716" s="1154">
        <f>base[[#This Row],[L/P Líquido]]/base[[#This Row],[Stake/Responsabilidade]]</f>
        <v>0.62074999999999991</v>
      </c>
      <c r="O3716" s="1155">
        <f>IF(base[[#This Row],[L/P Líquido]]&gt;0,1,0)</f>
        <v>1</v>
      </c>
      <c r="P3716" s="1155"/>
      <c r="Q3716" s="1155" t="str">
        <f>LEFT(base[[#This Row],[Evento / Mercado]],FIND("vs",base[[#This Row],[Evento / Mercado]])-2)</f>
        <v>Holstein Kiel</v>
      </c>
      <c r="R3716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5" t="str">
        <f>LEFT(base[[#This Row],[Evento / Mercado]],FIND("/",base[[#This Row],[Evento / Mercado]])-2)</f>
        <v>Holstein Kiel vs FC St. Pauli</v>
      </c>
      <c r="T3716" s="1156">
        <f>base[[#This Row],[Data de liquidação]]</f>
        <v>46248.619305555556</v>
      </c>
    </row>
    <row r="3717" spans="2:20" ht="15" customHeight="1" x14ac:dyDescent="0.25">
      <c r="B3717" s="1151" t="s">
        <v>4334</v>
      </c>
      <c r="C3717" s="860" t="s">
        <v>3515</v>
      </c>
      <c r="D3717" s="1152">
        <v>46248.662523148145</v>
      </c>
      <c r="E3717" s="1153">
        <v>28.77</v>
      </c>
      <c r="F3717" s="584">
        <v>4.4999999999999998E-2</v>
      </c>
      <c r="G3717" s="1154">
        <f t="shared" si="125"/>
        <v>30.125654450261781</v>
      </c>
      <c r="H3717" s="1154" t="s">
        <v>74</v>
      </c>
      <c r="I3717" s="1306" t="s">
        <v>692</v>
      </c>
      <c r="J3717" s="1154">
        <v>18.5</v>
      </c>
      <c r="K3717" s="1154">
        <v>527.21</v>
      </c>
      <c r="L3717" s="1152">
        <f>INT(base[[#This Row],[Data de liquidação]])</f>
        <v>46248</v>
      </c>
      <c r="M3717" s="1154">
        <f>base[[#This Row],[L/P Bruto]]-base[[#This Row],[L/P Líquido]]</f>
        <v>1.3556544502617811</v>
      </c>
      <c r="N3717" s="1154">
        <f>base[[#This Row],[L/P Líquido]]/base[[#This Row],[Stake/Responsabilidade]]</f>
        <v>5.4570285085639492E-2</v>
      </c>
      <c r="O3717" s="1155">
        <f>IF(base[[#This Row],[L/P Líquido]]&gt;0,1,0)</f>
        <v>1</v>
      </c>
      <c r="P3717" s="1155"/>
      <c r="Q3717" s="1155" t="str">
        <f>LEFT(base[[#This Row],[Evento / Mercado]],FIND("vs",base[[#This Row],[Evento / Mercado]])-2)</f>
        <v>Rosenborg BK</v>
      </c>
      <c r="R3717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5" t="str">
        <f>LEFT(base[[#This Row],[Evento / Mercado]],FIND("/",base[[#This Row],[Evento / Mercado]])-2)</f>
        <v>Rosenborg BK vs Viking FK</v>
      </c>
      <c r="T3717" s="1156">
        <f>base[[#This Row],[Data de liquidação]]</f>
        <v>46248.662523148145</v>
      </c>
    </row>
    <row r="3718" spans="2:20" ht="15" customHeight="1" x14ac:dyDescent="0.25">
      <c r="B3718" s="1151" t="s">
        <v>4333</v>
      </c>
      <c r="C3718" s="860" t="s">
        <v>3515</v>
      </c>
      <c r="D3718" s="1152">
        <v>46248.724270833336</v>
      </c>
      <c r="E3718" s="1153">
        <v>-120</v>
      </c>
      <c r="F3718" s="584">
        <v>4.4999999999999998E-2</v>
      </c>
      <c r="G3718" s="1154">
        <f t="shared" si="125"/>
        <v>-120</v>
      </c>
      <c r="H3718" s="1154" t="s">
        <v>314</v>
      </c>
      <c r="I3718" s="1306" t="s">
        <v>349</v>
      </c>
      <c r="J3718" s="1154">
        <v>1.69</v>
      </c>
      <c r="K3718" s="1154">
        <v>120</v>
      </c>
      <c r="L3718" s="1152">
        <f>INT(base[[#This Row],[Data de liquidação]])</f>
        <v>46248</v>
      </c>
      <c r="M3718" s="1154">
        <f>base[[#This Row],[L/P Bruto]]-base[[#This Row],[L/P Líquido]]</f>
        <v>0</v>
      </c>
      <c r="N3718" s="1154">
        <f>base[[#This Row],[L/P Líquido]]/base[[#This Row],[Stake/Responsabilidade]]</f>
        <v>-1</v>
      </c>
      <c r="O3718" s="1155">
        <f>IF(base[[#This Row],[L/P Líquido]]&gt;0,1,0)</f>
        <v>0</v>
      </c>
      <c r="P3718" s="1155"/>
      <c r="Q3718" s="1155" t="str">
        <f>LEFT(base[[#This Row],[Evento / Mercado]],FIND("vs",base[[#This Row],[Evento / Mercado]])-2)</f>
        <v>Real Sociedad B</v>
      </c>
      <c r="R3718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5" t="str">
        <f>LEFT(base[[#This Row],[Evento / Mercado]],FIND("/",base[[#This Row],[Evento / Mercado]])-2)</f>
        <v>Real Sociedad B vs CD Castellon</v>
      </c>
      <c r="T3718" s="1156">
        <f>base[[#This Row],[Data de liquidação]]</f>
        <v>46248.724270833336</v>
      </c>
    </row>
    <row r="3719" spans="2:20" ht="15" customHeight="1" x14ac:dyDescent="0.25">
      <c r="B3719" s="1151" t="s">
        <v>4332</v>
      </c>
      <c r="C3719" s="860" t="s">
        <v>3515</v>
      </c>
      <c r="D3719" s="1152">
        <v>46248.890219907407</v>
      </c>
      <c r="E3719" s="1153">
        <v>4.97</v>
      </c>
      <c r="F3719" s="584">
        <v>4.4999999999999998E-2</v>
      </c>
      <c r="G3719" s="1154">
        <f t="shared" si="125"/>
        <v>5.2041884816753923</v>
      </c>
      <c r="H3719" s="1154" t="s">
        <v>4253</v>
      </c>
      <c r="I3719" s="1299" t="s">
        <v>13</v>
      </c>
      <c r="J3719" s="1154">
        <v>1.26</v>
      </c>
      <c r="K3719" s="1154">
        <v>20</v>
      </c>
      <c r="L3719" s="1152">
        <f>INT(base[[#This Row],[Data de liquidação]])</f>
        <v>46248</v>
      </c>
      <c r="M3719" s="1154">
        <f>base[[#This Row],[L/P Bruto]]-base[[#This Row],[L/P Líquido]]</f>
        <v>0.23418848167539252</v>
      </c>
      <c r="N3719" s="1154">
        <f>base[[#This Row],[L/P Líquido]]/base[[#This Row],[Stake/Responsabilidade]]</f>
        <v>0.2485</v>
      </c>
      <c r="O3719" s="1155">
        <f>IF(base[[#This Row],[L/P Líquido]]&gt;0,1,0)</f>
        <v>1</v>
      </c>
      <c r="P3719" s="1155"/>
      <c r="Q3719" s="1155" t="str">
        <f>LEFT(base[[#This Row],[Evento / Mercado]],FIND("vs",base[[#This Row],[Evento / Mercado]])-2)</f>
        <v>Universidad de Concepción</v>
      </c>
      <c r="R3719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5" t="str">
        <f>LEFT(base[[#This Row],[Evento / Mercado]],FIND("/",base[[#This Row],[Evento / Mercado]])-2)</f>
        <v>Universidad de Concepción vs La Serena</v>
      </c>
      <c r="T3719" s="1156">
        <f>base[[#This Row],[Data de liquidação]]</f>
        <v>46248.890219907407</v>
      </c>
    </row>
    <row r="3720" spans="2:20" ht="15" customHeight="1" x14ac:dyDescent="0.25">
      <c r="B3720" s="1151" t="s">
        <v>4331</v>
      </c>
      <c r="C3720" s="860" t="s">
        <v>3515</v>
      </c>
      <c r="D3720" s="1152">
        <v>46248.913888888892</v>
      </c>
      <c r="E3720" s="1153">
        <v>-20</v>
      </c>
      <c r="F3720" s="584">
        <v>4.4999999999999998E-2</v>
      </c>
      <c r="G3720" s="1154">
        <f t="shared" si="125"/>
        <v>-20</v>
      </c>
      <c r="H3720" s="1154" t="s">
        <v>4253</v>
      </c>
      <c r="I3720" s="1299" t="s">
        <v>3586</v>
      </c>
      <c r="J3720" s="1154">
        <v>1.26</v>
      </c>
      <c r="K3720" s="1154">
        <v>20</v>
      </c>
      <c r="L3720" s="1152">
        <f>INT(base[[#This Row],[Data de liquidação]])</f>
        <v>46248</v>
      </c>
      <c r="M3720" s="1154">
        <f>base[[#This Row],[L/P Bruto]]-base[[#This Row],[L/P Líquido]]</f>
        <v>0</v>
      </c>
      <c r="N3720" s="1154">
        <f>base[[#This Row],[L/P Líquido]]/base[[#This Row],[Stake/Responsabilidade]]</f>
        <v>-1</v>
      </c>
      <c r="O3720" s="1155">
        <f>IF(base[[#This Row],[L/P Líquido]]&gt;0,1,0)</f>
        <v>0</v>
      </c>
      <c r="P3720" s="1155"/>
      <c r="Q3720" s="1155" t="str">
        <f>LEFT(base[[#This Row],[Evento / Mercado]],FIND("vs",base[[#This Row],[Evento / Mercado]])-2)</f>
        <v>Cusco FC</v>
      </c>
      <c r="R372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5" t="str">
        <f>LEFT(base[[#This Row],[Evento / Mercado]],FIND("/",base[[#This Row],[Evento / Mercado]])-2)</f>
        <v>Cusco FC vs Juan Pablo II College</v>
      </c>
      <c r="T3720" s="1156">
        <f>base[[#This Row],[Data de liquidação]]</f>
        <v>46248.913888888892</v>
      </c>
    </row>
    <row r="3721" spans="2:20" ht="15" customHeight="1" x14ac:dyDescent="0.25">
      <c r="B3721" s="1151" t="s">
        <v>4330</v>
      </c>
      <c r="C3721" s="860" t="s">
        <v>3515</v>
      </c>
      <c r="D3721" s="1152">
        <v>46248.934849537036</v>
      </c>
      <c r="E3721" s="1153">
        <v>-2</v>
      </c>
      <c r="F3721" s="584">
        <v>4.4999999999999998E-2</v>
      </c>
      <c r="G3721" s="1154">
        <f t="shared" si="125"/>
        <v>-2</v>
      </c>
      <c r="H3721" s="1154" t="s">
        <v>1648</v>
      </c>
      <c r="I3721" s="1306" t="s">
        <v>3296</v>
      </c>
      <c r="J3721" s="1154">
        <v>1.91</v>
      </c>
      <c r="K3721" s="1154">
        <v>2</v>
      </c>
      <c r="L3721" s="1152">
        <f>INT(base[[#This Row],[Data de liquidação]])</f>
        <v>46248</v>
      </c>
      <c r="M3721" s="1154">
        <f>base[[#This Row],[L/P Bruto]]-base[[#This Row],[L/P Líquido]]</f>
        <v>0</v>
      </c>
      <c r="N3721" s="1154">
        <f>base[[#This Row],[L/P Líquido]]/base[[#This Row],[Stake/Responsabilidade]]</f>
        <v>-1</v>
      </c>
      <c r="O3721" s="1155">
        <f>IF(base[[#This Row],[L/P Líquido]]&gt;0,1,0)</f>
        <v>0</v>
      </c>
      <c r="P3721" s="1155"/>
      <c r="Q3721" s="1155" t="str">
        <f>LEFT(base[[#This Row],[Evento / Mercado]],FIND("vs",base[[#This Row],[Evento / Mercado]])-2)</f>
        <v>Racing Club</v>
      </c>
      <c r="R372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5" t="str">
        <f>LEFT(base[[#This Row],[Evento / Mercado]],FIND("/",base[[#This Row],[Evento / Mercado]])-2)</f>
        <v>Racing Club vs Banfield</v>
      </c>
      <c r="T3721" s="1156">
        <f>base[[#This Row],[Data de liquidação]]</f>
        <v>46248.934849537036</v>
      </c>
    </row>
    <row r="3722" spans="2:20" ht="15" customHeight="1" x14ac:dyDescent="0.25">
      <c r="B3722" s="1157" t="s">
        <v>4362</v>
      </c>
      <c r="C3722" s="860" t="s">
        <v>3515</v>
      </c>
      <c r="D3722" s="1158">
        <v>46249.413888888892</v>
      </c>
      <c r="E3722" s="1159">
        <v>27.02</v>
      </c>
      <c r="F3722" s="584">
        <v>4.4999999999999998E-2</v>
      </c>
      <c r="G3722" s="1160">
        <f t="shared" ref="G3722:G3744" si="127">IF(E3722&gt;0,E3722/(1-F3722),E3722)</f>
        <v>28.293193717277486</v>
      </c>
      <c r="H3722" s="1160" t="s">
        <v>74</v>
      </c>
      <c r="I3722" s="1307" t="s">
        <v>626</v>
      </c>
      <c r="J3722" s="1160">
        <v>15</v>
      </c>
      <c r="K3722" s="1160">
        <v>396.15</v>
      </c>
      <c r="L3722" s="1158">
        <f>INT(base[[#This Row],[Data de liquidação]])</f>
        <v>46249</v>
      </c>
      <c r="M3722" s="1160">
        <f>base[[#This Row],[L/P Bruto]]-base[[#This Row],[L/P Líquido]]</f>
        <v>1.2731937172774863</v>
      </c>
      <c r="N3722" s="1160">
        <f>base[[#This Row],[L/P Líquido]]/base[[#This Row],[Stake/Responsabilidade]]</f>
        <v>6.8206487441625649E-2</v>
      </c>
      <c r="O3722" s="1162">
        <f>IF(base[[#This Row],[L/P Líquido]]&gt;0,1,0)</f>
        <v>1</v>
      </c>
      <c r="P3722" s="1162"/>
      <c r="Q3722" s="1162" t="str">
        <f>LEFT(base[[#This Row],[Evento / Mercado]],FIND("vs",base[[#This Row],[Evento / Mercado]])-2)</f>
        <v>Liaoning Tieren F.C.</v>
      </c>
      <c r="R37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2" t="str">
        <f>LEFT(base[[#This Row],[Evento / Mercado]],FIND("/",base[[#This Row],[Evento / Mercado]])-2)</f>
        <v>Liaoning Tieren F.C. vs Shenzhen Peng City</v>
      </c>
      <c r="T3722" s="1163">
        <f>base[[#This Row],[Data de liquidação]]</f>
        <v>46249.413888888892</v>
      </c>
    </row>
    <row r="3723" spans="2:20" ht="15" customHeight="1" x14ac:dyDescent="0.25">
      <c r="B3723" s="1157" t="s">
        <v>4361</v>
      </c>
      <c r="C3723" s="860" t="s">
        <v>3515</v>
      </c>
      <c r="D3723" s="1158">
        <v>46249.446840277778</v>
      </c>
      <c r="E3723" s="1159">
        <v>0.46</v>
      </c>
      <c r="F3723" s="584">
        <v>4.4999999999999998E-2</v>
      </c>
      <c r="G3723" s="1160">
        <f t="shared" si="127"/>
        <v>0.48167539267015713</v>
      </c>
      <c r="H3723" s="1160" t="s">
        <v>1648</v>
      </c>
      <c r="I3723" s="1307" t="s">
        <v>3296</v>
      </c>
      <c r="J3723" s="1160">
        <v>1.24</v>
      </c>
      <c r="K3723" s="1160">
        <v>2</v>
      </c>
      <c r="L3723" s="1158">
        <f>INT(base[[#This Row],[Data de liquidação]])</f>
        <v>46249</v>
      </c>
      <c r="M3723" s="1160">
        <f>base[[#This Row],[L/P Bruto]]-base[[#This Row],[L/P Líquido]]</f>
        <v>2.1675392670157112E-2</v>
      </c>
      <c r="N3723" s="1160">
        <f>base[[#This Row],[L/P Líquido]]/base[[#This Row],[Stake/Responsabilidade]]</f>
        <v>0.23</v>
      </c>
      <c r="O3723" s="1162">
        <f>IF(base[[#This Row],[L/P Líquido]]&gt;0,1,0)</f>
        <v>1</v>
      </c>
      <c r="P3723" s="1162"/>
      <c r="Q3723" s="1162" t="str">
        <f>LEFT(base[[#This Row],[Evento / Mercado]],FIND("vs",base[[#This Row],[Evento / Mercado]])-2)</f>
        <v>Yunnan Yukun</v>
      </c>
      <c r="R37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2" t="str">
        <f>LEFT(base[[#This Row],[Evento / Mercado]],FIND("/",base[[#This Row],[Evento / Mercado]])-2)</f>
        <v>Yunnan Yukun vs Dalian Yingbo</v>
      </c>
      <c r="T3723" s="1163">
        <f>base[[#This Row],[Data de liquidação]]</f>
        <v>46249.446840277778</v>
      </c>
    </row>
    <row r="3724" spans="2:20" ht="15" customHeight="1" x14ac:dyDescent="0.25">
      <c r="B3724" s="1157" t="s">
        <v>4360</v>
      </c>
      <c r="C3724" s="860" t="s">
        <v>3515</v>
      </c>
      <c r="D3724" s="1158">
        <v>46249.476226851853</v>
      </c>
      <c r="E3724" s="1159">
        <v>11.79</v>
      </c>
      <c r="F3724" s="584">
        <v>4.4999999999999998E-2</v>
      </c>
      <c r="G3724" s="1160">
        <f t="shared" si="127"/>
        <v>12.345549738219894</v>
      </c>
      <c r="H3724" s="1160" t="s">
        <v>1648</v>
      </c>
      <c r="I3724" s="1307" t="s">
        <v>2277</v>
      </c>
      <c r="J3724" s="1160">
        <v>1.62</v>
      </c>
      <c r="K3724" s="1160">
        <v>20</v>
      </c>
      <c r="L3724" s="1158">
        <f>INT(base[[#This Row],[Data de liquidação]])</f>
        <v>46249</v>
      </c>
      <c r="M3724" s="1160">
        <f>base[[#This Row],[L/P Bruto]]-base[[#This Row],[L/P Líquido]]</f>
        <v>0.55554973821989506</v>
      </c>
      <c r="N3724" s="1160">
        <f>base[[#This Row],[L/P Líquido]]/base[[#This Row],[Stake/Responsabilidade]]</f>
        <v>0.58949999999999991</v>
      </c>
      <c r="O3724" s="1162">
        <f>IF(base[[#This Row],[L/P Líquido]]&gt;0,1,0)</f>
        <v>1</v>
      </c>
      <c r="P3724" s="1162"/>
      <c r="Q3724" s="1162" t="str">
        <f>LEFT(base[[#This Row],[Evento / Mercado]],FIND("vs",base[[#This Row],[Evento / Mercado]])-2)</f>
        <v>Kaizer Chiefs</v>
      </c>
      <c r="R37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2" t="str">
        <f>LEFT(base[[#This Row],[Evento / Mercado]],FIND("/",base[[#This Row],[Evento / Mercado]])-2)</f>
        <v>Kaizer Chiefs vs Mamelodi Sundowns</v>
      </c>
      <c r="T3724" s="1163">
        <f>base[[#This Row],[Data de liquidação]]</f>
        <v>46249.476226851853</v>
      </c>
    </row>
    <row r="3725" spans="2:20" ht="15" customHeight="1" x14ac:dyDescent="0.25">
      <c r="B3725" s="1157" t="s">
        <v>4359</v>
      </c>
      <c r="C3725" s="860" t="s">
        <v>3515</v>
      </c>
      <c r="D3725" s="1158">
        <v>46249.49527777778</v>
      </c>
      <c r="E3725" s="1159">
        <v>5.31</v>
      </c>
      <c r="F3725" s="584">
        <v>4.4999999999999998E-2</v>
      </c>
      <c r="G3725" s="1160">
        <f t="shared" si="127"/>
        <v>5.5602094240837694</v>
      </c>
      <c r="H3725" s="1160" t="s">
        <v>1648</v>
      </c>
      <c r="I3725" s="1307" t="s">
        <v>2919</v>
      </c>
      <c r="J3725" s="1160">
        <v>10.5</v>
      </c>
      <c r="K3725" s="1160">
        <v>52.82</v>
      </c>
      <c r="L3725" s="1158">
        <f>INT(base[[#This Row],[Data de liquidação]])</f>
        <v>46249</v>
      </c>
      <c r="M3725" s="1160">
        <f>base[[#This Row],[L/P Bruto]]-base[[#This Row],[L/P Líquido]]</f>
        <v>0.25020942408376978</v>
      </c>
      <c r="N3725" s="1160">
        <f>base[[#This Row],[L/P Líquido]]/base[[#This Row],[Stake/Responsabilidade]]</f>
        <v>0.10053010223400226</v>
      </c>
      <c r="O3725" s="1162">
        <f>IF(base[[#This Row],[L/P Líquido]]&gt;0,1,0)</f>
        <v>1</v>
      </c>
      <c r="P3725" s="1162"/>
      <c r="Q3725" s="1162" t="str">
        <f>LEFT(base[[#This Row],[Evento / Mercado]],FIND("vs",base[[#This Row],[Evento / Mercado]])-2)</f>
        <v>Kaizer Chiefs</v>
      </c>
      <c r="R37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2" t="str">
        <f>LEFT(base[[#This Row],[Evento / Mercado]],FIND("/",base[[#This Row],[Evento / Mercado]])-2)</f>
        <v>Kaizer Chiefs vs Mamelodi Sundowns</v>
      </c>
      <c r="T3725" s="1163">
        <f>base[[#This Row],[Data de liquidação]]</f>
        <v>46249.49527777778</v>
      </c>
    </row>
    <row r="3726" spans="2:20" ht="15" customHeight="1" x14ac:dyDescent="0.25">
      <c r="B3726" s="1157" t="s">
        <v>4358</v>
      </c>
      <c r="C3726" s="860" t="s">
        <v>3515</v>
      </c>
      <c r="D3726" s="1158">
        <v>46249.524525462963</v>
      </c>
      <c r="E3726" s="1159">
        <v>10.98</v>
      </c>
      <c r="F3726" s="584">
        <v>4.4999999999999998E-2</v>
      </c>
      <c r="G3726" s="1160">
        <f t="shared" si="127"/>
        <v>11.497382198952881</v>
      </c>
      <c r="H3726" s="1160" t="s">
        <v>1648</v>
      </c>
      <c r="I3726" s="1307" t="s">
        <v>2277</v>
      </c>
      <c r="J3726" s="1160">
        <v>1.57</v>
      </c>
      <c r="K3726" s="1160">
        <v>20</v>
      </c>
      <c r="L3726" s="1158">
        <f>INT(base[[#This Row],[Data de liquidação]])</f>
        <v>46249</v>
      </c>
      <c r="M3726" s="1160">
        <f>base[[#This Row],[L/P Bruto]]-base[[#This Row],[L/P Líquido]]</f>
        <v>0.5173821989528804</v>
      </c>
      <c r="N3726" s="1160">
        <f>base[[#This Row],[L/P Líquido]]/base[[#This Row],[Stake/Responsabilidade]]</f>
        <v>0.54900000000000004</v>
      </c>
      <c r="O3726" s="1162">
        <f>IF(base[[#This Row],[L/P Líquido]]&gt;0,1,0)</f>
        <v>1</v>
      </c>
      <c r="P3726" s="1162"/>
      <c r="Q3726" s="1162" t="str">
        <f>LEFT(base[[#This Row],[Evento / Mercado]],FIND("vs",base[[#This Row],[Evento / Mercado]])-2)</f>
        <v>Burton Albion</v>
      </c>
      <c r="R37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2" t="str">
        <f>LEFT(base[[#This Row],[Evento / Mercado]],FIND("/",base[[#This Row],[Evento / Mercado]])-2)</f>
        <v>Burton Albion vs Stevenage</v>
      </c>
      <c r="T3726" s="1163">
        <f>base[[#This Row],[Data de liquidação]]</f>
        <v>46249.524525462963</v>
      </c>
    </row>
    <row r="3727" spans="2:20" ht="15" customHeight="1" x14ac:dyDescent="0.25">
      <c r="B3727" s="1157" t="s">
        <v>4357</v>
      </c>
      <c r="C3727" s="860" t="s">
        <v>3515</v>
      </c>
      <c r="D3727" s="1158">
        <v>46249.537175925929</v>
      </c>
      <c r="E3727" s="1159">
        <v>8.5399999999999991</v>
      </c>
      <c r="F3727" s="584">
        <v>4.4999999999999998E-2</v>
      </c>
      <c r="G3727" s="1160">
        <f t="shared" si="127"/>
        <v>8.9424083769633498</v>
      </c>
      <c r="H3727" s="1160" t="s">
        <v>3297</v>
      </c>
      <c r="I3727" s="1307" t="s">
        <v>693</v>
      </c>
      <c r="J3727" s="1160">
        <v>55</v>
      </c>
      <c r="K3727" s="1160">
        <v>482.76</v>
      </c>
      <c r="L3727" s="1158">
        <f>INT(base[[#This Row],[Data de liquidação]])</f>
        <v>46249</v>
      </c>
      <c r="M3727" s="1160">
        <f>base[[#This Row],[L/P Bruto]]-base[[#This Row],[L/P Líquido]]</f>
        <v>0.40240837696335063</v>
      </c>
      <c r="N3727" s="1160">
        <f>base[[#This Row],[L/P Líquido]]/base[[#This Row],[Stake/Responsabilidade]]</f>
        <v>1.7689949457287264E-2</v>
      </c>
      <c r="O3727" s="1162">
        <f>IF(base[[#This Row],[L/P Líquido]]&gt;0,1,0)</f>
        <v>1</v>
      </c>
      <c r="P3727" s="1162"/>
      <c r="Q3727" s="1162" t="str">
        <f>LEFT(base[[#This Row],[Evento / Mercado]],FIND("vs",base[[#This Row],[Evento / Mercado]])-2)</f>
        <v>Ranheim</v>
      </c>
      <c r="R37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2" t="str">
        <f>LEFT(base[[#This Row],[Evento / Mercado]],FIND("/",base[[#This Row],[Evento / Mercado]])-2)</f>
        <v>Ranheim vs Strømsgodset</v>
      </c>
      <c r="T3727" s="1163">
        <f>base[[#This Row],[Data de liquidação]]</f>
        <v>46249.537175925929</v>
      </c>
    </row>
    <row r="3728" spans="2:20" ht="15" customHeight="1" x14ac:dyDescent="0.25">
      <c r="B3728" s="1157" t="s">
        <v>4356</v>
      </c>
      <c r="C3728" s="860" t="s">
        <v>3515</v>
      </c>
      <c r="D3728" s="1158">
        <v>46249.539259259262</v>
      </c>
      <c r="E3728" s="1159">
        <v>73.34</v>
      </c>
      <c r="F3728" s="584">
        <v>4.4999999999999998E-2</v>
      </c>
      <c r="G3728" s="1160">
        <f t="shared" si="127"/>
        <v>76.795811518324612</v>
      </c>
      <c r="H3728" s="1160" t="s">
        <v>314</v>
      </c>
      <c r="I3728" s="1307" t="s">
        <v>349</v>
      </c>
      <c r="J3728" s="1160">
        <v>1.64</v>
      </c>
      <c r="K3728" s="1160">
        <v>120</v>
      </c>
      <c r="L3728" s="1158">
        <f>INT(base[[#This Row],[Data de liquidação]])</f>
        <v>46249</v>
      </c>
      <c r="M3728" s="1160">
        <f>base[[#This Row],[L/P Bruto]]-base[[#This Row],[L/P Líquido]]</f>
        <v>3.4558115183246088</v>
      </c>
      <c r="N3728" s="1160">
        <f>base[[#This Row],[L/P Líquido]]/base[[#This Row],[Stake/Responsabilidade]]</f>
        <v>0.61116666666666675</v>
      </c>
      <c r="O3728" s="1162">
        <f>IF(base[[#This Row],[L/P Líquido]]&gt;0,1,0)</f>
        <v>1</v>
      </c>
      <c r="P3728" s="1162"/>
      <c r="Q3728" s="1162" t="str">
        <f>LEFT(base[[#This Row],[Evento / Mercado]],FIND("vs",base[[#This Row],[Evento / Mercado]])-2)</f>
        <v>SC Verl</v>
      </c>
      <c r="R37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2" t="str">
        <f>LEFT(base[[#This Row],[Evento / Mercado]],FIND("/",base[[#This Row],[Evento / Mercado]])-2)</f>
        <v>SC Verl vs MSV Duisburg</v>
      </c>
      <c r="T3728" s="1163">
        <f>base[[#This Row],[Data de liquidação]]</f>
        <v>46249.539259259262</v>
      </c>
    </row>
    <row r="3729" spans="2:20" ht="15" customHeight="1" x14ac:dyDescent="0.25">
      <c r="B3729" s="1157" t="s">
        <v>4355</v>
      </c>
      <c r="C3729" s="860" t="s">
        <v>3515</v>
      </c>
      <c r="D3729" s="1158">
        <v>46249.550347222219</v>
      </c>
      <c r="E3729" s="1159">
        <v>68.760000000000005</v>
      </c>
      <c r="F3729" s="584">
        <v>4.4999999999999998E-2</v>
      </c>
      <c r="G3729" s="1160">
        <f t="shared" si="127"/>
        <v>72.000000000000014</v>
      </c>
      <c r="H3729" s="1160" t="s">
        <v>314</v>
      </c>
      <c r="I3729" s="1307" t="s">
        <v>349</v>
      </c>
      <c r="J3729" s="1160">
        <v>1.6</v>
      </c>
      <c r="K3729" s="1160">
        <v>120</v>
      </c>
      <c r="L3729" s="1158">
        <f>INT(base[[#This Row],[Data de liquidação]])</f>
        <v>46249</v>
      </c>
      <c r="M3729" s="1160">
        <f>base[[#This Row],[L/P Bruto]]-base[[#This Row],[L/P Líquido]]</f>
        <v>3.2400000000000091</v>
      </c>
      <c r="N3729" s="1160">
        <f>base[[#This Row],[L/P Líquido]]/base[[#This Row],[Stake/Responsabilidade]]</f>
        <v>0.57300000000000006</v>
      </c>
      <c r="O3729" s="1162">
        <f>IF(base[[#This Row],[L/P Líquido]]&gt;0,1,0)</f>
        <v>1</v>
      </c>
      <c r="P3729" s="1162"/>
      <c r="Q3729" s="1162" t="str">
        <f>LEFT(base[[#This Row],[Evento / Mercado]],FIND("vs",base[[#This Row],[Evento / Mercado]])-2)</f>
        <v>Willem II</v>
      </c>
      <c r="R37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2" t="str">
        <f>LEFT(base[[#This Row],[Evento / Mercado]],FIND("/",base[[#This Row],[Evento / Mercado]])-2)</f>
        <v>Willem II vs NEC</v>
      </c>
      <c r="T3729" s="1163">
        <f>base[[#This Row],[Data de liquidação]]</f>
        <v>46249.550347222219</v>
      </c>
    </row>
    <row r="3730" spans="2:20" ht="15" customHeight="1" x14ac:dyDescent="0.25">
      <c r="B3730" s="1157" t="s">
        <v>4354</v>
      </c>
      <c r="C3730" s="860" t="s">
        <v>3515</v>
      </c>
      <c r="D3730" s="1158">
        <v>46249.561319444445</v>
      </c>
      <c r="E3730" s="1159">
        <v>-2</v>
      </c>
      <c r="F3730" s="584">
        <v>4.4999999999999998E-2</v>
      </c>
      <c r="G3730" s="1160">
        <f t="shared" si="127"/>
        <v>-2</v>
      </c>
      <c r="H3730" s="1160" t="s">
        <v>1648</v>
      </c>
      <c r="I3730" s="1307" t="s">
        <v>3296</v>
      </c>
      <c r="J3730" s="1160">
        <v>1.34</v>
      </c>
      <c r="K3730" s="1160">
        <v>2</v>
      </c>
      <c r="L3730" s="1158">
        <f>INT(base[[#This Row],[Data de liquidação]])</f>
        <v>46249</v>
      </c>
      <c r="M3730" s="1160">
        <f>base[[#This Row],[L/P Bruto]]-base[[#This Row],[L/P Líquido]]</f>
        <v>0</v>
      </c>
      <c r="N3730" s="1160">
        <f>base[[#This Row],[L/P Líquido]]/base[[#This Row],[Stake/Responsabilidade]]</f>
        <v>-1</v>
      </c>
      <c r="O3730" s="1162">
        <f>IF(base[[#This Row],[L/P Líquido]]&gt;0,1,0)</f>
        <v>0</v>
      </c>
      <c r="P3730" s="1162"/>
      <c r="Q3730" s="1162" t="str">
        <f>LEFT(base[[#This Row],[Evento / Mercado]],FIND("vs",base[[#This Row],[Evento / Mercado]])-2)</f>
        <v>Újpest FC</v>
      </c>
      <c r="R37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2" t="str">
        <f>LEFT(base[[#This Row],[Evento / Mercado]],FIND("/",base[[#This Row],[Evento / Mercado]])-2)</f>
        <v>Újpest FC vs MTK Budapest</v>
      </c>
      <c r="T3730" s="1163">
        <f>base[[#This Row],[Data de liquidação]]</f>
        <v>46249.561319444445</v>
      </c>
    </row>
    <row r="3731" spans="2:20" ht="15" customHeight="1" x14ac:dyDescent="0.25">
      <c r="B3731" s="1157" t="s">
        <v>4353</v>
      </c>
      <c r="C3731" s="860" t="s">
        <v>3515</v>
      </c>
      <c r="D3731" s="1158">
        <v>46249.682511574072</v>
      </c>
      <c r="E3731" s="1159">
        <v>26.86</v>
      </c>
      <c r="F3731" s="584">
        <v>4.4999999999999998E-2</v>
      </c>
      <c r="G3731" s="1160">
        <f t="shared" si="127"/>
        <v>28.125654450261781</v>
      </c>
      <c r="H3731" s="1160" t="s">
        <v>3234</v>
      </c>
      <c r="I3731" s="1307" t="s">
        <v>626</v>
      </c>
      <c r="J3731" s="1160">
        <v>16</v>
      </c>
      <c r="K3731" s="1160">
        <v>421.95</v>
      </c>
      <c r="L3731" s="1158">
        <f>INT(base[[#This Row],[Data de liquidação]])</f>
        <v>46249</v>
      </c>
      <c r="M3731" s="1160">
        <f>base[[#This Row],[L/P Bruto]]-base[[#This Row],[L/P Líquido]]</f>
        <v>1.2656544502617812</v>
      </c>
      <c r="N3731" s="1160">
        <f>base[[#This Row],[L/P Líquido]]/base[[#This Row],[Stake/Responsabilidade]]</f>
        <v>6.3656831378125375E-2</v>
      </c>
      <c r="O3731" s="1162">
        <f>IF(base[[#This Row],[L/P Líquido]]&gt;0,1,0)</f>
        <v>1</v>
      </c>
      <c r="P3731" s="1162"/>
      <c r="Q3731" s="1162" t="str">
        <f>LEFT(base[[#This Row],[Evento / Mercado]],FIND("vs",base[[#This Row],[Evento / Mercado]])-2)</f>
        <v>SK Puntigamer Sturm Graz</v>
      </c>
      <c r="R37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2" t="str">
        <f>LEFT(base[[#This Row],[Evento / Mercado]],FIND("/",base[[#This Row],[Evento / Mercado]])-2)</f>
        <v>SK Puntigamer Sturm Graz vs SCR Altach</v>
      </c>
      <c r="T3731" s="1163">
        <f>base[[#This Row],[Data de liquidação]]</f>
        <v>46249.682511574072</v>
      </c>
    </row>
    <row r="3732" spans="2:20" ht="15" customHeight="1" x14ac:dyDescent="0.25">
      <c r="B3732" s="1157" t="s">
        <v>4352</v>
      </c>
      <c r="C3732" s="860" t="s">
        <v>3515</v>
      </c>
      <c r="D3732" s="1158">
        <v>46249.71733796296</v>
      </c>
      <c r="E3732" s="1159">
        <v>5.92</v>
      </c>
      <c r="F3732" s="584">
        <v>4.4999999999999998E-2</v>
      </c>
      <c r="G3732" s="1160">
        <f t="shared" si="127"/>
        <v>6.1989528795811522</v>
      </c>
      <c r="H3732" s="1160" t="s">
        <v>4253</v>
      </c>
      <c r="I3732" s="1299" t="s">
        <v>13</v>
      </c>
      <c r="J3732" s="1160">
        <v>1.31</v>
      </c>
      <c r="K3732" s="1160">
        <v>20</v>
      </c>
      <c r="L3732" s="1158">
        <f>INT(base[[#This Row],[Data de liquidação]])</f>
        <v>46249</v>
      </c>
      <c r="M3732" s="1160">
        <f>base[[#This Row],[L/P Bruto]]-base[[#This Row],[L/P Líquido]]</f>
        <v>0.27895287958115222</v>
      </c>
      <c r="N3732" s="1160">
        <f>base[[#This Row],[L/P Líquido]]/base[[#This Row],[Stake/Responsabilidade]]</f>
        <v>0.29599999999999999</v>
      </c>
      <c r="O3732" s="1162">
        <f>IF(base[[#This Row],[L/P Líquido]]&gt;0,1,0)</f>
        <v>1</v>
      </c>
      <c r="P3732" s="1162"/>
      <c r="Q3732" s="1162" t="str">
        <f>LEFT(base[[#This Row],[Evento / Mercado]],FIND("vs",base[[#This Row],[Evento / Mercado]])-2)</f>
        <v>Club Guaraní</v>
      </c>
      <c r="R37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2" t="str">
        <f>LEFT(base[[#This Row],[Evento / Mercado]],FIND("/",base[[#This Row],[Evento / Mercado]])-2)</f>
        <v>Club Guaraní vs Rubio Ñú</v>
      </c>
      <c r="T3732" s="1163">
        <f>base[[#This Row],[Data de liquidação]]</f>
        <v>46249.71733796296</v>
      </c>
    </row>
    <row r="3733" spans="2:20" ht="15" customHeight="1" x14ac:dyDescent="0.25">
      <c r="B3733" s="1157" t="s">
        <v>4351</v>
      </c>
      <c r="C3733" s="860" t="s">
        <v>3515</v>
      </c>
      <c r="D3733" s="1158">
        <v>46249.732812499999</v>
      </c>
      <c r="E3733" s="1159">
        <v>7.45</v>
      </c>
      <c r="F3733" s="584">
        <v>4.4999999999999998E-2</v>
      </c>
      <c r="G3733" s="1160">
        <f t="shared" si="127"/>
        <v>7.8010471204188487</v>
      </c>
      <c r="H3733" s="1160" t="s">
        <v>4253</v>
      </c>
      <c r="I3733" s="1299" t="s">
        <v>13</v>
      </c>
      <c r="J3733" s="1160">
        <v>1.39</v>
      </c>
      <c r="K3733" s="1160">
        <v>20</v>
      </c>
      <c r="L3733" s="1158">
        <f>INT(base[[#This Row],[Data de liquidação]])</f>
        <v>46249</v>
      </c>
      <c r="M3733" s="1160">
        <f>base[[#This Row],[L/P Bruto]]-base[[#This Row],[L/P Líquido]]</f>
        <v>0.35104712041884856</v>
      </c>
      <c r="N3733" s="1160">
        <f>base[[#This Row],[L/P Líquido]]/base[[#This Row],[Stake/Responsabilidade]]</f>
        <v>0.3725</v>
      </c>
      <c r="O3733" s="1162">
        <f>IF(base[[#This Row],[L/P Líquido]]&gt;0,1,0)</f>
        <v>1</v>
      </c>
      <c r="P3733" s="1162"/>
      <c r="Q3733" s="1162" t="str">
        <f>LEFT(base[[#This Row],[Evento / Mercado]],FIND("vs",base[[#This Row],[Evento / Mercado]])-2)</f>
        <v>Atlético Goianiense</v>
      </c>
      <c r="R37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2" t="str">
        <f>LEFT(base[[#This Row],[Evento / Mercado]],FIND("/",base[[#This Row],[Evento / Mercado]])-2)</f>
        <v>Atlético Goianiense vs Vila Nova FC</v>
      </c>
      <c r="T3733" s="1163">
        <f>base[[#This Row],[Data de liquidação]]</f>
        <v>46249.732812499999</v>
      </c>
    </row>
    <row r="3734" spans="2:20" ht="15" customHeight="1" x14ac:dyDescent="0.25">
      <c r="B3734" s="1157" t="s">
        <v>4350</v>
      </c>
      <c r="C3734" s="860" t="s">
        <v>3515</v>
      </c>
      <c r="D3734" s="1158">
        <v>46249.744664351849</v>
      </c>
      <c r="E3734" s="1159">
        <v>9.93</v>
      </c>
      <c r="F3734" s="584">
        <v>4.4999999999999998E-2</v>
      </c>
      <c r="G3734" s="1160">
        <f t="shared" si="127"/>
        <v>10.397905759162304</v>
      </c>
      <c r="H3734" s="1160" t="s">
        <v>1648</v>
      </c>
      <c r="I3734" s="1307" t="s">
        <v>2277</v>
      </c>
      <c r="J3734" s="1160">
        <v>1.52</v>
      </c>
      <c r="K3734" s="1160">
        <v>20</v>
      </c>
      <c r="L3734" s="1158">
        <f>INT(base[[#This Row],[Data de liquidação]])</f>
        <v>46249</v>
      </c>
      <c r="M3734" s="1160">
        <f>base[[#This Row],[L/P Bruto]]-base[[#This Row],[L/P Líquido]]</f>
        <v>0.46790575916230459</v>
      </c>
      <c r="N3734" s="1160">
        <f>base[[#This Row],[L/P Líquido]]/base[[#This Row],[Stake/Responsabilidade]]</f>
        <v>0.4965</v>
      </c>
      <c r="O3734" s="1162">
        <f>IF(base[[#This Row],[L/P Líquido]]&gt;0,1,0)</f>
        <v>1</v>
      </c>
      <c r="P3734" s="1162"/>
      <c r="Q3734" s="1162" t="str">
        <f>LEFT(base[[#This Row],[Evento / Mercado]],FIND("vs",base[[#This Row],[Evento / Mercado]])-2)</f>
        <v>Real Mallorca</v>
      </c>
      <c r="R373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2" t="str">
        <f>LEFT(base[[#This Row],[Evento / Mercado]],FIND("/",base[[#This Row],[Evento / Mercado]])-2)</f>
        <v>Real Mallorca vs Real Valladolid</v>
      </c>
      <c r="T3734" s="1163">
        <f>base[[#This Row],[Data de liquidação]]</f>
        <v>46249.744664351849</v>
      </c>
    </row>
    <row r="3735" spans="2:20" ht="15" customHeight="1" x14ac:dyDescent="0.25">
      <c r="B3735" s="1157" t="s">
        <v>4349</v>
      </c>
      <c r="C3735" s="860" t="s">
        <v>3515</v>
      </c>
      <c r="D3735" s="1158">
        <v>46249.833518518521</v>
      </c>
      <c r="E3735" s="1159">
        <v>6.69</v>
      </c>
      <c r="F3735" s="584">
        <v>4.4999999999999998E-2</v>
      </c>
      <c r="G3735" s="1160">
        <f t="shared" si="127"/>
        <v>7.0052356020942419</v>
      </c>
      <c r="H3735" s="1160" t="s">
        <v>4253</v>
      </c>
      <c r="I3735" s="1310" t="s">
        <v>13</v>
      </c>
      <c r="J3735" s="1160">
        <v>1.35</v>
      </c>
      <c r="K3735" s="1160">
        <v>20</v>
      </c>
      <c r="L3735" s="1158">
        <f>INT(base[[#This Row],[Data de liquidação]])</f>
        <v>46249</v>
      </c>
      <c r="M3735" s="1160">
        <f>base[[#This Row],[L/P Bruto]]-base[[#This Row],[L/P Líquido]]</f>
        <v>0.31523560209424151</v>
      </c>
      <c r="N3735" s="1160">
        <f>base[[#This Row],[L/P Líquido]]/base[[#This Row],[Stake/Responsabilidade]]</f>
        <v>0.33450000000000002</v>
      </c>
      <c r="O3735" s="1162">
        <f>IF(base[[#This Row],[L/P Líquido]]&gt;0,1,0)</f>
        <v>1</v>
      </c>
      <c r="P3735" s="1162"/>
      <c r="Q3735" s="1162" t="str">
        <f>LEFT(base[[#This Row],[Evento / Mercado]],FIND("vs",base[[#This Row],[Evento / Mercado]])-2)</f>
        <v>Athlético Paranaense</v>
      </c>
      <c r="R373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2" t="str">
        <f>LEFT(base[[#This Row],[Evento / Mercado]],FIND("/",base[[#This Row],[Evento / Mercado]])-2)</f>
        <v>Athlético Paranaense vs Red Bull Bragantino</v>
      </c>
      <c r="T3735" s="1163">
        <f>base[[#This Row],[Data de liquidação]]</f>
        <v>46249.833518518521</v>
      </c>
    </row>
    <row r="3736" spans="2:20" ht="15" customHeight="1" x14ac:dyDescent="0.25">
      <c r="B3736" s="1157" t="s">
        <v>4348</v>
      </c>
      <c r="C3736" s="860" t="s">
        <v>3515</v>
      </c>
      <c r="D3736" s="1158">
        <v>46249.838877314818</v>
      </c>
      <c r="E3736" s="1159">
        <v>5.73</v>
      </c>
      <c r="F3736" s="584">
        <v>4.4999999999999998E-2</v>
      </c>
      <c r="G3736" s="1160">
        <f t="shared" si="127"/>
        <v>6.0000000000000009</v>
      </c>
      <c r="H3736" s="1160" t="s">
        <v>4253</v>
      </c>
      <c r="I3736" s="1299" t="s">
        <v>3217</v>
      </c>
      <c r="J3736" s="1160">
        <v>1.3</v>
      </c>
      <c r="K3736" s="1160">
        <v>20</v>
      </c>
      <c r="L3736" s="1158">
        <f>INT(base[[#This Row],[Data de liquidação]])</f>
        <v>46249</v>
      </c>
      <c r="M3736" s="1160">
        <f>base[[#This Row],[L/P Bruto]]-base[[#This Row],[L/P Líquido]]</f>
        <v>0.27000000000000046</v>
      </c>
      <c r="N3736" s="1160">
        <f>base[[#This Row],[L/P Líquido]]/base[[#This Row],[Stake/Responsabilidade]]</f>
        <v>0.28650000000000003</v>
      </c>
      <c r="O3736" s="1162">
        <f>IF(base[[#This Row],[L/P Líquido]]&gt;0,1,0)</f>
        <v>1</v>
      </c>
      <c r="P3736" s="1162"/>
      <c r="Q3736" s="1162" t="str">
        <f>LEFT(base[[#This Row],[Evento / Mercado]],FIND("vs",base[[#This Row],[Evento / Mercado]])-2)</f>
        <v>Deportes Limache</v>
      </c>
      <c r="R373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2" t="str">
        <f>LEFT(base[[#This Row],[Evento / Mercado]],FIND("/",base[[#This Row],[Evento / Mercado]])-2)</f>
        <v>Deportes Limache vs Universidad de Chile</v>
      </c>
      <c r="T3736" s="1163">
        <f>base[[#This Row],[Data de liquidação]]</f>
        <v>46249.838877314818</v>
      </c>
    </row>
    <row r="3737" spans="2:20" ht="15" customHeight="1" x14ac:dyDescent="0.25">
      <c r="B3737" s="1157" t="s">
        <v>4347</v>
      </c>
      <c r="C3737" s="860" t="s">
        <v>3515</v>
      </c>
      <c r="D3737" s="1158">
        <v>46249.850451388891</v>
      </c>
      <c r="E3737" s="1159">
        <v>-20</v>
      </c>
      <c r="F3737" s="584">
        <v>4.4999999999999998E-2</v>
      </c>
      <c r="G3737" s="1160">
        <f t="shared" si="127"/>
        <v>-20</v>
      </c>
      <c r="H3737" s="1160" t="s">
        <v>4253</v>
      </c>
      <c r="I3737" s="1299" t="s">
        <v>75</v>
      </c>
      <c r="J3737" s="1160">
        <v>1.53</v>
      </c>
      <c r="K3737" s="1160">
        <v>20</v>
      </c>
      <c r="L3737" s="1158">
        <f>INT(base[[#This Row],[Data de liquidação]])</f>
        <v>46249</v>
      </c>
      <c r="M3737" s="1160">
        <f>base[[#This Row],[L/P Bruto]]-base[[#This Row],[L/P Líquido]]</f>
        <v>0</v>
      </c>
      <c r="N3737" s="1160">
        <f>base[[#This Row],[L/P Líquido]]/base[[#This Row],[Stake/Responsabilidade]]</f>
        <v>-1</v>
      </c>
      <c r="O3737" s="1162">
        <f>IF(base[[#This Row],[L/P Líquido]]&gt;0,1,0)</f>
        <v>0</v>
      </c>
      <c r="P3737" s="1162"/>
      <c r="Q3737" s="1162" t="str">
        <f>LEFT(base[[#This Row],[Evento / Mercado]],FIND("vs",base[[#This Row],[Evento / Mercado]])-2)</f>
        <v>EC Juventude</v>
      </c>
      <c r="R373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2" t="str">
        <f>LEFT(base[[#This Row],[Evento / Mercado]],FIND("/",base[[#This Row],[Evento / Mercado]])-2)</f>
        <v>EC Juventude vs Fortaleza EC</v>
      </c>
      <c r="T3737" s="1163">
        <f>base[[#This Row],[Data de liquidação]]</f>
        <v>46249.850451388891</v>
      </c>
    </row>
    <row r="3738" spans="2:20" ht="15" customHeight="1" x14ac:dyDescent="0.25">
      <c r="B3738" s="1157" t="s">
        <v>4347</v>
      </c>
      <c r="C3738" s="860" t="s">
        <v>3515</v>
      </c>
      <c r="D3738" s="1158">
        <v>46249.850451388891</v>
      </c>
      <c r="E3738" s="1159">
        <v>-20</v>
      </c>
      <c r="F3738" s="584">
        <v>4.4999999999999998E-2</v>
      </c>
      <c r="G3738" s="1160">
        <f t="shared" ref="G3738" si="128">IF(E3738&gt;0,E3738/(1-F3738),E3738)</f>
        <v>-20</v>
      </c>
      <c r="H3738" s="1160" t="s">
        <v>1648</v>
      </c>
      <c r="I3738" s="1307" t="s">
        <v>2277</v>
      </c>
      <c r="J3738" s="1160">
        <v>1.54</v>
      </c>
      <c r="K3738" s="1160">
        <v>20</v>
      </c>
      <c r="L3738" s="1158">
        <f>INT(base[[#This Row],[Data de liquidação]])</f>
        <v>46249</v>
      </c>
      <c r="M3738" s="1160">
        <f>base[[#This Row],[L/P Bruto]]-base[[#This Row],[L/P Líquido]]</f>
        <v>0</v>
      </c>
      <c r="N3738" s="1160">
        <f>base[[#This Row],[L/P Líquido]]/base[[#This Row],[Stake/Responsabilidade]]</f>
        <v>-1</v>
      </c>
      <c r="O3738" s="1162">
        <f>IF(base[[#This Row],[L/P Líquido]]&gt;0,1,0)</f>
        <v>0</v>
      </c>
      <c r="P3738" s="1162"/>
      <c r="Q3738" s="1162" t="str">
        <f>LEFT(base[[#This Row],[Evento / Mercado]],FIND("vs",base[[#This Row],[Evento / Mercado]])-2)</f>
        <v>EC Juventude</v>
      </c>
      <c r="R373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2" t="str">
        <f>LEFT(base[[#This Row],[Evento / Mercado]],FIND("/",base[[#This Row],[Evento / Mercado]])-2)</f>
        <v>EC Juventude vs Fortaleza EC</v>
      </c>
      <c r="T3738" s="1163">
        <f>base[[#This Row],[Data de liquidação]]</f>
        <v>46249.850451388891</v>
      </c>
    </row>
    <row r="3739" spans="2:20" ht="15" customHeight="1" x14ac:dyDescent="0.25">
      <c r="B3739" s="1157" t="s">
        <v>4346</v>
      </c>
      <c r="C3739" s="860" t="s">
        <v>3515</v>
      </c>
      <c r="D3739" s="1158">
        <v>46249.855856481481</v>
      </c>
      <c r="E3739" s="1159">
        <v>-2</v>
      </c>
      <c r="F3739" s="584">
        <v>4.4999999999999998E-2</v>
      </c>
      <c r="G3739" s="1160">
        <f t="shared" si="127"/>
        <v>-2</v>
      </c>
      <c r="H3739" s="1160" t="s">
        <v>1648</v>
      </c>
      <c r="I3739" s="1307" t="s">
        <v>3296</v>
      </c>
      <c r="J3739" s="1160">
        <v>1.48</v>
      </c>
      <c r="K3739" s="1160">
        <v>2</v>
      </c>
      <c r="L3739" s="1158">
        <f>INT(base[[#This Row],[Data de liquidação]])</f>
        <v>46249</v>
      </c>
      <c r="M3739" s="1160">
        <f>base[[#This Row],[L/P Bruto]]-base[[#This Row],[L/P Líquido]]</f>
        <v>0</v>
      </c>
      <c r="N3739" s="1160">
        <f>base[[#This Row],[L/P Líquido]]/base[[#This Row],[Stake/Responsabilidade]]</f>
        <v>-1</v>
      </c>
      <c r="O3739" s="1162">
        <f>IF(base[[#This Row],[L/P Líquido]]&gt;0,1,0)</f>
        <v>0</v>
      </c>
      <c r="P3739" s="1162"/>
      <c r="Q3739" s="1162" t="str">
        <f>LEFT(base[[#This Row],[Evento / Mercado]],FIND("vs",base[[#This Row],[Evento / Mercado]])-2)</f>
        <v>Universidad Central de Venezuela FC</v>
      </c>
      <c r="R373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2" t="str">
        <f>LEFT(base[[#This Row],[Evento / Mercado]],FIND("/",base[[#This Row],[Evento / Mercado]])-2)</f>
        <v>Universidad Central de Venezuela FC vs Caracas FC</v>
      </c>
      <c r="T3739" s="1163">
        <f>base[[#This Row],[Data de liquidação]]</f>
        <v>46249.855856481481</v>
      </c>
    </row>
    <row r="3740" spans="2:20" ht="15" customHeight="1" x14ac:dyDescent="0.25">
      <c r="B3740" s="1157" t="s">
        <v>4345</v>
      </c>
      <c r="C3740" s="860" t="s">
        <v>3515</v>
      </c>
      <c r="D3740" s="1158">
        <v>46249.945</v>
      </c>
      <c r="E3740" s="1159">
        <v>34.200000000000003</v>
      </c>
      <c r="F3740" s="584">
        <v>4.4999999999999998E-2</v>
      </c>
      <c r="G3740" s="1160">
        <f t="shared" si="127"/>
        <v>35.811518324607334</v>
      </c>
      <c r="H3740" s="1160" t="s">
        <v>74</v>
      </c>
      <c r="I3740" s="1307" t="s">
        <v>626</v>
      </c>
      <c r="J3740" s="1160">
        <v>16.5</v>
      </c>
      <c r="K3740" s="1160">
        <v>555.05999999999995</v>
      </c>
      <c r="L3740" s="1158">
        <f>INT(base[[#This Row],[Data de liquidação]])</f>
        <v>46249</v>
      </c>
      <c r="M3740" s="1160">
        <f>base[[#This Row],[L/P Bruto]]-base[[#This Row],[L/P Líquido]]</f>
        <v>1.6115183246073315</v>
      </c>
      <c r="N3740" s="1160">
        <f>base[[#This Row],[L/P Líquido]]/base[[#This Row],[Stake/Responsabilidade]]</f>
        <v>6.1614960544805981E-2</v>
      </c>
      <c r="O3740" s="1162">
        <f>IF(base[[#This Row],[L/P Líquido]]&gt;0,1,0)</f>
        <v>1</v>
      </c>
      <c r="P3740" s="1162"/>
      <c r="Q3740" s="1162" t="str">
        <f>LEFT(base[[#This Row],[Evento / Mercado]],FIND("vs",base[[#This Row],[Evento / Mercado]])-2)</f>
        <v>Charlotte FC</v>
      </c>
      <c r="R374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2" t="str">
        <f>LEFT(base[[#This Row],[Evento / Mercado]],FIND("/",base[[#This Row],[Evento / Mercado]])-2)</f>
        <v>Charlotte FC vs Columbus Crew</v>
      </c>
      <c r="T3740" s="1163">
        <f>base[[#This Row],[Data de liquidação]]</f>
        <v>46249.945</v>
      </c>
    </row>
    <row r="3741" spans="2:20" ht="15" customHeight="1" x14ac:dyDescent="0.25">
      <c r="B3741" s="1157" t="s">
        <v>4344</v>
      </c>
      <c r="C3741" s="860" t="s">
        <v>3515</v>
      </c>
      <c r="D3741" s="1158">
        <v>46249.953298611108</v>
      </c>
      <c r="E3741" s="1159">
        <v>-20</v>
      </c>
      <c r="F3741" s="584">
        <v>4.4999999999999998E-2</v>
      </c>
      <c r="G3741" s="1160">
        <f t="shared" si="127"/>
        <v>-20</v>
      </c>
      <c r="H3741" s="1160" t="s">
        <v>1648</v>
      </c>
      <c r="I3741" s="1307" t="s">
        <v>2277</v>
      </c>
      <c r="J3741" s="1160">
        <v>1.51</v>
      </c>
      <c r="K3741" s="1160">
        <v>20</v>
      </c>
      <c r="L3741" s="1158">
        <f>INT(base[[#This Row],[Data de liquidação]])</f>
        <v>46249</v>
      </c>
      <c r="M3741" s="1160">
        <f>base[[#This Row],[L/P Bruto]]-base[[#This Row],[L/P Líquido]]</f>
        <v>0</v>
      </c>
      <c r="N3741" s="1160">
        <f>base[[#This Row],[L/P Líquido]]/base[[#This Row],[Stake/Responsabilidade]]</f>
        <v>-1</v>
      </c>
      <c r="O3741" s="1162">
        <f>IF(base[[#This Row],[L/P Líquido]]&gt;0,1,0)</f>
        <v>0</v>
      </c>
      <c r="P3741" s="1162"/>
      <c r="Q3741" s="1162" t="str">
        <f>LEFT(base[[#This Row],[Evento / Mercado]],FIND("vs",base[[#This Row],[Evento / Mercado]])-2)</f>
        <v>Mushuc Runa</v>
      </c>
      <c r="R374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2" t="str">
        <f>LEFT(base[[#This Row],[Evento / Mercado]],FIND("/",base[[#This Row],[Evento / Mercado]])-2)</f>
        <v>Mushuc Runa vs Barcelona SC</v>
      </c>
      <c r="T3741" s="1163">
        <f>base[[#This Row],[Data de liquidação]]</f>
        <v>46249.953298611108</v>
      </c>
    </row>
    <row r="3742" spans="2:20" ht="15" customHeight="1" x14ac:dyDescent="0.25">
      <c r="B3742" s="1157" t="s">
        <v>4343</v>
      </c>
      <c r="C3742" s="860" t="s">
        <v>3515</v>
      </c>
      <c r="D3742" s="1158">
        <v>46249.963263888887</v>
      </c>
      <c r="E3742" s="1159">
        <v>4.55</v>
      </c>
      <c r="F3742" s="584">
        <v>4.4999999999999998E-2</v>
      </c>
      <c r="G3742" s="1160">
        <f t="shared" si="127"/>
        <v>4.7643979057591626</v>
      </c>
      <c r="H3742" s="1160" t="s">
        <v>1648</v>
      </c>
      <c r="I3742" s="1307" t="s">
        <v>2919</v>
      </c>
      <c r="J3742" s="1160">
        <v>12</v>
      </c>
      <c r="K3742" s="1160">
        <v>52.36</v>
      </c>
      <c r="L3742" s="1158">
        <f>INT(base[[#This Row],[Data de liquidação]])</f>
        <v>46249</v>
      </c>
      <c r="M3742" s="1160">
        <f>base[[#This Row],[L/P Bruto]]-base[[#This Row],[L/P Líquido]]</f>
        <v>0.21439790575916273</v>
      </c>
      <c r="N3742" s="1160">
        <f>base[[#This Row],[L/P Líquido]]/base[[#This Row],[Stake/Responsabilidade]]</f>
        <v>8.6898395721925134E-2</v>
      </c>
      <c r="O3742" s="1162">
        <f>IF(base[[#This Row],[L/P Líquido]]&gt;0,1,0)</f>
        <v>1</v>
      </c>
      <c r="P3742" s="1162"/>
      <c r="Q3742" s="1162" t="str">
        <f>LEFT(base[[#This Row],[Evento / Mercado]],FIND("vs",base[[#This Row],[Evento / Mercado]])-2)</f>
        <v>Platense</v>
      </c>
      <c r="R374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2" t="str">
        <f>LEFT(base[[#This Row],[Evento / Mercado]],FIND("/",base[[#This Row],[Evento / Mercado]])-2)</f>
        <v>Platense vs Boca Juniors</v>
      </c>
      <c r="T3742" s="1163">
        <f>base[[#This Row],[Data de liquidação]]</f>
        <v>46249.963263888887</v>
      </c>
    </row>
    <row r="3743" spans="2:20" ht="15" customHeight="1" x14ac:dyDescent="0.25">
      <c r="B3743" s="1157" t="s">
        <v>4342</v>
      </c>
      <c r="C3743" s="860" t="s">
        <v>3515</v>
      </c>
      <c r="D3743" s="1158">
        <v>46249.980868055558</v>
      </c>
      <c r="E3743" s="1159">
        <v>13.55</v>
      </c>
      <c r="F3743" s="584">
        <v>4.4999999999999998E-2</v>
      </c>
      <c r="G3743" s="1160">
        <f t="shared" si="127"/>
        <v>14.188481675392671</v>
      </c>
      <c r="H3743" s="1161" t="s">
        <v>4320</v>
      </c>
      <c r="I3743" s="1304"/>
      <c r="J3743" s="1160">
        <v>16.5</v>
      </c>
      <c r="K3743" s="1160">
        <v>219.95</v>
      </c>
      <c r="L3743" s="1158">
        <f>INT(base[[#This Row],[Data de liquidação]])</f>
        <v>46249</v>
      </c>
      <c r="M3743" s="1160">
        <f>base[[#This Row],[L/P Bruto]]-base[[#This Row],[L/P Líquido]]</f>
        <v>0.63848167539267031</v>
      </c>
      <c r="N3743" s="1160">
        <f>base[[#This Row],[L/P Líquido]]/base[[#This Row],[Stake/Responsabilidade]]</f>
        <v>6.1604910206865204E-2</v>
      </c>
      <c r="O3743" s="1162">
        <f>IF(base[[#This Row],[L/P Líquido]]&gt;0,1,0)</f>
        <v>1</v>
      </c>
      <c r="P3743" s="1162"/>
      <c r="Q3743" s="1162" t="str">
        <f>LEFT(base[[#This Row],[Evento / Mercado]],FIND("vs",base[[#This Row],[Evento / Mercado]])-2)</f>
        <v>Alianza Lima</v>
      </c>
      <c r="R374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2" t="str">
        <f>LEFT(base[[#This Row],[Evento / Mercado]],FIND("/",base[[#This Row],[Evento / Mercado]])-2)</f>
        <v>Alianza Lima vs Universidad Técnica de Cajamarca</v>
      </c>
      <c r="T3743" s="1163">
        <f>base[[#This Row],[Data de liquidação]]</f>
        <v>46249.980868055558</v>
      </c>
    </row>
    <row r="3744" spans="2:20" ht="15" customHeight="1" x14ac:dyDescent="0.25">
      <c r="B3744" s="1157" t="s">
        <v>4341</v>
      </c>
      <c r="C3744" s="860" t="s">
        <v>3515</v>
      </c>
      <c r="D3744" s="1158">
        <v>46249.991099537037</v>
      </c>
      <c r="E3744" s="1159">
        <v>27.28</v>
      </c>
      <c r="F3744" s="584">
        <v>4.4999999999999998E-2</v>
      </c>
      <c r="G3744" s="1160">
        <f t="shared" si="127"/>
        <v>28.565445026178011</v>
      </c>
      <c r="H3744" s="1160" t="s">
        <v>3822</v>
      </c>
      <c r="I3744" s="1255" t="s">
        <v>626</v>
      </c>
      <c r="J3744" s="1160">
        <v>22</v>
      </c>
      <c r="K3744" s="1160">
        <v>599.97</v>
      </c>
      <c r="L3744" s="1158">
        <f>INT(base[[#This Row],[Data de liquidação]])</f>
        <v>46249</v>
      </c>
      <c r="M3744" s="1160">
        <f>base[[#This Row],[L/P Bruto]]-base[[#This Row],[L/P Líquido]]</f>
        <v>1.2854450261780102</v>
      </c>
      <c r="N3744" s="1160">
        <f>base[[#This Row],[L/P Líquido]]/base[[#This Row],[Stake/Responsabilidade]]</f>
        <v>4.5468940113672349E-2</v>
      </c>
      <c r="O3744" s="1162">
        <f>IF(base[[#This Row],[L/P Líquido]]&gt;0,1,0)</f>
        <v>1</v>
      </c>
      <c r="P3744" s="1162"/>
      <c r="Q3744" s="1162" t="str">
        <f>LEFT(base[[#This Row],[Evento / Mercado]],FIND("vs",base[[#This Row],[Evento / Mercado]])-2)</f>
        <v>Houston Dynamo</v>
      </c>
      <c r="R374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2" t="str">
        <f>LEFT(base[[#This Row],[Evento / Mercado]],FIND("/",base[[#This Row],[Evento / Mercado]])-2)</f>
        <v>Houston Dynamo vs Los Angeles Galaxy</v>
      </c>
      <c r="T3744" s="1163">
        <f>base[[#This Row],[Data de liquidação]]</f>
        <v>46249.991099537037</v>
      </c>
    </row>
    <row r="3745" spans="2:22" ht="15" customHeight="1" x14ac:dyDescent="0.25">
      <c r="B3745" s="1165" t="s">
        <v>4394</v>
      </c>
      <c r="C3745" s="860" t="s">
        <v>3515</v>
      </c>
      <c r="D3745" s="1166">
        <v>46250.023692129631</v>
      </c>
      <c r="E3745" s="1167">
        <v>21.22</v>
      </c>
      <c r="F3745" s="584">
        <v>4.4999999999999998E-2</v>
      </c>
      <c r="G3745" s="1168">
        <f t="shared" ref="G3745:G3780" si="129">IF(E3745&gt;0,E3745/(1-F3745),E3745)</f>
        <v>22.219895287958114</v>
      </c>
      <c r="H3745" s="1168" t="s">
        <v>74</v>
      </c>
      <c r="I3745" s="1308" t="s">
        <v>626</v>
      </c>
      <c r="J3745" s="1168">
        <v>19</v>
      </c>
      <c r="K3745" s="1168">
        <v>399.96</v>
      </c>
      <c r="L3745" s="1166">
        <f>INT(base[[#This Row],[Data de liquidação]])</f>
        <v>46250</v>
      </c>
      <c r="M3745" s="1168">
        <f>base[[#This Row],[L/P Bruto]]-base[[#This Row],[L/P Líquido]]</f>
        <v>0.99989528795811466</v>
      </c>
      <c r="N3745" s="1168">
        <f>base[[#This Row],[L/P Líquido]]/base[[#This Row],[Stake/Responsabilidade]]</f>
        <v>5.3055305530553057E-2</v>
      </c>
      <c r="O3745" s="1169">
        <f>IF(base[[#This Row],[L/P Líquido]]&gt;0,1,0)</f>
        <v>1</v>
      </c>
      <c r="P3745" s="1169"/>
      <c r="Q3745" s="1169" t="str">
        <f>LEFT(base[[#This Row],[Evento / Mercado]],FIND("vs",base[[#This Row],[Evento / Mercado]])-2)</f>
        <v>Real Salt Lake</v>
      </c>
      <c r="R374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9" t="str">
        <f>LEFT(base[[#This Row],[Evento / Mercado]],FIND("/",base[[#This Row],[Evento / Mercado]])-2)</f>
        <v>Real Salt Lake vs Minnesota United</v>
      </c>
      <c r="T3745" s="1170">
        <f>base[[#This Row],[Data de liquidação]]</f>
        <v>46250.023692129631</v>
      </c>
    </row>
    <row r="3746" spans="2:22" ht="15" customHeight="1" x14ac:dyDescent="0.25">
      <c r="B3746" s="1165" t="s">
        <v>4393</v>
      </c>
      <c r="C3746" s="860" t="s">
        <v>3515</v>
      </c>
      <c r="D3746" s="1166">
        <v>46250.025289351855</v>
      </c>
      <c r="E3746" s="1167">
        <v>0.96</v>
      </c>
      <c r="F3746" s="584">
        <v>4.4999999999999998E-2</v>
      </c>
      <c r="G3746" s="1168">
        <f t="shared" si="129"/>
        <v>1.0052356020942408</v>
      </c>
      <c r="H3746" s="1160" t="s">
        <v>3822</v>
      </c>
      <c r="I3746" s="1255" t="s">
        <v>626</v>
      </c>
      <c r="J3746" s="1168">
        <v>26</v>
      </c>
      <c r="K3746" s="1168">
        <v>600</v>
      </c>
      <c r="L3746" s="1166">
        <f>INT(base[[#This Row],[Data de liquidação]])</f>
        <v>46250</v>
      </c>
      <c r="M3746" s="1168">
        <f>base[[#This Row],[L/P Bruto]]-base[[#This Row],[L/P Líquido]]</f>
        <v>4.5235602094240823E-2</v>
      </c>
      <c r="N3746" s="1168">
        <f>base[[#This Row],[L/P Líquido]]/base[[#This Row],[Stake/Responsabilidade]]</f>
        <v>1.5999999999999999E-3</v>
      </c>
      <c r="O3746" s="1169">
        <f>IF(base[[#This Row],[L/P Líquido]]&gt;0,1,0)</f>
        <v>1</v>
      </c>
      <c r="P3746" s="1169"/>
      <c r="Q3746" s="1169" t="str">
        <f>LEFT(base[[#This Row],[Evento / Mercado]],FIND("vs",base[[#This Row],[Evento / Mercado]])-2)</f>
        <v>Colorado Rapids</v>
      </c>
      <c r="R374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9" t="str">
        <f>LEFT(base[[#This Row],[Evento / Mercado]],FIND("/",base[[#This Row],[Evento / Mercado]])-2)</f>
        <v>Colorado Rapids vs Sporting Kansas City</v>
      </c>
      <c r="T3746" s="1170">
        <f>base[[#This Row],[Data de liquidação]]</f>
        <v>46250.025289351855</v>
      </c>
    </row>
    <row r="3747" spans="2:22" ht="15" customHeight="1" x14ac:dyDescent="0.25">
      <c r="B3747" s="1165" t="s">
        <v>4392</v>
      </c>
      <c r="C3747" s="1165" t="s">
        <v>3513</v>
      </c>
      <c r="D3747" s="1166">
        <v>46250.066666666666</v>
      </c>
      <c r="E3747" s="1167">
        <v>-46.9</v>
      </c>
      <c r="F3747" s="584">
        <v>4.4999999999999998E-2</v>
      </c>
      <c r="G3747" s="1168">
        <f t="shared" si="129"/>
        <v>-46.9</v>
      </c>
      <c r="H3747" s="1160" t="s">
        <v>3822</v>
      </c>
      <c r="I3747" s="1255" t="s">
        <v>626</v>
      </c>
      <c r="J3747" s="1168">
        <v>26</v>
      </c>
      <c r="K3747" s="1168">
        <v>600</v>
      </c>
      <c r="L3747" s="1166">
        <f>INT(base[[#This Row],[Data de liquidação]])</f>
        <v>46250</v>
      </c>
      <c r="M3747" s="1168">
        <f>base[[#This Row],[L/P Bruto]]-base[[#This Row],[L/P Líquido]]</f>
        <v>0</v>
      </c>
      <c r="N3747" s="1168">
        <f>base[[#This Row],[L/P Líquido]]/base[[#This Row],[Stake/Responsabilidade]]</f>
        <v>-7.8166666666666662E-2</v>
      </c>
      <c r="O3747" s="1169">
        <f>IF(base[[#This Row],[L/P Líquido]]&gt;0,1,0)</f>
        <v>0</v>
      </c>
      <c r="P3747" s="1169"/>
      <c r="Q3747" s="1169" t="str">
        <f>LEFT(base[[#This Row],[Evento / Mercado]],FIND("vs",base[[#This Row],[Evento / Mercado]])-2)</f>
        <v>Los Angeles FC</v>
      </c>
      <c r="R374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9" t="str">
        <f>LEFT(base[[#This Row],[Evento / Mercado]],FIND("/",base[[#This Row],[Evento / Mercado]])-2)</f>
        <v>Los Angeles FC vs San Diego FC</v>
      </c>
      <c r="T3747" s="1170">
        <f>base[[#This Row],[Data de liquidação]]</f>
        <v>46250.066666666666</v>
      </c>
    </row>
    <row r="3748" spans="2:22" ht="15" customHeight="1" x14ac:dyDescent="0.25">
      <c r="B3748" s="1165" t="s">
        <v>4392</v>
      </c>
      <c r="C3748" s="860" t="s">
        <v>3515</v>
      </c>
      <c r="D3748" s="1166">
        <v>46250.066828703704</v>
      </c>
      <c r="E3748" s="1167">
        <v>-490.05</v>
      </c>
      <c r="F3748" s="584">
        <v>4.4999999999999998E-2</v>
      </c>
      <c r="G3748" s="1168">
        <f t="shared" si="129"/>
        <v>-490.05</v>
      </c>
      <c r="H3748" s="1168" t="s">
        <v>3297</v>
      </c>
      <c r="I3748" s="1308" t="s">
        <v>626</v>
      </c>
      <c r="J3748" s="1168">
        <v>28</v>
      </c>
      <c r="K3748" s="1168">
        <v>490.05</v>
      </c>
      <c r="L3748" s="1166">
        <f>INT(base[[#This Row],[Data de liquidação]])</f>
        <v>46250</v>
      </c>
      <c r="M3748" s="1168">
        <f>base[[#This Row],[L/P Bruto]]-base[[#This Row],[L/P Líquido]]</f>
        <v>0</v>
      </c>
      <c r="N3748" s="1168">
        <f>base[[#This Row],[L/P Líquido]]/base[[#This Row],[Stake/Responsabilidade]]</f>
        <v>-1</v>
      </c>
      <c r="O3748" s="1169">
        <f>IF(base[[#This Row],[L/P Líquido]]&gt;0,1,0)</f>
        <v>0</v>
      </c>
      <c r="P3748" s="1169"/>
      <c r="Q3748" s="1169" t="str">
        <f>LEFT(base[[#This Row],[Evento / Mercado]],FIND("vs",base[[#This Row],[Evento / Mercado]])-2)</f>
        <v>Los Angeles FC</v>
      </c>
      <c r="R374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9" t="str">
        <f>LEFT(base[[#This Row],[Evento / Mercado]],FIND("/",base[[#This Row],[Evento / Mercado]])-2)</f>
        <v>Los Angeles FC vs San Diego FC</v>
      </c>
      <c r="T3748" s="1170">
        <f>base[[#This Row],[Data de liquidação]]</f>
        <v>46250.066828703704</v>
      </c>
    </row>
    <row r="3749" spans="2:22" ht="15" customHeight="1" x14ac:dyDescent="0.25">
      <c r="B3749" s="1165" t="s">
        <v>4391</v>
      </c>
      <c r="C3749" s="860" t="s">
        <v>3515</v>
      </c>
      <c r="D3749" s="1166">
        <v>46250.434895833336</v>
      </c>
      <c r="E3749" s="1167">
        <v>-120</v>
      </c>
      <c r="F3749" s="584">
        <v>4.4999999999999998E-2</v>
      </c>
      <c r="G3749" s="1168">
        <f t="shared" si="129"/>
        <v>-120</v>
      </c>
      <c r="H3749" s="1168" t="s">
        <v>314</v>
      </c>
      <c r="I3749" s="1308" t="s">
        <v>349</v>
      </c>
      <c r="J3749" s="1168">
        <v>1.64</v>
      </c>
      <c r="K3749" s="1168">
        <v>120</v>
      </c>
      <c r="L3749" s="1166">
        <f>INT(base[[#This Row],[Data de liquidação]])</f>
        <v>46250</v>
      </c>
      <c r="M3749" s="1168">
        <f>base[[#This Row],[L/P Bruto]]-base[[#This Row],[L/P Líquido]]</f>
        <v>0</v>
      </c>
      <c r="N3749" s="1168">
        <f>base[[#This Row],[L/P Líquido]]/base[[#This Row],[Stake/Responsabilidade]]</f>
        <v>-1</v>
      </c>
      <c r="O3749" s="1169">
        <f>IF(base[[#This Row],[L/P Líquido]]&gt;0,1,0)</f>
        <v>0</v>
      </c>
      <c r="P3749" s="1169"/>
      <c r="Q3749" s="1169" t="str">
        <f>LEFT(base[[#This Row],[Evento / Mercado]],FIND("vs",base[[#This Row],[Evento / Mercado]])-2)</f>
        <v>Arminia Bielefeld</v>
      </c>
      <c r="R374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9" t="str">
        <f>LEFT(base[[#This Row],[Evento / Mercado]],FIND("/",base[[#This Row],[Evento / Mercado]])-2)</f>
        <v>Arminia Bielefeld vs Energie Cottbus</v>
      </c>
      <c r="T3749" s="1170">
        <f>base[[#This Row],[Data de liquidação]]</f>
        <v>46250.434895833336</v>
      </c>
    </row>
    <row r="3750" spans="2:22" ht="15" customHeight="1" x14ac:dyDescent="0.25">
      <c r="B3750" s="1165" t="s">
        <v>4390</v>
      </c>
      <c r="C3750" s="860" t="s">
        <v>3515</v>
      </c>
      <c r="D3750" s="1166">
        <v>46250.453981481478</v>
      </c>
      <c r="E3750" s="1167">
        <v>73.459999999999994</v>
      </c>
      <c r="F3750" s="584">
        <v>4.4999999999999998E-2</v>
      </c>
      <c r="G3750" s="1168">
        <f t="shared" si="129"/>
        <v>76.921465968586389</v>
      </c>
      <c r="H3750" s="1168" t="s">
        <v>314</v>
      </c>
      <c r="I3750" s="1308" t="s">
        <v>349</v>
      </c>
      <c r="J3750" s="1168">
        <v>1.64</v>
      </c>
      <c r="K3750" s="1168">
        <v>120</v>
      </c>
      <c r="L3750" s="1166">
        <f>INT(base[[#This Row],[Data de liquidação]])</f>
        <v>46250</v>
      </c>
      <c r="M3750" s="1168">
        <f>base[[#This Row],[L/P Bruto]]-base[[#This Row],[L/P Líquido]]</f>
        <v>3.4614659685863955</v>
      </c>
      <c r="N3750" s="1168">
        <f>base[[#This Row],[L/P Líquido]]/base[[#This Row],[Stake/Responsabilidade]]</f>
        <v>0.61216666666666664</v>
      </c>
      <c r="O3750" s="1169">
        <f>IF(base[[#This Row],[L/P Líquido]]&gt;0,1,0)</f>
        <v>1</v>
      </c>
      <c r="P3750" s="1169"/>
      <c r="Q3750" s="1169" t="str">
        <f>LEFT(base[[#This Row],[Evento / Mercado]],FIND("vs",base[[#This Row],[Evento / Mercado]])-2)</f>
        <v>Feyenoord</v>
      </c>
      <c r="R375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9" t="str">
        <f>LEFT(base[[#This Row],[Evento / Mercado]],FIND("/",base[[#This Row],[Evento / Mercado]])-2)</f>
        <v>Feyenoord vs Go Ahead Eagles</v>
      </c>
      <c r="T3750" s="1170">
        <f>base[[#This Row],[Data de liquidação]]</f>
        <v>46250.453981481478</v>
      </c>
    </row>
    <row r="3751" spans="2:22" ht="15" customHeight="1" x14ac:dyDescent="0.25">
      <c r="B3751" s="1165" t="s">
        <v>4389</v>
      </c>
      <c r="C3751" s="860" t="s">
        <v>3515</v>
      </c>
      <c r="D3751" s="1166">
        <v>46250.475960648146</v>
      </c>
      <c r="E3751" s="1167">
        <v>18.23</v>
      </c>
      <c r="F3751" s="584">
        <v>4.4999999999999998E-2</v>
      </c>
      <c r="G3751" s="1168">
        <f t="shared" si="129"/>
        <v>19.089005235602095</v>
      </c>
      <c r="H3751" s="1168" t="s">
        <v>74</v>
      </c>
      <c r="I3751" s="1308" t="s">
        <v>693</v>
      </c>
      <c r="J3751" s="1168">
        <v>23</v>
      </c>
      <c r="K3751" s="1168">
        <v>419.98</v>
      </c>
      <c r="L3751" s="1166">
        <f>INT(base[[#This Row],[Data de liquidação]])</f>
        <v>46250</v>
      </c>
      <c r="M3751" s="1168">
        <f>base[[#This Row],[L/P Bruto]]-base[[#This Row],[L/P Líquido]]</f>
        <v>0.85900523560209407</v>
      </c>
      <c r="N3751" s="1168">
        <f>base[[#This Row],[L/P Líquido]]/base[[#This Row],[Stake/Responsabilidade]]</f>
        <v>4.3406828896614125E-2</v>
      </c>
      <c r="O3751" s="1169">
        <f>IF(base[[#This Row],[L/P Líquido]]&gt;0,1,0)</f>
        <v>1</v>
      </c>
      <c r="P3751" s="1169"/>
      <c r="Q3751" s="1169" t="str">
        <f>LEFT(base[[#This Row],[Evento / Mercado]],FIND("vs",base[[#This Row],[Evento / Mercado]])-2)</f>
        <v>Aalesunds FK</v>
      </c>
      <c r="R375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9" t="str">
        <f>LEFT(base[[#This Row],[Evento / Mercado]],FIND("/",base[[#This Row],[Evento / Mercado]])-2)</f>
        <v>Aalesunds FK vs Vålerenga</v>
      </c>
      <c r="T3751" s="1170">
        <f>base[[#This Row],[Data de liquidação]]</f>
        <v>46250.475960648146</v>
      </c>
    </row>
    <row r="3752" spans="2:22" ht="15" customHeight="1" x14ac:dyDescent="0.25">
      <c r="B3752" s="1165" t="s">
        <v>4388</v>
      </c>
      <c r="C3752" s="860" t="s">
        <v>3515</v>
      </c>
      <c r="D3752" s="1166">
        <v>46250.492465277777</v>
      </c>
      <c r="E3752" s="1167">
        <v>47.01</v>
      </c>
      <c r="F3752" s="584">
        <v>4.4999999999999998E-2</v>
      </c>
      <c r="G3752" s="1168">
        <f t="shared" si="129"/>
        <v>49.225130890052355</v>
      </c>
      <c r="H3752" s="1171" t="s">
        <v>3370</v>
      </c>
      <c r="I3752" s="1308" t="s">
        <v>391</v>
      </c>
      <c r="J3752" s="1168">
        <v>10.5</v>
      </c>
      <c r="K3752" s="1168">
        <v>490.01</v>
      </c>
      <c r="L3752" s="1166">
        <f>INT(base[[#This Row],[Data de liquidação]])</f>
        <v>46250</v>
      </c>
      <c r="M3752" s="1168">
        <f>base[[#This Row],[L/P Bruto]]-base[[#This Row],[L/P Líquido]]</f>
        <v>2.2151308900523574</v>
      </c>
      <c r="N3752" s="1168">
        <f>base[[#This Row],[L/P Líquido]]/base[[#This Row],[Stake/Responsabilidade]]</f>
        <v>9.5936817615967021E-2</v>
      </c>
      <c r="O3752" s="1169">
        <f>IF(base[[#This Row],[L/P Líquido]]&gt;0,1,0)</f>
        <v>1</v>
      </c>
      <c r="P3752" s="1347" t="s">
        <v>3601</v>
      </c>
      <c r="Q3752" s="1169" t="str">
        <f>LEFT(base[[#This Row],[Evento / Mercado]],FIND("vs",base[[#This Row],[Evento / Mercado]])-2)</f>
        <v>HJK Helsinki</v>
      </c>
      <c r="R375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9" t="str">
        <f>LEFT(base[[#This Row],[Evento / Mercado]],FIND("/",base[[#This Row],[Evento / Mercado]])-2)</f>
        <v>HJK Helsinki vs FF Jaro</v>
      </c>
      <c r="T3752" s="1170">
        <f>base[[#This Row],[Data de liquidação]]</f>
        <v>46250.492465277777</v>
      </c>
    </row>
    <row r="3753" spans="2:22" ht="15" customHeight="1" x14ac:dyDescent="0.25">
      <c r="B3753" s="1165" t="s">
        <v>4387</v>
      </c>
      <c r="C3753" s="860" t="s">
        <v>3515</v>
      </c>
      <c r="D3753" s="1166">
        <v>46250.496099537035</v>
      </c>
      <c r="E3753" s="1167">
        <v>22.44</v>
      </c>
      <c r="F3753" s="584">
        <v>4.4999999999999998E-2</v>
      </c>
      <c r="G3753" s="1168">
        <f t="shared" si="129"/>
        <v>23.497382198952881</v>
      </c>
      <c r="H3753" s="1168" t="s">
        <v>4320</v>
      </c>
      <c r="I3753" s="1308"/>
      <c r="J3753" s="1168">
        <v>11</v>
      </c>
      <c r="K3753" s="1168">
        <v>235</v>
      </c>
      <c r="L3753" s="1166">
        <f>INT(base[[#This Row],[Data de liquidação]])</f>
        <v>46250</v>
      </c>
      <c r="M3753" s="1168">
        <f>base[[#This Row],[L/P Bruto]]-base[[#This Row],[L/P Líquido]]</f>
        <v>1.0573821989528795</v>
      </c>
      <c r="N3753" s="1168">
        <f>base[[#This Row],[L/P Líquido]]/base[[#This Row],[Stake/Responsabilidade]]</f>
        <v>9.548936170212767E-2</v>
      </c>
      <c r="O3753" s="1169">
        <f>IF(base[[#This Row],[L/P Líquido]]&gt;0,1,0)</f>
        <v>1</v>
      </c>
      <c r="P3753" s="1169"/>
      <c r="Q3753" s="1169" t="str">
        <f>LEFT(base[[#This Row],[Evento / Mercado]],FIND("vs",base[[#This Row],[Evento / Mercado]])-2)</f>
        <v>Cerro Porteño</v>
      </c>
      <c r="R375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9" t="str">
        <f>LEFT(base[[#This Row],[Evento / Mercado]],FIND("/",base[[#This Row],[Evento / Mercado]])-2)</f>
        <v>Cerro Porteño vs Sportivo San Lorenzo</v>
      </c>
      <c r="T3753" s="1170">
        <f>base[[#This Row],[Data de liquidação]]</f>
        <v>46250.496099537035</v>
      </c>
    </row>
    <row r="3754" spans="2:22" ht="15" customHeight="1" x14ac:dyDescent="0.25">
      <c r="B3754" s="1165" t="s">
        <v>4386</v>
      </c>
      <c r="C3754" s="860" t="s">
        <v>3515</v>
      </c>
      <c r="D3754" s="1166">
        <v>46250.535821759258</v>
      </c>
      <c r="E3754" s="1167">
        <v>27.723649999999999</v>
      </c>
      <c r="F3754" s="584">
        <v>4.4999999999999998E-2</v>
      </c>
      <c r="G3754" s="1168">
        <f t="shared" si="129"/>
        <v>29.03</v>
      </c>
      <c r="H3754" s="1168" t="s">
        <v>3234</v>
      </c>
      <c r="I3754" s="1308" t="s">
        <v>693</v>
      </c>
      <c r="J3754" s="1168">
        <v>16.5</v>
      </c>
      <c r="K3754" s="1168">
        <v>449.97</v>
      </c>
      <c r="L3754" s="1166">
        <f>INT(base[[#This Row],[Data de liquidação]])</f>
        <v>46250</v>
      </c>
      <c r="M3754" s="1168">
        <f>base[[#This Row],[L/P Bruto]]-base[[#This Row],[L/P Líquido]]</f>
        <v>1.3063500000000019</v>
      </c>
      <c r="N3754" s="1168">
        <f>base[[#This Row],[L/P Líquido]]/base[[#This Row],[Stake/Responsabilidade]]</f>
        <v>6.1612218592350596E-2</v>
      </c>
      <c r="O3754" s="1169">
        <f>IF(base[[#This Row],[L/P Líquido]]&gt;0,1,0)</f>
        <v>1</v>
      </c>
      <c r="P3754" s="1169"/>
      <c r="Q3754" s="1169" t="str">
        <f>LEFT(base[[#This Row],[Evento / Mercado]],FIND("vs",base[[#This Row],[Evento / Mercado]])-2)</f>
        <v>Lyngby BK</v>
      </c>
      <c r="R375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9" t="str">
        <f>LEFT(base[[#This Row],[Evento / Mercado]],FIND("/",base[[#This Row],[Evento / Mercado]])-2)</f>
        <v>Lyngby BK vs FC Midtjylland</v>
      </c>
      <c r="T3754" s="1170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 x14ac:dyDescent="0.25">
      <c r="B3755" s="1165" t="s">
        <v>4386</v>
      </c>
      <c r="C3755" s="860" t="s">
        <v>3515</v>
      </c>
      <c r="D3755" s="1166">
        <v>46250.535821759258</v>
      </c>
      <c r="E3755" s="1167">
        <v>6.12155</v>
      </c>
      <c r="F3755" s="584">
        <v>4.4999999999999998E-2</v>
      </c>
      <c r="G3755" s="1168">
        <f t="shared" ref="G3755" si="131">IF(E3755&gt;0,E3755/(1-F3755),E3755)</f>
        <v>6.41</v>
      </c>
      <c r="H3755" s="1168" t="s">
        <v>1648</v>
      </c>
      <c r="I3755" s="1308" t="s">
        <v>2919</v>
      </c>
      <c r="J3755" s="1168">
        <v>8.4</v>
      </c>
      <c r="K3755" s="1168">
        <v>47.43</v>
      </c>
      <c r="L3755" s="1166">
        <f>INT(base[[#This Row],[Data de liquidação]])</f>
        <v>46250</v>
      </c>
      <c r="M3755" s="1168">
        <f>base[[#This Row],[L/P Bruto]]-base[[#This Row],[L/P Líquido]]</f>
        <v>0.2884500000000001</v>
      </c>
      <c r="N3755" s="1168">
        <f>base[[#This Row],[L/P Líquido]]/base[[#This Row],[Stake/Responsabilidade]]</f>
        <v>0.12906493780307823</v>
      </c>
      <c r="O3755" s="1169">
        <f>IF(base[[#This Row],[L/P Líquido]]&gt;0,1,0)</f>
        <v>1</v>
      </c>
      <c r="P3755" s="1169"/>
      <c r="Q3755" s="1169" t="str">
        <f>LEFT(base[[#This Row],[Evento / Mercado]],FIND("vs",base[[#This Row],[Evento / Mercado]])-2)</f>
        <v>Lyngby BK</v>
      </c>
      <c r="R375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9" t="str">
        <f>LEFT(base[[#This Row],[Evento / Mercado]],FIND("/",base[[#This Row],[Evento / Mercado]])-2)</f>
        <v>Lyngby BK vs FC Midtjylland</v>
      </c>
      <c r="T3755" s="1170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 x14ac:dyDescent="0.25">
      <c r="B3756" s="1165" t="s">
        <v>4385</v>
      </c>
      <c r="C3756" s="860" t="s">
        <v>3515</v>
      </c>
      <c r="D3756" s="1166">
        <v>46250.538877314815</v>
      </c>
      <c r="E3756" s="1167">
        <v>-120</v>
      </c>
      <c r="F3756" s="584">
        <v>4.4999999999999998E-2</v>
      </c>
      <c r="G3756" s="1168">
        <f t="shared" si="129"/>
        <v>-120</v>
      </c>
      <c r="H3756" s="1168" t="s">
        <v>314</v>
      </c>
      <c r="I3756" s="1308" t="s">
        <v>349</v>
      </c>
      <c r="J3756" s="1168">
        <v>1.67</v>
      </c>
      <c r="K3756" s="1168">
        <v>120</v>
      </c>
      <c r="L3756" s="1166">
        <f>INT(base[[#This Row],[Data de liquidação]])</f>
        <v>46250</v>
      </c>
      <c r="M3756" s="1168">
        <f>base[[#This Row],[L/P Bruto]]-base[[#This Row],[L/P Líquido]]</f>
        <v>0</v>
      </c>
      <c r="N3756" s="1168">
        <f>base[[#This Row],[L/P Líquido]]/base[[#This Row],[Stake/Responsabilidade]]</f>
        <v>-1</v>
      </c>
      <c r="O3756" s="1169">
        <f>IF(base[[#This Row],[L/P Líquido]]&gt;0,1,0)</f>
        <v>0</v>
      </c>
      <c r="P3756" s="1169"/>
      <c r="Q3756" s="1169" t="str">
        <f>LEFT(base[[#This Row],[Evento / Mercado]],FIND("vs",base[[#This Row],[Evento / Mercado]])-2)</f>
        <v>Arsenal</v>
      </c>
      <c r="R375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9" t="str">
        <f>LEFT(base[[#This Row],[Evento / Mercado]],FIND("/",base[[#This Row],[Evento / Mercado]])-2)</f>
        <v>Arsenal vs Manchester City</v>
      </c>
      <c r="T3756" s="1170">
        <f>base[[#This Row],[Data de liquidação]]</f>
        <v>46250.538877314815</v>
      </c>
    </row>
    <row r="3757" spans="2:22" ht="15" customHeight="1" x14ac:dyDescent="0.25">
      <c r="B3757" s="1165" t="s">
        <v>4384</v>
      </c>
      <c r="C3757" s="860" t="s">
        <v>3515</v>
      </c>
      <c r="D3757" s="1166">
        <v>46250.58693287037</v>
      </c>
      <c r="E3757" s="1167">
        <v>24.72</v>
      </c>
      <c r="F3757" s="584">
        <v>4.4999999999999998E-2</v>
      </c>
      <c r="G3757" s="1168">
        <f t="shared" si="129"/>
        <v>25.884816753926703</v>
      </c>
      <c r="H3757" s="1168" t="s">
        <v>74</v>
      </c>
      <c r="I3757" s="1308" t="s">
        <v>626</v>
      </c>
      <c r="J3757" s="1168">
        <v>18</v>
      </c>
      <c r="K3757" s="1168">
        <v>439.96</v>
      </c>
      <c r="L3757" s="1166">
        <f>INT(base[[#This Row],[Data de liquidação]])</f>
        <v>46250</v>
      </c>
      <c r="M3757" s="1168">
        <f>base[[#This Row],[L/P Bruto]]-base[[#This Row],[L/P Líquido]]</f>
        <v>1.1648167539267043</v>
      </c>
      <c r="N3757" s="1168">
        <f>base[[#This Row],[L/P Líquido]]/base[[#This Row],[Stake/Responsabilidade]]</f>
        <v>5.6186926084189473E-2</v>
      </c>
      <c r="O3757" s="1169">
        <f>IF(base[[#This Row],[L/P Líquido]]&gt;0,1,0)</f>
        <v>1</v>
      </c>
      <c r="P3757" s="1169"/>
      <c r="Q3757" s="1169" t="str">
        <f>LEFT(base[[#This Row],[Evento / Mercado]],FIND("vs",base[[#This Row],[Evento / Mercado]])-2)</f>
        <v>Hødd</v>
      </c>
      <c r="R375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9" t="str">
        <f>LEFT(base[[#This Row],[Evento / Mercado]],FIND("/",base[[#This Row],[Evento / Mercado]])-2)</f>
        <v>Hødd vs Strømmen</v>
      </c>
      <c r="T3757" s="1170">
        <f>base[[#This Row],[Data de liquidação]]</f>
        <v>46250.58693287037</v>
      </c>
    </row>
    <row r="3758" spans="2:22" ht="15" customHeight="1" x14ac:dyDescent="0.25">
      <c r="B3758" s="1165" t="s">
        <v>4383</v>
      </c>
      <c r="C3758" s="860" t="s">
        <v>3515</v>
      </c>
      <c r="D3758" s="1166">
        <v>46250.596979166665</v>
      </c>
      <c r="E3758" s="1167">
        <v>-20</v>
      </c>
      <c r="F3758" s="584">
        <v>4.4999999999999998E-2</v>
      </c>
      <c r="G3758" s="1168">
        <f t="shared" si="129"/>
        <v>-20</v>
      </c>
      <c r="H3758" s="1168" t="s">
        <v>1648</v>
      </c>
      <c r="I3758" s="1308" t="s">
        <v>2277</v>
      </c>
      <c r="J3758" s="1168">
        <v>1.54</v>
      </c>
      <c r="K3758" s="1168">
        <v>20</v>
      </c>
      <c r="L3758" s="1166">
        <f>INT(base[[#This Row],[Data de liquidação]])</f>
        <v>46250</v>
      </c>
      <c r="M3758" s="1168">
        <f>base[[#This Row],[L/P Bruto]]-base[[#This Row],[L/P Líquido]]</f>
        <v>0</v>
      </c>
      <c r="N3758" s="1168">
        <f>base[[#This Row],[L/P Líquido]]/base[[#This Row],[Stake/Responsabilidade]]</f>
        <v>-1</v>
      </c>
      <c r="O3758" s="1169">
        <f>IF(base[[#This Row],[L/P Líquido]]&gt;0,1,0)</f>
        <v>0</v>
      </c>
      <c r="P3758" s="1169"/>
      <c r="Q3758" s="1169" t="str">
        <f>LEFT(base[[#This Row],[Evento / Mercado]],FIND("vs",base[[#This Row],[Evento / Mercado]])-2)</f>
        <v>TS Galaxy FC</v>
      </c>
      <c r="R375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9" t="str">
        <f>LEFT(base[[#This Row],[Evento / Mercado]],FIND("/",base[[#This Row],[Evento / Mercado]])-2)</f>
        <v>TS Galaxy FC vs Golden Arrows</v>
      </c>
      <c r="T3758" s="1170">
        <f>base[[#This Row],[Data de liquidação]]</f>
        <v>46250.596979166665</v>
      </c>
    </row>
    <row r="3759" spans="2:22" ht="15" customHeight="1" x14ac:dyDescent="0.25">
      <c r="B3759" s="1165" t="s">
        <v>4382</v>
      </c>
      <c r="C3759" s="860" t="s">
        <v>3515</v>
      </c>
      <c r="D3759" s="1166">
        <v>46250.600127314814</v>
      </c>
      <c r="E3759" s="1167">
        <v>4.97</v>
      </c>
      <c r="F3759" s="584">
        <v>4.4999999999999998E-2</v>
      </c>
      <c r="G3759" s="1168">
        <f t="shared" si="129"/>
        <v>5.2041884816753923</v>
      </c>
      <c r="H3759" s="1168" t="s">
        <v>4253</v>
      </c>
      <c r="I3759" s="1299" t="s">
        <v>3586</v>
      </c>
      <c r="J3759" s="1168">
        <v>1.26</v>
      </c>
      <c r="K3759" s="1168">
        <v>20</v>
      </c>
      <c r="L3759" s="1166">
        <f>INT(base[[#This Row],[Data de liquidação]])</f>
        <v>46250</v>
      </c>
      <c r="M3759" s="1168">
        <f>base[[#This Row],[L/P Bruto]]-base[[#This Row],[L/P Líquido]]</f>
        <v>0.23418848167539252</v>
      </c>
      <c r="N3759" s="1168">
        <f>base[[#This Row],[L/P Líquido]]/base[[#This Row],[Stake/Responsabilidade]]</f>
        <v>0.2485</v>
      </c>
      <c r="O3759" s="1169">
        <f>IF(base[[#This Row],[L/P Líquido]]&gt;0,1,0)</f>
        <v>1</v>
      </c>
      <c r="P3759" s="1169"/>
      <c r="Q3759" s="1169" t="str">
        <f>LEFT(base[[#This Row],[Evento / Mercado]],FIND("vs",base[[#This Row],[Evento / Mercado]])-2)</f>
        <v>Sporting Cristal</v>
      </c>
      <c r="R375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9" t="str">
        <f>LEFT(base[[#This Row],[Evento / Mercado]],FIND("/",base[[#This Row],[Evento / Mercado]])-2)</f>
        <v>Sporting Cristal vs Sport Huancayo</v>
      </c>
      <c r="T3759" s="1170">
        <f>base[[#This Row],[Data de liquidação]]</f>
        <v>46250.600127314814</v>
      </c>
    </row>
    <row r="3760" spans="2:22" ht="15" customHeight="1" x14ac:dyDescent="0.25">
      <c r="B3760" s="1165" t="s">
        <v>4381</v>
      </c>
      <c r="C3760" s="860" t="s">
        <v>3515</v>
      </c>
      <c r="D3760" s="1166">
        <v>46250.616979166669</v>
      </c>
      <c r="E3760" s="1167">
        <v>-399.96</v>
      </c>
      <c r="F3760" s="584">
        <v>4.4999999999999998E-2</v>
      </c>
      <c r="G3760" s="1168">
        <f t="shared" si="129"/>
        <v>-399.96</v>
      </c>
      <c r="H3760" s="1171" t="s">
        <v>3370</v>
      </c>
      <c r="I3760" s="1308" t="s">
        <v>391</v>
      </c>
      <c r="J3760" s="1168">
        <v>31</v>
      </c>
      <c r="K3760" s="1168">
        <v>399.96</v>
      </c>
      <c r="L3760" s="1166">
        <f>INT(base[[#This Row],[Data de liquidação]])</f>
        <v>46250</v>
      </c>
      <c r="M3760" s="1168">
        <f>base[[#This Row],[L/P Bruto]]-base[[#This Row],[L/P Líquido]]</f>
        <v>0</v>
      </c>
      <c r="N3760" s="1168">
        <f>base[[#This Row],[L/P Líquido]]/base[[#This Row],[Stake/Responsabilidade]]</f>
        <v>-1</v>
      </c>
      <c r="O3760" s="1169">
        <f>IF(base[[#This Row],[L/P Líquido]]&gt;0,1,0)</f>
        <v>0</v>
      </c>
      <c r="P3760" s="1347" t="s">
        <v>3636</v>
      </c>
      <c r="Q3760" s="1169" t="str">
        <f>LEFT(base[[#This Row],[Evento / Mercado]],FIND("vs",base[[#This Row],[Evento / Mercado]])-2)</f>
        <v>Tallinna FC Flora</v>
      </c>
      <c r="R376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9" t="str">
        <f>LEFT(base[[#This Row],[Evento / Mercado]],FIND("/",base[[#This Row],[Evento / Mercado]])-2)</f>
        <v>Tallinna FC Flora vs FC Kuressaare</v>
      </c>
      <c r="T3760" s="1170">
        <f>base[[#This Row],[Data de liquidação]]</f>
        <v>46250.616979166669</v>
      </c>
    </row>
    <row r="3761" spans="2:20" ht="15" customHeight="1" x14ac:dyDescent="0.25">
      <c r="B3761" s="1165" t="s">
        <v>4380</v>
      </c>
      <c r="C3761" s="860" t="s">
        <v>3515</v>
      </c>
      <c r="D3761" s="1166">
        <v>46250.702777777777</v>
      </c>
      <c r="E3761" s="1167">
        <v>29.87</v>
      </c>
      <c r="F3761" s="584">
        <v>4.4999999999999998E-2</v>
      </c>
      <c r="G3761" s="1168">
        <f t="shared" si="129"/>
        <v>31.277486910994767</v>
      </c>
      <c r="H3761" s="1168" t="s">
        <v>3234</v>
      </c>
      <c r="I3761" s="1308" t="s">
        <v>693</v>
      </c>
      <c r="J3761" s="1168">
        <v>15</v>
      </c>
      <c r="K3761" s="1168">
        <f>99.96+337.96</f>
        <v>437.91999999999996</v>
      </c>
      <c r="L3761" s="1166">
        <f>INT(base[[#This Row],[Data de liquidação]])</f>
        <v>46250</v>
      </c>
      <c r="M3761" s="1168">
        <f>base[[#This Row],[L/P Bruto]]-base[[#This Row],[L/P Líquido]]</f>
        <v>1.4074869109947663</v>
      </c>
      <c r="N3761" s="1168">
        <f>base[[#This Row],[L/P Líquido]]/base[[#This Row],[Stake/Responsabilidade]]</f>
        <v>6.8208805261234934E-2</v>
      </c>
      <c r="O3761" s="1169">
        <f>IF(base[[#This Row],[L/P Líquido]]&gt;0,1,0)</f>
        <v>1</v>
      </c>
      <c r="P3761" s="1169"/>
      <c r="Q3761" s="1169" t="str">
        <f>LEFT(base[[#This Row],[Evento / Mercado]],FIND("vs",base[[#This Row],[Evento / Mercado]])-2)</f>
        <v>FC Slovan Liberec</v>
      </c>
      <c r="R376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9" t="str">
        <f>LEFT(base[[#This Row],[Evento / Mercado]],FIND("/",base[[#This Row],[Evento / Mercado]])-2)</f>
        <v>FC Slovan Liberec vs SK Slavia Praha</v>
      </c>
      <c r="T3761" s="1170">
        <f>base[[#This Row],[Data de liquidação]]</f>
        <v>46250.702777777777</v>
      </c>
    </row>
    <row r="3762" spans="2:20" ht="15" customHeight="1" x14ac:dyDescent="0.25">
      <c r="B3762" s="1165" t="s">
        <v>4379</v>
      </c>
      <c r="C3762" s="860" t="s">
        <v>3515</v>
      </c>
      <c r="D3762" s="1166">
        <v>46250.702870370369</v>
      </c>
      <c r="E3762" s="1167">
        <v>4.83</v>
      </c>
      <c r="F3762" s="584">
        <v>4.4999999999999998E-2</v>
      </c>
      <c r="G3762" s="1168">
        <f t="shared" si="129"/>
        <v>5.0575916230366493</v>
      </c>
      <c r="H3762" s="1168" t="s">
        <v>3297</v>
      </c>
      <c r="I3762" s="1308" t="s">
        <v>626</v>
      </c>
      <c r="J3762" s="1168">
        <v>80</v>
      </c>
      <c r="K3762" s="1168">
        <v>399.74</v>
      </c>
      <c r="L3762" s="1166">
        <f>INT(base[[#This Row],[Data de liquidação]])</f>
        <v>46250</v>
      </c>
      <c r="M3762" s="1168">
        <f>base[[#This Row],[L/P Bruto]]-base[[#This Row],[L/P Líquido]]</f>
        <v>0.22759162303664926</v>
      </c>
      <c r="N3762" s="1168">
        <f>base[[#This Row],[L/P Líquido]]/base[[#This Row],[Stake/Responsabilidade]]</f>
        <v>1.2082853855005753E-2</v>
      </c>
      <c r="O3762" s="1169">
        <f>IF(base[[#This Row],[L/P Líquido]]&gt;0,1,0)</f>
        <v>1</v>
      </c>
      <c r="P3762" s="1169"/>
      <c r="Q3762" s="1169" t="str">
        <f>LEFT(base[[#This Row],[Evento / Mercado]],FIND("vs",base[[#This Row],[Evento / Mercado]])-2)</f>
        <v>KR Reykjavik</v>
      </c>
      <c r="R376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9" t="str">
        <f>LEFT(base[[#This Row],[Evento / Mercado]],FIND("/",base[[#This Row],[Evento / Mercado]])-2)</f>
        <v>KR Reykjavik vs Breidablik</v>
      </c>
      <c r="T3762" s="1170">
        <f>base[[#This Row],[Data de liquidação]]</f>
        <v>46250.702870370369</v>
      </c>
    </row>
    <row r="3763" spans="2:20" ht="15" customHeight="1" x14ac:dyDescent="0.25">
      <c r="B3763" s="1165" t="s">
        <v>4378</v>
      </c>
      <c r="C3763" s="860" t="s">
        <v>3515</v>
      </c>
      <c r="D3763" s="1166">
        <v>46250.724328703705</v>
      </c>
      <c r="E3763" s="1167">
        <v>4.24</v>
      </c>
      <c r="F3763" s="584">
        <v>4.4999999999999998E-2</v>
      </c>
      <c r="G3763" s="1168">
        <f t="shared" si="129"/>
        <v>4.4397905759162306</v>
      </c>
      <c r="H3763" s="1168" t="s">
        <v>1648</v>
      </c>
      <c r="I3763" s="1308" t="s">
        <v>1739</v>
      </c>
      <c r="J3763" s="1168">
        <v>29</v>
      </c>
      <c r="K3763" s="1168">
        <v>124.32</v>
      </c>
      <c r="L3763" s="1166">
        <f>INT(base[[#This Row],[Data de liquidação]])</f>
        <v>46250</v>
      </c>
      <c r="M3763" s="1168">
        <f>base[[#This Row],[L/P Bruto]]-base[[#This Row],[L/P Líquido]]</f>
        <v>0.1997905759162304</v>
      </c>
      <c r="N3763" s="1168">
        <f>base[[#This Row],[L/P Líquido]]/base[[#This Row],[Stake/Responsabilidade]]</f>
        <v>3.4105534105534109E-2</v>
      </c>
      <c r="O3763" s="1169">
        <f>IF(base[[#This Row],[L/P Líquido]]&gt;0,1,0)</f>
        <v>1</v>
      </c>
      <c r="P3763" s="1169"/>
      <c r="Q3763" s="1169" t="str">
        <f>LEFT(base[[#This Row],[Evento / Mercado]],FIND("vs",base[[#This Row],[Evento / Mercado]])-2)</f>
        <v>Corvinul 1921 Hunedoara</v>
      </c>
      <c r="R376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9" t="str">
        <f>LEFT(base[[#This Row],[Evento / Mercado]],FIND("/",base[[#This Row],[Evento / Mercado]])-2)</f>
        <v>Corvinul 1921 Hunedoara vs CFR Cluj</v>
      </c>
      <c r="T3763" s="1170">
        <f>base[[#This Row],[Data de liquidação]]</f>
        <v>46250.724328703705</v>
      </c>
    </row>
    <row r="3764" spans="2:20" ht="15" customHeight="1" x14ac:dyDescent="0.25">
      <c r="B3764" s="1165" t="s">
        <v>4377</v>
      </c>
      <c r="C3764" s="860" t="s">
        <v>3515</v>
      </c>
      <c r="D3764" s="1166">
        <v>46250.72552083333</v>
      </c>
      <c r="E3764" s="1167">
        <v>9.65</v>
      </c>
      <c r="F3764" s="584">
        <v>4.4999999999999998E-2</v>
      </c>
      <c r="G3764" s="1168">
        <f t="shared" si="129"/>
        <v>10.104712041884818</v>
      </c>
      <c r="H3764" s="1168" t="s">
        <v>1648</v>
      </c>
      <c r="I3764" s="1308" t="s">
        <v>2277</v>
      </c>
      <c r="J3764" s="1168">
        <v>1.51</v>
      </c>
      <c r="K3764" s="1168">
        <v>20</v>
      </c>
      <c r="L3764" s="1166">
        <f>INT(base[[#This Row],[Data de liquidação]])</f>
        <v>46250</v>
      </c>
      <c r="M3764" s="1168">
        <f>base[[#This Row],[L/P Bruto]]-base[[#This Row],[L/P Líquido]]</f>
        <v>0.45471204188481806</v>
      </c>
      <c r="N3764" s="1168">
        <f>base[[#This Row],[L/P Líquido]]/base[[#This Row],[Stake/Responsabilidade]]</f>
        <v>0.48250000000000004</v>
      </c>
      <c r="O3764" s="1169">
        <f>IF(base[[#This Row],[L/P Líquido]]&gt;0,1,0)</f>
        <v>1</v>
      </c>
      <c r="P3764" s="1169"/>
      <c r="Q3764" s="1169" t="str">
        <f>LEFT(base[[#This Row],[Evento / Mercado]],FIND("vs",base[[#This Row],[Evento / Mercado]])-2)</f>
        <v>Orense SC</v>
      </c>
      <c r="R376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9" t="str">
        <f>LEFT(base[[#This Row],[Evento / Mercado]],FIND("/",base[[#This Row],[Evento / Mercado]])-2)</f>
        <v>Orense SC vs Deportivo Cuenca</v>
      </c>
      <c r="T3764" s="1170">
        <f>base[[#This Row],[Data de liquidação]]</f>
        <v>46250.72552083333</v>
      </c>
    </row>
    <row r="3765" spans="2:20" ht="15" customHeight="1" x14ac:dyDescent="0.25">
      <c r="B3765" s="1165" t="s">
        <v>4376</v>
      </c>
      <c r="C3765" s="860" t="s">
        <v>3515</v>
      </c>
      <c r="D3765" s="1166">
        <v>46250.730115740742</v>
      </c>
      <c r="E3765" s="1167">
        <v>6.49</v>
      </c>
      <c r="F3765" s="584">
        <v>4.4999999999999998E-2</v>
      </c>
      <c r="G3765" s="1168">
        <f t="shared" si="129"/>
        <v>6.7958115183246077</v>
      </c>
      <c r="H3765" s="1168" t="s">
        <v>4253</v>
      </c>
      <c r="I3765" s="1299" t="s">
        <v>75</v>
      </c>
      <c r="J3765" s="1168">
        <v>1.34</v>
      </c>
      <c r="K3765" s="1168">
        <v>20</v>
      </c>
      <c r="L3765" s="1166">
        <f>INT(base[[#This Row],[Data de liquidação]])</f>
        <v>46250</v>
      </c>
      <c r="M3765" s="1168">
        <f>base[[#This Row],[L/P Bruto]]-base[[#This Row],[L/P Líquido]]</f>
        <v>0.30581151832460751</v>
      </c>
      <c r="N3765" s="1168">
        <f>base[[#This Row],[L/P Líquido]]/base[[#This Row],[Stake/Responsabilidade]]</f>
        <v>0.32450000000000001</v>
      </c>
      <c r="O3765" s="1169">
        <f>IF(base[[#This Row],[L/P Líquido]]&gt;0,1,0)</f>
        <v>1</v>
      </c>
      <c r="P3765" s="1169"/>
      <c r="Q3765" s="1169" t="str">
        <f>LEFT(base[[#This Row],[Evento / Mercado]],FIND("vs",base[[#This Row],[Evento / Mercado]])-2)</f>
        <v>Vasco da Gama</v>
      </c>
      <c r="R376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9" t="str">
        <f>LEFT(base[[#This Row],[Evento / Mercado]],FIND("/",base[[#This Row],[Evento / Mercado]])-2)</f>
        <v>Vasco da Gama vs Santos FC</v>
      </c>
      <c r="T3765" s="1170">
        <f>base[[#This Row],[Data de liquidação]]</f>
        <v>46250.730115740742</v>
      </c>
    </row>
    <row r="3766" spans="2:20" ht="15" customHeight="1" x14ac:dyDescent="0.25">
      <c r="B3766" s="1165" t="s">
        <v>4375</v>
      </c>
      <c r="C3766" s="860" t="s">
        <v>3515</v>
      </c>
      <c r="D3766" s="1166">
        <v>46250.746562499997</v>
      </c>
      <c r="E3766" s="1167">
        <v>6.82</v>
      </c>
      <c r="F3766" s="584">
        <v>4.4999999999999998E-2</v>
      </c>
      <c r="G3766" s="1168">
        <f t="shared" si="129"/>
        <v>7.1413612565445028</v>
      </c>
      <c r="H3766" s="1168" t="s">
        <v>3234</v>
      </c>
      <c r="I3766" s="1308" t="s">
        <v>626</v>
      </c>
      <c r="J3766" s="1168">
        <v>15</v>
      </c>
      <c r="K3766" s="1168">
        <v>99.96</v>
      </c>
      <c r="L3766" s="1166">
        <f>INT(base[[#This Row],[Data de liquidação]])</f>
        <v>46250</v>
      </c>
      <c r="M3766" s="1168">
        <f>base[[#This Row],[L/P Bruto]]-base[[#This Row],[L/P Líquido]]</f>
        <v>0.32136125654450254</v>
      </c>
      <c r="N3766" s="1168">
        <f>base[[#This Row],[L/P Líquido]]/base[[#This Row],[Stake/Responsabilidade]]</f>
        <v>6.8227290916366548E-2</v>
      </c>
      <c r="O3766" s="1169">
        <f>IF(base[[#This Row],[L/P Líquido]]&gt;0,1,0)</f>
        <v>1</v>
      </c>
      <c r="P3766" s="1169"/>
      <c r="Q3766" s="1169" t="str">
        <f>LEFT(base[[#This Row],[Evento / Mercado]],FIND("vs",base[[#This Row],[Evento / Mercado]])-2)</f>
        <v>Atlético Mineiro</v>
      </c>
      <c r="R376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9" t="str">
        <f>LEFT(base[[#This Row],[Evento / Mercado]],FIND("/",base[[#This Row],[Evento / Mercado]])-2)</f>
        <v>Atlético Mineiro vs Grêmio FBPA</v>
      </c>
      <c r="T3766" s="1170">
        <f>base[[#This Row],[Data de liquidação]]</f>
        <v>46250.746562499997</v>
      </c>
    </row>
    <row r="3767" spans="2:20" ht="15" customHeight="1" x14ac:dyDescent="0.25">
      <c r="B3767" s="1165" t="s">
        <v>4374</v>
      </c>
      <c r="C3767" s="860" t="s">
        <v>3515</v>
      </c>
      <c r="D3767" s="1166">
        <v>46250.746817129628</v>
      </c>
      <c r="E3767" s="1167">
        <v>-119.74</v>
      </c>
      <c r="F3767" s="584">
        <v>4.4999999999999998E-2</v>
      </c>
      <c r="G3767" s="1168">
        <f t="shared" si="129"/>
        <v>-119.74</v>
      </c>
      <c r="H3767" s="1168" t="s">
        <v>314</v>
      </c>
      <c r="I3767" s="1308" t="s">
        <v>349</v>
      </c>
      <c r="J3767" s="1168">
        <v>1.95</v>
      </c>
      <c r="K3767" s="1168">
        <v>119.74</v>
      </c>
      <c r="L3767" s="1166">
        <f>INT(base[[#This Row],[Data de liquidação]])</f>
        <v>46250</v>
      </c>
      <c r="M3767" s="1168">
        <f>base[[#This Row],[L/P Bruto]]-base[[#This Row],[L/P Líquido]]</f>
        <v>0</v>
      </c>
      <c r="N3767" s="1168">
        <f>base[[#This Row],[L/P Líquido]]/base[[#This Row],[Stake/Responsabilidade]]</f>
        <v>-1</v>
      </c>
      <c r="O3767" s="1169">
        <f>IF(base[[#This Row],[L/P Líquido]]&gt;0,1,0)</f>
        <v>0</v>
      </c>
      <c r="P3767" s="1169"/>
      <c r="Q3767" s="1169" t="str">
        <f>LEFT(base[[#This Row],[Evento / Mercado]],FIND("vs",base[[#This Row],[Evento / Mercado]])-2)</f>
        <v>Atlético Mineiro</v>
      </c>
      <c r="R376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9" t="str">
        <f>LEFT(base[[#This Row],[Evento / Mercado]],FIND("/",base[[#This Row],[Evento / Mercado]])-2)</f>
        <v>Atlético Mineiro vs Grêmio FBPA</v>
      </c>
      <c r="T3767" s="1170">
        <f>base[[#This Row],[Data de liquidação]]</f>
        <v>46250.746817129628</v>
      </c>
    </row>
    <row r="3768" spans="2:20" ht="15" customHeight="1" x14ac:dyDescent="0.25">
      <c r="B3768" s="1165" t="s">
        <v>4373</v>
      </c>
      <c r="C3768" s="860" t="s">
        <v>3515</v>
      </c>
      <c r="D3768" s="1166">
        <v>46250.831678240742</v>
      </c>
      <c r="E3768" s="1167">
        <v>6.69</v>
      </c>
      <c r="F3768" s="584">
        <v>4.4999999999999998E-2</v>
      </c>
      <c r="G3768" s="1168">
        <f t="shared" si="129"/>
        <v>7.0052356020942419</v>
      </c>
      <c r="H3768" s="1168" t="s">
        <v>4253</v>
      </c>
      <c r="I3768" s="1299" t="s">
        <v>75</v>
      </c>
      <c r="J3768" s="1168">
        <v>1.35</v>
      </c>
      <c r="K3768" s="1168">
        <v>20</v>
      </c>
      <c r="L3768" s="1166">
        <f>INT(base[[#This Row],[Data de liquidação]])</f>
        <v>46250</v>
      </c>
      <c r="M3768" s="1168">
        <f>base[[#This Row],[L/P Bruto]]-base[[#This Row],[L/P Líquido]]</f>
        <v>0.31523560209424151</v>
      </c>
      <c r="N3768" s="1168">
        <f>base[[#This Row],[L/P Líquido]]/base[[#This Row],[Stake/Responsabilidade]]</f>
        <v>0.33450000000000002</v>
      </c>
      <c r="O3768" s="1169">
        <f>IF(base[[#This Row],[L/P Líquido]]&gt;0,1,0)</f>
        <v>1</v>
      </c>
      <c r="P3768" s="1169"/>
      <c r="Q3768" s="1169" t="str">
        <f>LEFT(base[[#This Row],[Evento / Mercado]],FIND("vs",base[[#This Row],[Evento / Mercado]])-2)</f>
        <v>Club Olimpia</v>
      </c>
      <c r="R376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9" t="str">
        <f>LEFT(base[[#This Row],[Evento / Mercado]],FIND("/",base[[#This Row],[Evento / Mercado]])-2)</f>
        <v>Club Olimpia vs Club Sportivo Ameliano</v>
      </c>
      <c r="T3768" s="1170">
        <f>base[[#This Row],[Data de liquidação]]</f>
        <v>46250.831678240742</v>
      </c>
    </row>
    <row r="3769" spans="2:20" ht="15" customHeight="1" x14ac:dyDescent="0.25">
      <c r="B3769" s="1165" t="s">
        <v>4372</v>
      </c>
      <c r="C3769" s="860" t="s">
        <v>3515</v>
      </c>
      <c r="D3769" s="1166">
        <v>46250.840312499997</v>
      </c>
      <c r="E3769" s="1167">
        <v>2.94</v>
      </c>
      <c r="F3769" s="584">
        <v>4.4999999999999998E-2</v>
      </c>
      <c r="G3769" s="1168">
        <f t="shared" si="129"/>
        <v>3.0785340314136125</v>
      </c>
      <c r="H3769" s="1168" t="s">
        <v>1648</v>
      </c>
      <c r="I3769" s="1308" t="s">
        <v>1739</v>
      </c>
      <c r="J3769" s="1168">
        <v>40</v>
      </c>
      <c r="K3769" s="1168">
        <v>120.12</v>
      </c>
      <c r="L3769" s="1166">
        <f>INT(base[[#This Row],[Data de liquidação]])</f>
        <v>46250</v>
      </c>
      <c r="M3769" s="1168">
        <f>base[[#This Row],[L/P Bruto]]-base[[#This Row],[L/P Líquido]]</f>
        <v>0.13853403141361254</v>
      </c>
      <c r="N3769" s="1168">
        <f>base[[#This Row],[L/P Líquido]]/base[[#This Row],[Stake/Responsabilidade]]</f>
        <v>2.4475524475524472E-2</v>
      </c>
      <c r="O3769" s="1169">
        <f>IF(base[[#This Row],[L/P Líquido]]&gt;0,1,0)</f>
        <v>1</v>
      </c>
      <c r="P3769" s="1169"/>
      <c r="Q3769" s="1169" t="str">
        <f>LEFT(base[[#This Row],[Evento / Mercado]],FIND("vs",base[[#This Row],[Evento / Mercado]])-2)</f>
        <v>Nacional Potosi</v>
      </c>
      <c r="R376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9" t="str">
        <f>LEFT(base[[#This Row],[Evento / Mercado]],FIND("/",base[[#This Row],[Evento / Mercado]])-2)</f>
        <v>Nacional Potosi vs Academia de Balompie Boliviano</v>
      </c>
      <c r="T3769" s="1170">
        <f>base[[#This Row],[Data de liquidação]]</f>
        <v>46250.840312499997</v>
      </c>
    </row>
    <row r="3770" spans="2:20" ht="15" customHeight="1" x14ac:dyDescent="0.25">
      <c r="B3770" s="1165" t="s">
        <v>4371</v>
      </c>
      <c r="C3770" s="860" t="s">
        <v>3515</v>
      </c>
      <c r="D3770" s="1166">
        <v>46250.849687499998</v>
      </c>
      <c r="E3770" s="1167">
        <v>-17.600000000000001</v>
      </c>
      <c r="F3770" s="584">
        <v>4.4999999999999998E-2</v>
      </c>
      <c r="G3770" s="1168">
        <f t="shared" si="129"/>
        <v>-17.600000000000001</v>
      </c>
      <c r="H3770" s="1168" t="s">
        <v>3822</v>
      </c>
      <c r="I3770" s="1308" t="s">
        <v>626</v>
      </c>
      <c r="J3770" s="1168">
        <v>26</v>
      </c>
      <c r="K3770" s="1168">
        <v>600</v>
      </c>
      <c r="L3770" s="1166">
        <f>INT(base[[#This Row],[Data de liquidação]])</f>
        <v>46250</v>
      </c>
      <c r="M3770" s="1168">
        <f>base[[#This Row],[L/P Bruto]]-base[[#This Row],[L/P Líquido]]</f>
        <v>0</v>
      </c>
      <c r="N3770" s="1168">
        <f>base[[#This Row],[L/P Líquido]]/base[[#This Row],[Stake/Responsabilidade]]</f>
        <v>-2.9333333333333336E-2</v>
      </c>
      <c r="O3770" s="1169">
        <f>IF(base[[#This Row],[L/P Líquido]]&gt;0,1,0)</f>
        <v>0</v>
      </c>
      <c r="P3770" s="1169"/>
      <c r="Q3770" s="1169" t="str">
        <f>LEFT(base[[#This Row],[Evento / Mercado]],FIND("vs",base[[#This Row],[Evento / Mercado]])-2)</f>
        <v>CA Peñarol</v>
      </c>
      <c r="R377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9" t="str">
        <f>LEFT(base[[#This Row],[Evento / Mercado]],FIND("/",base[[#This Row],[Evento / Mercado]])-2)</f>
        <v>CA Peñarol vs Central Español</v>
      </c>
      <c r="T3770" s="1170">
        <f>base[[#This Row],[Data de liquidação]]</f>
        <v>46250.849687499998</v>
      </c>
    </row>
    <row r="3771" spans="2:20" ht="15" customHeight="1" x14ac:dyDescent="0.25">
      <c r="B3771" s="1165" t="s">
        <v>4370</v>
      </c>
      <c r="C3771" s="1165" t="s">
        <v>3513</v>
      </c>
      <c r="D3771" s="1166">
        <v>46250.855555555558</v>
      </c>
      <c r="E3771" s="1167">
        <v>17.57</v>
      </c>
      <c r="F3771" s="584">
        <v>4.4999999999999998E-2</v>
      </c>
      <c r="G3771" s="1168">
        <f t="shared" si="129"/>
        <v>18.397905759162306</v>
      </c>
      <c r="H3771" s="1168" t="s">
        <v>74</v>
      </c>
      <c r="I3771" s="1308" t="s">
        <v>626</v>
      </c>
      <c r="J3771" s="1168">
        <v>26</v>
      </c>
      <c r="K3771" s="1168">
        <v>460</v>
      </c>
      <c r="L3771" s="1166">
        <f>INT(base[[#This Row],[Data de liquidação]])</f>
        <v>46250</v>
      </c>
      <c r="M3771" s="1168">
        <f>base[[#This Row],[L/P Bruto]]-base[[#This Row],[L/P Líquido]]</f>
        <v>0.8279057591623058</v>
      </c>
      <c r="N3771" s="1168">
        <f>base[[#This Row],[L/P Líquido]]/base[[#This Row],[Stake/Responsabilidade]]</f>
        <v>3.8195652173913047E-2</v>
      </c>
      <c r="O3771" s="1169">
        <f>IF(base[[#This Row],[L/P Líquido]]&gt;0,1,0)</f>
        <v>1</v>
      </c>
      <c r="P3771" s="1169"/>
      <c r="Q3771" s="1169" t="str">
        <f>LEFT(base[[#This Row],[Evento / Mercado]],FIND("vs",base[[#This Row],[Evento / Mercado]])-2)</f>
        <v>Colo-Colo</v>
      </c>
      <c r="R377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9" t="str">
        <f>LEFT(base[[#This Row],[Evento / Mercado]],FIND("/",base[[#This Row],[Evento / Mercado]])-2)</f>
        <v>Colo-Colo vs O'Higgins</v>
      </c>
      <c r="T3771" s="1170">
        <f>base[[#This Row],[Data de liquidação]]</f>
        <v>46250.855555555558</v>
      </c>
    </row>
    <row r="3772" spans="2:20" ht="15" customHeight="1" x14ac:dyDescent="0.25">
      <c r="B3772" s="1165" t="s">
        <v>4370</v>
      </c>
      <c r="C3772" s="860" t="s">
        <v>3515</v>
      </c>
      <c r="D3772" s="1166">
        <v>46250.85565972222</v>
      </c>
      <c r="E3772" s="1167">
        <v>-33.950000000000003</v>
      </c>
      <c r="F3772" s="584">
        <v>4.4999999999999998E-2</v>
      </c>
      <c r="G3772" s="1168">
        <f t="shared" si="129"/>
        <v>-33.950000000000003</v>
      </c>
      <c r="H3772" s="1168" t="s">
        <v>3822</v>
      </c>
      <c r="I3772" s="1308" t="s">
        <v>626</v>
      </c>
      <c r="J3772" s="1168">
        <v>26</v>
      </c>
      <c r="K3772" s="1168">
        <v>600</v>
      </c>
      <c r="L3772" s="1166">
        <f>INT(base[[#This Row],[Data de liquidação]])</f>
        <v>46250</v>
      </c>
      <c r="M3772" s="1168">
        <f>base[[#This Row],[L/P Bruto]]-base[[#This Row],[L/P Líquido]]</f>
        <v>0</v>
      </c>
      <c r="N3772" s="1168">
        <f>base[[#This Row],[L/P Líquido]]/base[[#This Row],[Stake/Responsabilidade]]</f>
        <v>-5.658333333333334E-2</v>
      </c>
      <c r="O3772" s="1169">
        <f>IF(base[[#This Row],[L/P Líquido]]&gt;0,1,0)</f>
        <v>0</v>
      </c>
      <c r="P3772" s="1169"/>
      <c r="Q3772" s="1169" t="str">
        <f>LEFT(base[[#This Row],[Evento / Mercado]],FIND("vs",base[[#This Row],[Evento / Mercado]])-2)</f>
        <v>Colo-Colo</v>
      </c>
      <c r="R377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9" t="str">
        <f>LEFT(base[[#This Row],[Evento / Mercado]],FIND("/",base[[#This Row],[Evento / Mercado]])-2)</f>
        <v>Colo-Colo vs O'Higgins</v>
      </c>
      <c r="T3772" s="1170">
        <f>base[[#This Row],[Data de liquidação]]</f>
        <v>46250.85565972222</v>
      </c>
    </row>
    <row r="3773" spans="2:20" ht="15" customHeight="1" x14ac:dyDescent="0.25">
      <c r="B3773" s="1165" t="s">
        <v>4369</v>
      </c>
      <c r="C3773" s="860" t="s">
        <v>3515</v>
      </c>
      <c r="D3773" s="1166">
        <v>46250.869456018518</v>
      </c>
      <c r="E3773" s="1167">
        <v>6.3</v>
      </c>
      <c r="F3773" s="584">
        <v>4.4999999999999998E-2</v>
      </c>
      <c r="G3773" s="1168">
        <f t="shared" si="129"/>
        <v>6.5968586387434556</v>
      </c>
      <c r="H3773" s="1168" t="s">
        <v>4253</v>
      </c>
      <c r="I3773" s="1299" t="s">
        <v>13</v>
      </c>
      <c r="J3773" s="1168">
        <v>1.33</v>
      </c>
      <c r="K3773" s="1168">
        <v>20</v>
      </c>
      <c r="L3773" s="1166">
        <f>INT(base[[#This Row],[Data de liquidação]])</f>
        <v>46250</v>
      </c>
      <c r="M3773" s="1168">
        <f>base[[#This Row],[L/P Bruto]]-base[[#This Row],[L/P Líquido]]</f>
        <v>0.29685863874345575</v>
      </c>
      <c r="N3773" s="1168">
        <f>base[[#This Row],[L/P Líquido]]/base[[#This Row],[Stake/Responsabilidade]]</f>
        <v>0.315</v>
      </c>
      <c r="O3773" s="1169">
        <f>IF(base[[#This Row],[L/P Líquido]]&gt;0,1,0)</f>
        <v>1</v>
      </c>
      <c r="P3773" s="1169"/>
      <c r="Q3773" s="1169" t="str">
        <f>LEFT(base[[#This Row],[Evento / Mercado]],FIND("vs",base[[#This Row],[Evento / Mercado]])-2)</f>
        <v>Corinthians</v>
      </c>
      <c r="R377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9" t="str">
        <f>LEFT(base[[#This Row],[Evento / Mercado]],FIND("/",base[[#This Row],[Evento / Mercado]])-2)</f>
        <v>Corinthians vs Cruzeiro</v>
      </c>
      <c r="T3773" s="1170">
        <f>base[[#This Row],[Data de liquidação]]</f>
        <v>46250.869456018518</v>
      </c>
    </row>
    <row r="3774" spans="2:20" ht="15" customHeight="1" x14ac:dyDescent="0.25">
      <c r="B3774" s="1165" t="s">
        <v>4368</v>
      </c>
      <c r="C3774" s="860" t="s">
        <v>3515</v>
      </c>
      <c r="D3774" s="1166">
        <v>46250.920300925929</v>
      </c>
      <c r="E3774" s="1167">
        <v>7.96</v>
      </c>
      <c r="F3774" s="584">
        <v>4.4999999999999998E-2</v>
      </c>
      <c r="G3774" s="1168">
        <f t="shared" si="129"/>
        <v>8.335078534031414</v>
      </c>
      <c r="H3774" s="1168" t="s">
        <v>4253</v>
      </c>
      <c r="I3774" s="1299" t="s">
        <v>75</v>
      </c>
      <c r="J3774" s="1168">
        <v>1.42</v>
      </c>
      <c r="K3774" s="1168">
        <v>20</v>
      </c>
      <c r="L3774" s="1166">
        <f>INT(base[[#This Row],[Data de liquidação]])</f>
        <v>46250</v>
      </c>
      <c r="M3774" s="1168">
        <f>base[[#This Row],[L/P Bruto]]-base[[#This Row],[L/P Líquido]]</f>
        <v>0.375078534031414</v>
      </c>
      <c r="N3774" s="1168">
        <f>base[[#This Row],[L/P Líquido]]/base[[#This Row],[Stake/Responsabilidade]]</f>
        <v>0.39800000000000002</v>
      </c>
      <c r="O3774" s="1169">
        <f>IF(base[[#This Row],[L/P Líquido]]&gt;0,1,0)</f>
        <v>1</v>
      </c>
      <c r="P3774" s="1169"/>
      <c r="Q3774" s="1169" t="str">
        <f>LEFT(base[[#This Row],[Evento / Mercado]],FIND("vs",base[[#This Row],[Evento / Mercado]])-2)</f>
        <v>Central Córdoba</v>
      </c>
      <c r="R377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9" t="str">
        <f>LEFT(base[[#This Row],[Evento / Mercado]],FIND("/",base[[#This Row],[Evento / Mercado]])-2)</f>
        <v>Central Córdoba vs Instituto de Córdoba</v>
      </c>
      <c r="T3774" s="1170">
        <f>base[[#This Row],[Data de liquidação]]</f>
        <v>46250.920300925929</v>
      </c>
    </row>
    <row r="3775" spans="2:20" ht="15" customHeight="1" x14ac:dyDescent="0.25">
      <c r="B3775" s="1165" t="s">
        <v>4367</v>
      </c>
      <c r="C3775" s="860" t="s">
        <v>3515</v>
      </c>
      <c r="D3775" s="1166">
        <v>46250.932754629626</v>
      </c>
      <c r="E3775" s="1167">
        <v>-19.7</v>
      </c>
      <c r="F3775" s="584">
        <v>4.4999999999999998E-2</v>
      </c>
      <c r="G3775" s="1168">
        <f t="shared" si="129"/>
        <v>-19.7</v>
      </c>
      <c r="H3775" s="1168" t="s">
        <v>4253</v>
      </c>
      <c r="I3775" s="1299" t="s">
        <v>75</v>
      </c>
      <c r="J3775" s="1168">
        <v>1.41</v>
      </c>
      <c r="K3775" s="1168">
        <v>19.7</v>
      </c>
      <c r="L3775" s="1166">
        <f>INT(base[[#This Row],[Data de liquidação]])</f>
        <v>46250</v>
      </c>
      <c r="M3775" s="1168">
        <f>base[[#This Row],[L/P Bruto]]-base[[#This Row],[L/P Líquido]]</f>
        <v>0</v>
      </c>
      <c r="N3775" s="1168">
        <f>base[[#This Row],[L/P Líquido]]/base[[#This Row],[Stake/Responsabilidade]]</f>
        <v>-1</v>
      </c>
      <c r="O3775" s="1169">
        <f>IF(base[[#This Row],[L/P Líquido]]&gt;0,1,0)</f>
        <v>0</v>
      </c>
      <c r="P3775" s="1169"/>
      <c r="Q3775" s="1169" t="str">
        <f>LEFT(base[[#This Row],[Evento / Mercado]],FIND("vs",base[[#This Row],[Evento / Mercado]])-2)</f>
        <v>Cienciano del Cuzco</v>
      </c>
      <c r="R377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9" t="str">
        <f>LEFT(base[[#This Row],[Evento / Mercado]],FIND("/",base[[#This Row],[Evento / Mercado]])-2)</f>
        <v>Cienciano del Cuzco vs Deportivo Garcilaso</v>
      </c>
      <c r="T3775" s="1170">
        <f>base[[#This Row],[Data de liquidação]]</f>
        <v>46250.932754629626</v>
      </c>
    </row>
    <row r="3776" spans="2:20" ht="15" customHeight="1" x14ac:dyDescent="0.25">
      <c r="B3776" s="1165" t="s">
        <v>4366</v>
      </c>
      <c r="C3776" s="860" t="s">
        <v>3515</v>
      </c>
      <c r="D3776" s="1166">
        <v>46250.945960648147</v>
      </c>
      <c r="E3776" s="1167">
        <v>-19.7</v>
      </c>
      <c r="F3776" s="584">
        <v>4.4999999999999998E-2</v>
      </c>
      <c r="G3776" s="1168">
        <f t="shared" si="129"/>
        <v>-19.7</v>
      </c>
      <c r="H3776" s="1168" t="s">
        <v>4253</v>
      </c>
      <c r="I3776" s="1299" t="s">
        <v>13</v>
      </c>
      <c r="J3776" s="1168">
        <v>1.49</v>
      </c>
      <c r="K3776" s="1168">
        <v>19.7</v>
      </c>
      <c r="L3776" s="1166">
        <f>INT(base[[#This Row],[Data de liquidação]])</f>
        <v>46250</v>
      </c>
      <c r="M3776" s="1168">
        <f>base[[#This Row],[L/P Bruto]]-base[[#This Row],[L/P Líquido]]</f>
        <v>0</v>
      </c>
      <c r="N3776" s="1168">
        <f>base[[#This Row],[L/P Líquido]]/base[[#This Row],[Stake/Responsabilidade]]</f>
        <v>-1</v>
      </c>
      <c r="O3776" s="1169">
        <f>IF(base[[#This Row],[L/P Líquido]]&gt;0,1,0)</f>
        <v>0</v>
      </c>
      <c r="P3776" s="1169"/>
      <c r="Q3776" s="1169" t="str">
        <f>LEFT(base[[#This Row],[Evento / Mercado]],FIND("vs",base[[#This Row],[Evento / Mercado]])-2)</f>
        <v>Barracas Central</v>
      </c>
      <c r="R377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9" t="str">
        <f>LEFT(base[[#This Row],[Evento / Mercado]],FIND("/",base[[#This Row],[Evento / Mercado]])-2)</f>
        <v>Barracas Central vs Rosario Central</v>
      </c>
      <c r="T3776" s="1170">
        <f>base[[#This Row],[Data de liquidação]]</f>
        <v>46250.945960648147</v>
      </c>
    </row>
    <row r="3777" spans="2:22" ht="15" customHeight="1" x14ac:dyDescent="0.25">
      <c r="B3777" s="1165" t="s">
        <v>4365</v>
      </c>
      <c r="C3777" s="860" t="s">
        <v>3515</v>
      </c>
      <c r="D3777" s="1166">
        <v>46250.988634259258</v>
      </c>
      <c r="E3777" s="1167">
        <v>6.46</v>
      </c>
      <c r="F3777" s="584">
        <v>4.4999999999999998E-2</v>
      </c>
      <c r="G3777" s="1168">
        <f t="shared" si="129"/>
        <v>6.7643979057591626</v>
      </c>
      <c r="H3777" s="1168" t="s">
        <v>1648</v>
      </c>
      <c r="I3777" s="1308" t="s">
        <v>2919</v>
      </c>
      <c r="J3777" s="1168">
        <v>8.1999999999999993</v>
      </c>
      <c r="K3777" s="1168">
        <v>48.67</v>
      </c>
      <c r="L3777" s="1166">
        <f>INT(base[[#This Row],[Data de liquidação]])</f>
        <v>46250</v>
      </c>
      <c r="M3777" s="1168">
        <f>base[[#This Row],[L/P Bruto]]-base[[#This Row],[L/P Líquido]]</f>
        <v>0.30439790575916259</v>
      </c>
      <c r="N3777" s="1168">
        <f>base[[#This Row],[L/P Líquido]]/base[[#This Row],[Stake/Responsabilidade]]</f>
        <v>0.13273063488802136</v>
      </c>
      <c r="O3777" s="1169">
        <f>IF(base[[#This Row],[L/P Líquido]]&gt;0,1,0)</f>
        <v>1</v>
      </c>
      <c r="P3777" s="1169"/>
      <c r="Q3777" s="1169" t="str">
        <f>LEFT(base[[#This Row],[Evento / Mercado]],FIND("vs",base[[#This Row],[Evento / Mercado]])-2)</f>
        <v>Austin FC</v>
      </c>
      <c r="R377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9" t="str">
        <f>LEFT(base[[#This Row],[Evento / Mercado]],FIND("/",base[[#This Row],[Evento / Mercado]])-2)</f>
        <v>Austin FC vs FC Dallas</v>
      </c>
      <c r="T3777" s="1170">
        <f>base[[#This Row],[Data de liquidação]]</f>
        <v>46250.988634259258</v>
      </c>
    </row>
    <row r="3778" spans="2:22" ht="15" customHeight="1" x14ac:dyDescent="0.25">
      <c r="B3778" s="1165" t="s">
        <v>4396</v>
      </c>
      <c r="C3778" s="860" t="s">
        <v>3515</v>
      </c>
      <c r="D3778" s="1166">
        <v>46251.01635416667</v>
      </c>
      <c r="E3778" s="1167">
        <v>16.82</v>
      </c>
      <c r="F3778" s="584">
        <v>4.4999999999999998E-2</v>
      </c>
      <c r="G3778" s="1168">
        <f t="shared" si="129"/>
        <v>17.612565445026178</v>
      </c>
      <c r="H3778" s="1168" t="s">
        <v>3297</v>
      </c>
      <c r="I3778" s="1308" t="s">
        <v>626</v>
      </c>
      <c r="J3778" s="1168">
        <v>24</v>
      </c>
      <c r="K3778" s="1168">
        <v>405.03</v>
      </c>
      <c r="L3778" s="1166">
        <f>INT(base[[#This Row],[Data de liquidação]])</f>
        <v>46251</v>
      </c>
      <c r="M3778" s="1168">
        <f>base[[#This Row],[L/P Bruto]]-base[[#This Row],[L/P Líquido]]</f>
        <v>0.79256544502617743</v>
      </c>
      <c r="N3778" s="1168">
        <f>base[[#This Row],[L/P Líquido]]/base[[#This Row],[Stake/Responsabilidade]]</f>
        <v>4.1527788065081603E-2</v>
      </c>
      <c r="O3778" s="1169">
        <f>IF(base[[#This Row],[L/P Líquido]]&gt;0,1,0)</f>
        <v>1</v>
      </c>
      <c r="P3778" s="1169"/>
      <c r="Q3778" s="1169" t="str">
        <f>LEFT(base[[#This Row],[Evento / Mercado]],FIND("vs",base[[#This Row],[Evento / Mercado]])-2)</f>
        <v>Club Independiente Petrolero</v>
      </c>
      <c r="R377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9" t="str">
        <f>LEFT(base[[#This Row],[Evento / Mercado]],FIND("/",base[[#This Row],[Evento / Mercado]])-2)</f>
        <v>Club Independiente Petrolero vs GV CD San Jose</v>
      </c>
      <c r="T3778" s="1170">
        <f>base[[#This Row],[Data de liquidação]]</f>
        <v>46251.01635416667</v>
      </c>
    </row>
    <row r="3779" spans="2:22" ht="15" customHeight="1" x14ac:dyDescent="0.25">
      <c r="B3779" s="1165" t="s">
        <v>4395</v>
      </c>
      <c r="C3779" s="860" t="s">
        <v>3515</v>
      </c>
      <c r="D3779" s="1166">
        <v>46251.067928240744</v>
      </c>
      <c r="E3779" s="1167">
        <v>5.6822499999999998</v>
      </c>
      <c r="F3779" s="584">
        <v>4.4999999999999998E-2</v>
      </c>
      <c r="G3779" s="1168">
        <f t="shared" ref="G3779" si="132">IF(E3779&gt;0,E3779/(1-F3779),E3779)</f>
        <v>5.95</v>
      </c>
      <c r="H3779" s="1168" t="s">
        <v>1648</v>
      </c>
      <c r="I3779" s="1308" t="s">
        <v>2919</v>
      </c>
      <c r="J3779" s="1168">
        <v>9.6</v>
      </c>
      <c r="K3779" s="1168">
        <v>51.17</v>
      </c>
      <c r="L3779" s="1166">
        <f>INT(base[[#This Row],[Data de liquidação]])</f>
        <v>46251</v>
      </c>
      <c r="M3779" s="1168">
        <f>base[[#This Row],[L/P Bruto]]-base[[#This Row],[L/P Líquido]]</f>
        <v>0.26775000000000038</v>
      </c>
      <c r="N3779" s="1168">
        <f>base[[#This Row],[L/P Líquido]]/base[[#This Row],[Stake/Responsabilidade]]</f>
        <v>0.11104651162790696</v>
      </c>
      <c r="O3779" s="1169">
        <f>IF(base[[#This Row],[L/P Líquido]]&gt;0,1,0)</f>
        <v>1</v>
      </c>
      <c r="P3779" s="1169"/>
      <c r="Q3779" s="1169" t="str">
        <f>LEFT(base[[#This Row],[Evento / Mercado]],FIND("vs",base[[#This Row],[Evento / Mercado]])-2)</f>
        <v>Seattle Sounders</v>
      </c>
      <c r="R377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9" t="str">
        <f>LEFT(base[[#This Row],[Evento / Mercado]],FIND("/",base[[#This Row],[Evento / Mercado]])-2)</f>
        <v>Seattle Sounders vs Vancouver Whitecaps</v>
      </c>
      <c r="T3779" s="1170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 x14ac:dyDescent="0.25">
      <c r="B3780" s="1165" t="s">
        <v>4395</v>
      </c>
      <c r="C3780" s="860" t="s">
        <v>3515</v>
      </c>
      <c r="D3780" s="1166">
        <v>46251.067928240744</v>
      </c>
      <c r="E3780" s="1167">
        <v>38.199999999999996</v>
      </c>
      <c r="F3780" s="584">
        <v>4.4999999999999998E-2</v>
      </c>
      <c r="G3780" s="1168">
        <f t="shared" si="129"/>
        <v>40</v>
      </c>
      <c r="H3780" s="1168" t="s">
        <v>74</v>
      </c>
      <c r="I3780" s="1308" t="s">
        <v>692</v>
      </c>
      <c r="J3780" s="1168">
        <v>13</v>
      </c>
      <c r="K3780" s="1168">
        <v>480</v>
      </c>
      <c r="L3780" s="1166">
        <f>INT(base[[#This Row],[Data de liquidação]])</f>
        <v>46251</v>
      </c>
      <c r="M3780" s="1168">
        <f>base[[#This Row],[L/P Bruto]]-base[[#This Row],[L/P Líquido]]</f>
        <v>1.8000000000000043</v>
      </c>
      <c r="N3780" s="1168">
        <f>base[[#This Row],[L/P Líquido]]/base[[#This Row],[Stake/Responsabilidade]]</f>
        <v>7.9583333333333325E-2</v>
      </c>
      <c r="O3780" s="1169">
        <f>IF(base[[#This Row],[L/P Líquido]]&gt;0,1,0)</f>
        <v>1</v>
      </c>
      <c r="P3780" s="1169"/>
      <c r="Q3780" s="1169" t="str">
        <f>LEFT(base[[#This Row],[Evento / Mercado]],FIND("vs",base[[#This Row],[Evento / Mercado]])-2)</f>
        <v>Seattle Sounders</v>
      </c>
      <c r="R378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9" t="str">
        <f>LEFT(base[[#This Row],[Evento / Mercado]],FIND("/",base[[#This Row],[Evento / Mercado]])-2)</f>
        <v>Seattle Sounders vs Vancouver Whitecaps</v>
      </c>
      <c r="T3780" s="1170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 x14ac:dyDescent="0.25">
      <c r="B3781" s="1172" t="s">
        <v>4404</v>
      </c>
      <c r="C3781" s="860" t="s">
        <v>3515</v>
      </c>
      <c r="D3781" s="1173">
        <v>46251.599560185183</v>
      </c>
      <c r="E3781" s="1174">
        <v>-2</v>
      </c>
      <c r="F3781" s="584">
        <v>4.4999999999999998E-2</v>
      </c>
      <c r="G3781" s="1175">
        <f t="shared" ref="G3781:G3787" si="134">IF(E3781&gt;0,E3781/(1-F3781),E3781)</f>
        <v>-2</v>
      </c>
      <c r="H3781" s="1175" t="s">
        <v>1648</v>
      </c>
      <c r="I3781" s="1309" t="s">
        <v>2537</v>
      </c>
      <c r="J3781" s="1175">
        <v>2.12</v>
      </c>
      <c r="K3781" s="1175">
        <v>2</v>
      </c>
      <c r="L3781" s="1173">
        <f>INT(base[[#This Row],[Data de liquidação]])</f>
        <v>46251</v>
      </c>
      <c r="M3781" s="1175">
        <f>base[[#This Row],[L/P Bruto]]-base[[#This Row],[L/P Líquido]]</f>
        <v>0</v>
      </c>
      <c r="N3781" s="1175">
        <f>base[[#This Row],[L/P Líquido]]/base[[#This Row],[Stake/Responsabilidade]]</f>
        <v>-1</v>
      </c>
      <c r="O3781" s="1176">
        <f>IF(base[[#This Row],[L/P Líquido]]&gt;0,1,0)</f>
        <v>0</v>
      </c>
      <c r="P3781" s="1176"/>
      <c r="Q3781" s="1176" t="str">
        <f>LEFT(base[[#This Row],[Evento / Mercado]],FIND("vs",base[[#This Row],[Evento / Mercado]])-2)</f>
        <v>Zalaegerszegi TE</v>
      </c>
      <c r="R3781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6" t="str">
        <f>LEFT(base[[#This Row],[Evento / Mercado]],FIND("/",base[[#This Row],[Evento / Mercado]])-2)</f>
        <v>Zalaegerszegi TE vs Ferencvárosi TC</v>
      </c>
      <c r="T3781" s="1177">
        <f>base[[#This Row],[Data de liquidação]]</f>
        <v>46251.599560185183</v>
      </c>
    </row>
    <row r="3782" spans="2:22" ht="15" customHeight="1" x14ac:dyDescent="0.25">
      <c r="B3782" s="1172" t="s">
        <v>4403</v>
      </c>
      <c r="C3782" s="860" t="s">
        <v>3515</v>
      </c>
      <c r="D3782" s="1173">
        <v>46251.604849537034</v>
      </c>
      <c r="E3782" s="1174">
        <v>6.37</v>
      </c>
      <c r="F3782" s="584">
        <v>4.4999999999999998E-2</v>
      </c>
      <c r="G3782" s="1175">
        <f t="shared" si="134"/>
        <v>6.6701570680628279</v>
      </c>
      <c r="H3782" s="1168" t="s">
        <v>1648</v>
      </c>
      <c r="I3782" s="1308" t="s">
        <v>1739</v>
      </c>
      <c r="J3782" s="1175">
        <v>19</v>
      </c>
      <c r="K3782" s="1175">
        <v>120.06</v>
      </c>
      <c r="L3782" s="1173">
        <f>INT(base[[#This Row],[Data de liquidação]])</f>
        <v>46251</v>
      </c>
      <c r="M3782" s="1175">
        <f>base[[#This Row],[L/P Bruto]]-base[[#This Row],[L/P Líquido]]</f>
        <v>0.30015706806282783</v>
      </c>
      <c r="N3782" s="1175">
        <f>base[[#This Row],[L/P Líquido]]/base[[#This Row],[Stake/Responsabilidade]]</f>
        <v>5.3056804930867903E-2</v>
      </c>
      <c r="O3782" s="1176">
        <f>IF(base[[#This Row],[L/P Líquido]]&gt;0,1,0)</f>
        <v>1</v>
      </c>
      <c r="P3782" s="1176"/>
      <c r="Q3782" s="1176" t="str">
        <f>LEFT(base[[#This Row],[Evento / Mercado]],FIND("vs",base[[#This Row],[Evento / Mercado]])-2)</f>
        <v>Universitatea Cluj</v>
      </c>
      <c r="R3782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6" t="str">
        <f>LEFT(base[[#This Row],[Evento / Mercado]],FIND("/",base[[#This Row],[Evento / Mercado]])-2)</f>
        <v>Universitatea Cluj vs AFC UTA Arad</v>
      </c>
      <c r="T3782" s="1177">
        <f>base[[#This Row],[Data de liquidação]]</f>
        <v>46251.604849537034</v>
      </c>
    </row>
    <row r="3783" spans="2:22" ht="15" customHeight="1" x14ac:dyDescent="0.25">
      <c r="B3783" s="1172" t="s">
        <v>4402</v>
      </c>
      <c r="C3783" s="860" t="s">
        <v>3515</v>
      </c>
      <c r="D3783" s="1173">
        <v>46251.619710648149</v>
      </c>
      <c r="E3783" s="1174">
        <v>4.96</v>
      </c>
      <c r="F3783" s="584">
        <v>4.4999999999999998E-2</v>
      </c>
      <c r="G3783" s="1175">
        <f t="shared" si="134"/>
        <v>5.1937172774869111</v>
      </c>
      <c r="H3783" s="1168" t="s">
        <v>1648</v>
      </c>
      <c r="I3783" s="1308" t="s">
        <v>2919</v>
      </c>
      <c r="J3783" s="1175">
        <v>14.5</v>
      </c>
      <c r="K3783" s="1175">
        <v>70.069999999999993</v>
      </c>
      <c r="L3783" s="1173">
        <f>INT(base[[#This Row],[Data de liquidação]])</f>
        <v>46251</v>
      </c>
      <c r="M3783" s="1175">
        <f>base[[#This Row],[L/P Bruto]]-base[[#This Row],[L/P Líquido]]</f>
        <v>0.23371727748691118</v>
      </c>
      <c r="N3783" s="1175">
        <f>base[[#This Row],[L/P Líquido]]/base[[#This Row],[Stake/Responsabilidade]]</f>
        <v>7.0786356500642217E-2</v>
      </c>
      <c r="O3783" s="1176">
        <f>IF(base[[#This Row],[L/P Líquido]]&gt;0,1,0)</f>
        <v>1</v>
      </c>
      <c r="P3783" s="1176"/>
      <c r="Q3783" s="1176" t="str">
        <f>LEFT(base[[#This Row],[Evento / Mercado]],FIND("vs",base[[#This Row],[Evento / Mercado]])-2)</f>
        <v>FK Trinec</v>
      </c>
      <c r="R3783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6" t="str">
        <f>LEFT(base[[#This Row],[Evento / Mercado]],FIND("/",base[[#This Row],[Evento / Mercado]])-2)</f>
        <v>FK Trinec vs Ústí nad Labem</v>
      </c>
      <c r="T3783" s="1177">
        <f>base[[#This Row],[Data de liquidação]]</f>
        <v>46251.619710648149</v>
      </c>
    </row>
    <row r="3784" spans="2:22" ht="15" customHeight="1" x14ac:dyDescent="0.25">
      <c r="B3784" s="1172" t="s">
        <v>4401</v>
      </c>
      <c r="C3784" s="860" t="s">
        <v>3515</v>
      </c>
      <c r="D3784" s="1173">
        <v>46251.660671296297</v>
      </c>
      <c r="E3784" s="1174">
        <v>30.28</v>
      </c>
      <c r="F3784" s="584">
        <v>4.4999999999999998E-2</v>
      </c>
      <c r="G3784" s="1175">
        <f t="shared" si="134"/>
        <v>31.706806282722514</v>
      </c>
      <c r="H3784" s="1175" t="s">
        <v>4320</v>
      </c>
      <c r="I3784" s="1309"/>
      <c r="J3784" s="1175">
        <v>9.1999999999999993</v>
      </c>
      <c r="K3784" s="1175">
        <v>260.02</v>
      </c>
      <c r="L3784" s="1173">
        <f>INT(base[[#This Row],[Data de liquidação]])</f>
        <v>46251</v>
      </c>
      <c r="M3784" s="1175">
        <f>base[[#This Row],[L/P Bruto]]-base[[#This Row],[L/P Líquido]]</f>
        <v>1.426806282722513</v>
      </c>
      <c r="N3784" s="1175">
        <f>base[[#This Row],[L/P Líquido]]/base[[#This Row],[Stake/Responsabilidade]]</f>
        <v>0.11645258057072534</v>
      </c>
      <c r="O3784" s="1176">
        <f>IF(base[[#This Row],[L/P Líquido]]&gt;0,1,0)</f>
        <v>1</v>
      </c>
      <c r="P3784" s="1176"/>
      <c r="Q3784" s="1176" t="str">
        <f>LEFT(base[[#This Row],[Evento / Mercado]],FIND("vs",base[[#This Row],[Evento / Mercado]])-2)</f>
        <v>BK Häcken</v>
      </c>
      <c r="R3784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6" t="str">
        <f>LEFT(base[[#This Row],[Evento / Mercado]],FIND("/",base[[#This Row],[Evento / Mercado]])-2)</f>
        <v>BK Häcken vs Halmstads BK</v>
      </c>
      <c r="T3784" s="1177">
        <f>base[[#This Row],[Data de liquidação]]</f>
        <v>46251.660671296297</v>
      </c>
    </row>
    <row r="3785" spans="2:22" ht="15" customHeight="1" x14ac:dyDescent="0.25">
      <c r="B3785" s="1172" t="s">
        <v>4400</v>
      </c>
      <c r="C3785" s="860" t="s">
        <v>3515</v>
      </c>
      <c r="D3785" s="1173">
        <v>46251.754606481481</v>
      </c>
      <c r="E3785" s="1174">
        <v>6.3</v>
      </c>
      <c r="F3785" s="584">
        <v>4.4999999999999998E-2</v>
      </c>
      <c r="G3785" s="1175">
        <f t="shared" si="134"/>
        <v>6.5968586387434556</v>
      </c>
      <c r="H3785" s="1168" t="s">
        <v>4253</v>
      </c>
      <c r="I3785" s="1299" t="s">
        <v>13</v>
      </c>
      <c r="J3785" s="1175">
        <v>1.33</v>
      </c>
      <c r="K3785" s="1175">
        <v>20</v>
      </c>
      <c r="L3785" s="1173">
        <f>INT(base[[#This Row],[Data de liquidação]])</f>
        <v>46251</v>
      </c>
      <c r="M3785" s="1175">
        <f>base[[#This Row],[L/P Bruto]]-base[[#This Row],[L/P Líquido]]</f>
        <v>0.29685863874345575</v>
      </c>
      <c r="N3785" s="1175">
        <f>base[[#This Row],[L/P Líquido]]/base[[#This Row],[Stake/Responsabilidade]]</f>
        <v>0.315</v>
      </c>
      <c r="O3785" s="1176">
        <f>IF(base[[#This Row],[L/P Líquido]]&gt;0,1,0)</f>
        <v>1</v>
      </c>
      <c r="P3785" s="1176"/>
      <c r="Q3785" s="1176" t="str">
        <f>LEFT(base[[#This Row],[Evento / Mercado]],FIND("vs",base[[#This Row],[Evento / Mercado]])-2)</f>
        <v>Lanus</v>
      </c>
      <c r="R3785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6" t="str">
        <f>LEFT(base[[#This Row],[Evento / Mercado]],FIND("/",base[[#This Row],[Evento / Mercado]])-2)</f>
        <v>Lanus vs Independiente</v>
      </c>
      <c r="T3785" s="1177">
        <f>base[[#This Row],[Data de liquidação]]</f>
        <v>46251.754606481481</v>
      </c>
    </row>
    <row r="3786" spans="2:22" ht="15" customHeight="1" x14ac:dyDescent="0.25">
      <c r="B3786" s="1172" t="s">
        <v>4399</v>
      </c>
      <c r="C3786" s="860" t="s">
        <v>3515</v>
      </c>
      <c r="D3786" s="1173">
        <v>46251.943483796298</v>
      </c>
      <c r="E3786" s="1174">
        <v>6.3</v>
      </c>
      <c r="F3786" s="584">
        <v>4.4999999999999998E-2</v>
      </c>
      <c r="G3786" s="1175">
        <f t="shared" si="134"/>
        <v>6.5968586387434556</v>
      </c>
      <c r="H3786" s="1168" t="s">
        <v>4253</v>
      </c>
      <c r="I3786" s="1299" t="s">
        <v>3586</v>
      </c>
      <c r="J3786" s="1175">
        <v>1.33</v>
      </c>
      <c r="K3786" s="1175">
        <v>20</v>
      </c>
      <c r="L3786" s="1173">
        <f>INT(base[[#This Row],[Data de liquidação]])</f>
        <v>46251</v>
      </c>
      <c r="M3786" s="1175">
        <f>base[[#This Row],[L/P Bruto]]-base[[#This Row],[L/P Líquido]]</f>
        <v>0.29685863874345575</v>
      </c>
      <c r="N3786" s="1175">
        <f>base[[#This Row],[L/P Líquido]]/base[[#This Row],[Stake/Responsabilidade]]</f>
        <v>0.315</v>
      </c>
      <c r="O3786" s="1176">
        <f>IF(base[[#This Row],[L/P Líquido]]&gt;0,1,0)</f>
        <v>1</v>
      </c>
      <c r="P3786" s="1176"/>
      <c r="Q3786" s="1176" t="str">
        <f>LEFT(base[[#This Row],[Evento / Mercado]],FIND("vs",base[[#This Row],[Evento / Mercado]])-2)</f>
        <v>Gimnasia y Esgrima de Mendoza</v>
      </c>
      <c r="R3786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6" t="str">
        <f>LEFT(base[[#This Row],[Evento / Mercado]],FIND("/",base[[#This Row],[Evento / Mercado]])-2)</f>
        <v>Gimnasia y Esgrima de Mendoza vs Talleres de Córdoba</v>
      </c>
      <c r="T3786" s="1177">
        <f>base[[#This Row],[Data de liquidação]]</f>
        <v>46251.943483796298</v>
      </c>
    </row>
    <row r="3787" spans="2:22" ht="15" customHeight="1" x14ac:dyDescent="0.25">
      <c r="B3787" s="1172" t="s">
        <v>4398</v>
      </c>
      <c r="C3787" s="860" t="s">
        <v>3515</v>
      </c>
      <c r="D3787" s="1173">
        <v>46251.953611111108</v>
      </c>
      <c r="E3787" s="1174">
        <v>7.77</v>
      </c>
      <c r="F3787" s="584">
        <v>4.4999999999999998E-2</v>
      </c>
      <c r="G3787" s="1175">
        <f t="shared" si="134"/>
        <v>8.1361256544502609</v>
      </c>
      <c r="H3787" s="1168" t="s">
        <v>1648</v>
      </c>
      <c r="I3787" s="1308" t="s">
        <v>2919</v>
      </c>
      <c r="J3787" s="1175">
        <v>9.6</v>
      </c>
      <c r="K3787" s="1175">
        <v>70</v>
      </c>
      <c r="L3787" s="1173">
        <f>INT(base[[#This Row],[Data de liquidação]])</f>
        <v>46251</v>
      </c>
      <c r="M3787" s="1175">
        <f>base[[#This Row],[L/P Bruto]]-base[[#This Row],[L/P Líquido]]</f>
        <v>0.36612565445026135</v>
      </c>
      <c r="N3787" s="1175">
        <f>base[[#This Row],[L/P Líquido]]/base[[#This Row],[Stake/Responsabilidade]]</f>
        <v>0.11099999999999999</v>
      </c>
      <c r="O3787" s="1176">
        <f>IF(base[[#This Row],[L/P Líquido]]&gt;0,1,0)</f>
        <v>1</v>
      </c>
      <c r="P3787" s="1176"/>
      <c r="Q3787" s="1176" t="str">
        <f>LEFT(base[[#This Row],[Evento / Mercado]],FIND("vs",base[[#This Row],[Evento / Mercado]])-2)</f>
        <v>Deportivo Macara</v>
      </c>
      <c r="R3787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6" t="str">
        <f>LEFT(base[[#This Row],[Evento / Mercado]],FIND("/",base[[#This Row],[Evento / Mercado]])-2)</f>
        <v>Deportivo Macara vs Universidad Católica del Ecuador</v>
      </c>
      <c r="T3787" s="1177">
        <f>base[[#This Row],[Data de liquidação]]</f>
        <v>46251.953611111108</v>
      </c>
    </row>
    <row r="3788" spans="2:22" ht="15" customHeight="1" x14ac:dyDescent="0.25">
      <c r="B3788" s="1311" t="s">
        <v>4407</v>
      </c>
      <c r="C3788" s="860" t="s">
        <v>3515</v>
      </c>
      <c r="D3788" s="1312">
        <v>46252.421886574077</v>
      </c>
      <c r="E3788" s="1313">
        <v>4.97</v>
      </c>
      <c r="F3788" s="584">
        <v>4.4999999999999998E-2</v>
      </c>
      <c r="G3788" s="1314">
        <f t="shared" ref="G3788:G3791" si="135">IF(E3788&gt;0,E3788/(1-F3788),E3788)</f>
        <v>5.2041884816753923</v>
      </c>
      <c r="H3788" s="1168" t="s">
        <v>4253</v>
      </c>
      <c r="I3788" s="1299" t="s">
        <v>13</v>
      </c>
      <c r="J3788" s="1314">
        <v>1.26</v>
      </c>
      <c r="K3788" s="1314">
        <v>20</v>
      </c>
      <c r="L3788" s="1312">
        <f>INT(base[[#This Row],[Data de liquidação]])</f>
        <v>46252</v>
      </c>
      <c r="M3788" s="1314">
        <f>base[[#This Row],[L/P Bruto]]-base[[#This Row],[L/P Líquido]]</f>
        <v>0.23418848167539252</v>
      </c>
      <c r="N3788" s="1314">
        <f>base[[#This Row],[L/P Líquido]]/base[[#This Row],[Stake/Responsabilidade]]</f>
        <v>0.2485</v>
      </c>
      <c r="O3788" s="1316">
        <f>IF(base[[#This Row],[L/P Líquido]]&gt;0,1,0)</f>
        <v>1</v>
      </c>
      <c r="P3788" s="1316"/>
      <c r="Q3788" s="1316" t="str">
        <f>LEFT(base[[#This Row],[Evento / Mercado]],FIND("vs",base[[#This Row],[Evento / Mercado]])-2)</f>
        <v>Shanghai Shenhua</v>
      </c>
      <c r="R3788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6" t="str">
        <f>LEFT(base[[#This Row],[Evento / Mercado]],FIND("/",base[[#This Row],[Evento / Mercado]])-2)</f>
        <v>Shanghai Shenhua vs Beijing Guoan</v>
      </c>
      <c r="T3788" s="1317">
        <f>base[[#This Row],[Data de liquidação]]</f>
        <v>46252.421886574077</v>
      </c>
    </row>
    <row r="3789" spans="2:22" ht="15" customHeight="1" x14ac:dyDescent="0.25">
      <c r="B3789" s="1311" t="s">
        <v>4406</v>
      </c>
      <c r="C3789" s="860" t="s">
        <v>3515</v>
      </c>
      <c r="D3789" s="1312">
        <v>46252.430520833332</v>
      </c>
      <c r="E3789" s="1313">
        <v>1.32</v>
      </c>
      <c r="F3789" s="584">
        <v>4.4999999999999998E-2</v>
      </c>
      <c r="G3789" s="1314">
        <f t="shared" si="135"/>
        <v>1.3821989528795813</v>
      </c>
      <c r="H3789" s="1168" t="s">
        <v>1648</v>
      </c>
      <c r="I3789" s="1315" t="s">
        <v>3296</v>
      </c>
      <c r="J3789" s="1314">
        <v>1.69</v>
      </c>
      <c r="K3789" s="1314">
        <v>2</v>
      </c>
      <c r="L3789" s="1312">
        <f>INT(base[[#This Row],[Data de liquidação]])</f>
        <v>46252</v>
      </c>
      <c r="M3789" s="1314">
        <f>base[[#This Row],[L/P Bruto]]-base[[#This Row],[L/P Líquido]]</f>
        <v>6.2198952879581215E-2</v>
      </c>
      <c r="N3789" s="1314">
        <f>base[[#This Row],[L/P Líquido]]/base[[#This Row],[Stake/Responsabilidade]]</f>
        <v>0.66</v>
      </c>
      <c r="O3789" s="1316">
        <f>IF(base[[#This Row],[L/P Líquido]]&gt;0,1,0)</f>
        <v>1</v>
      </c>
      <c r="P3789" s="1316"/>
      <c r="Q3789" s="1316" t="str">
        <f>LEFT(base[[#This Row],[Evento / Mercado]],FIND("vs",base[[#This Row],[Evento / Mercado]])-2)</f>
        <v>Shanghai Shenhua</v>
      </c>
      <c r="R3789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6" t="str">
        <f>LEFT(base[[#This Row],[Evento / Mercado]],FIND("/",base[[#This Row],[Evento / Mercado]])-2)</f>
        <v>Shanghai Shenhua vs Beijing Guoan</v>
      </c>
      <c r="T3789" s="1317">
        <f>base[[#This Row],[Data de liquidação]]</f>
        <v>46252.430520833332</v>
      </c>
    </row>
    <row r="3790" spans="2:22" ht="15" customHeight="1" x14ac:dyDescent="0.25">
      <c r="B3790" s="1311" t="s">
        <v>4405</v>
      </c>
      <c r="C3790" s="860" t="s">
        <v>3515</v>
      </c>
      <c r="D3790" s="1312">
        <v>46252.975023148145</v>
      </c>
      <c r="E3790" s="1313">
        <v>9.9511000000000003</v>
      </c>
      <c r="F3790" s="584">
        <v>4.4999999999999998E-2</v>
      </c>
      <c r="G3790" s="1314">
        <f t="shared" ref="G3790" si="136">IF(E3790&gt;0,E3790/(1-F3790),E3790)</f>
        <v>10.42</v>
      </c>
      <c r="H3790" s="1168" t="s">
        <v>4253</v>
      </c>
      <c r="I3790" s="1299" t="s">
        <v>75</v>
      </c>
      <c r="J3790" s="1314">
        <v>1.52</v>
      </c>
      <c r="K3790" s="1314">
        <v>20</v>
      </c>
      <c r="L3790" s="1312">
        <f>INT(base[[#This Row],[Data de liquidação]])</f>
        <v>46252</v>
      </c>
      <c r="M3790" s="1314">
        <f>base[[#This Row],[L/P Bruto]]-base[[#This Row],[L/P Líquido]]</f>
        <v>0.46889999999999965</v>
      </c>
      <c r="N3790" s="1314">
        <f>base[[#This Row],[L/P Líquido]]/base[[#This Row],[Stake/Responsabilidade]]</f>
        <v>0.49755500000000003</v>
      </c>
      <c r="O3790" s="1316">
        <f>IF(base[[#This Row],[L/P Líquido]]&gt;0,1,0)</f>
        <v>1</v>
      </c>
      <c r="P3790" s="1316"/>
      <c r="Q3790" s="1316" t="str">
        <f>LEFT(base[[#This Row],[Evento / Mercado]],FIND("vs",base[[#This Row],[Evento / Mercado]])-2)</f>
        <v>Goiás EC</v>
      </c>
      <c r="R3790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6" t="str">
        <f>LEFT(base[[#This Row],[Evento / Mercado]],FIND("/",base[[#This Row],[Evento / Mercado]])-2)</f>
        <v>Goiás EC vs EC Juventude</v>
      </c>
      <c r="T3790" s="1317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 x14ac:dyDescent="0.25">
      <c r="B3791" s="1311" t="s">
        <v>4405</v>
      </c>
      <c r="C3791" s="860" t="s">
        <v>3515</v>
      </c>
      <c r="D3791" s="1312">
        <v>46252.975023148145</v>
      </c>
      <c r="E3791" s="1313">
        <v>9.9320000000000004</v>
      </c>
      <c r="F3791" s="584">
        <v>4.4999999999999998E-2</v>
      </c>
      <c r="G3791" s="1314">
        <f t="shared" si="135"/>
        <v>10.4</v>
      </c>
      <c r="H3791" s="1168" t="s">
        <v>1648</v>
      </c>
      <c r="I3791" s="1308" t="s">
        <v>2277</v>
      </c>
      <c r="J3791" s="1314">
        <v>1.52</v>
      </c>
      <c r="K3791" s="1314">
        <v>20</v>
      </c>
      <c r="L3791" s="1312">
        <f>INT(base[[#This Row],[Data de liquidação]])</f>
        <v>46252</v>
      </c>
      <c r="M3791" s="1314">
        <f>base[[#This Row],[L/P Bruto]]-base[[#This Row],[L/P Líquido]]</f>
        <v>0.46799999999999997</v>
      </c>
      <c r="N3791" s="1314">
        <f>base[[#This Row],[L/P Líquido]]/base[[#This Row],[Stake/Responsabilidade]]</f>
        <v>0.49660000000000004</v>
      </c>
      <c r="O3791" s="1316">
        <f>IF(base[[#This Row],[L/P Líquido]]&gt;0,1,0)</f>
        <v>1</v>
      </c>
      <c r="P3791" s="1316"/>
      <c r="Q3791" s="1316" t="str">
        <f>LEFT(base[[#This Row],[Evento / Mercado]],FIND("vs",base[[#This Row],[Evento / Mercado]])-2)</f>
        <v>Goiás EC</v>
      </c>
      <c r="R3791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6" t="str">
        <f>LEFT(base[[#This Row],[Evento / Mercado]],FIND("/",base[[#This Row],[Evento / Mercado]])-2)</f>
        <v>Goiás EC vs EC Juventude</v>
      </c>
      <c r="T3791" s="1317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 x14ac:dyDescent="0.25">
      <c r="B3792" s="1319" t="s">
        <v>4415</v>
      </c>
      <c r="C3792" s="860" t="s">
        <v>3515</v>
      </c>
      <c r="D3792" s="1320">
        <v>46253.345949074072</v>
      </c>
      <c r="E3792" s="1321">
        <v>9.93</v>
      </c>
      <c r="F3792" s="584">
        <v>4.4999999999999998E-2</v>
      </c>
      <c r="G3792" s="1322">
        <f t="shared" ref="G3792:G3801" si="138">IF(E3792&gt;0,E3792/(1-F3792),E3792)</f>
        <v>10.397905759162304</v>
      </c>
      <c r="H3792" s="1168" t="s">
        <v>1648</v>
      </c>
      <c r="I3792" s="1308" t="s">
        <v>2277</v>
      </c>
      <c r="J3792" s="1322">
        <v>1.52</v>
      </c>
      <c r="K3792" s="1322">
        <v>20</v>
      </c>
      <c r="L3792" s="1320">
        <f>INT(base[[#This Row],[Data de liquidação]])</f>
        <v>46253</v>
      </c>
      <c r="M3792" s="1322">
        <f>base[[#This Row],[L/P Bruto]]-base[[#This Row],[L/P Líquido]]</f>
        <v>0.46790575916230459</v>
      </c>
      <c r="N3792" s="1322">
        <f>base[[#This Row],[L/P Líquido]]/base[[#This Row],[Stake/Responsabilidade]]</f>
        <v>0.4965</v>
      </c>
      <c r="O3792" s="1324">
        <f>IF(base[[#This Row],[L/P Líquido]]&gt;0,1,0)</f>
        <v>1</v>
      </c>
      <c r="P3792" s="1324"/>
      <c r="Q3792" s="1324" t="str">
        <f>LEFT(base[[#This Row],[Evento / Mercado]],FIND("vs",base[[#This Row],[Evento / Mercado]])-2)</f>
        <v>Verspah Oita</v>
      </c>
      <c r="R3792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4" t="str">
        <f>LEFT(base[[#This Row],[Evento / Mercado]],FIND("/",base[[#This Row],[Evento / Mercado]])-2)</f>
        <v>Verspah Oita vs Kochi United</v>
      </c>
      <c r="T3792" s="1325">
        <f>base[[#This Row],[Data de liquidação]]</f>
        <v>46253.345949074072</v>
      </c>
    </row>
    <row r="3793" spans="2:22" ht="15" customHeight="1" x14ac:dyDescent="0.25">
      <c r="B3793" s="1319" t="s">
        <v>4414</v>
      </c>
      <c r="C3793" s="860" t="s">
        <v>3515</v>
      </c>
      <c r="D3793" s="1320">
        <v>46253.876898148148</v>
      </c>
      <c r="E3793" s="1321">
        <v>9.74</v>
      </c>
      <c r="F3793" s="584">
        <v>4.4999999999999998E-2</v>
      </c>
      <c r="G3793" s="1322">
        <f t="shared" si="138"/>
        <v>10.198952879581153</v>
      </c>
      <c r="H3793" s="1168" t="s">
        <v>1648</v>
      </c>
      <c r="I3793" s="1308" t="s">
        <v>2277</v>
      </c>
      <c r="J3793" s="1322">
        <v>1.51</v>
      </c>
      <c r="K3793" s="1322">
        <v>20</v>
      </c>
      <c r="L3793" s="1320">
        <f>INT(base[[#This Row],[Data de liquidação]])</f>
        <v>46253</v>
      </c>
      <c r="M3793" s="1322">
        <f>base[[#This Row],[L/P Bruto]]-base[[#This Row],[L/P Líquido]]</f>
        <v>0.45895287958115283</v>
      </c>
      <c r="N3793" s="1322">
        <f>base[[#This Row],[L/P Líquido]]/base[[#This Row],[Stake/Responsabilidade]]</f>
        <v>0.48699999999999999</v>
      </c>
      <c r="O3793" s="1324">
        <f>IF(base[[#This Row],[L/P Líquido]]&gt;0,1,0)</f>
        <v>1</v>
      </c>
      <c r="P3793" s="1324"/>
      <c r="Q3793" s="1324" t="str">
        <f>LEFT(base[[#This Row],[Evento / Mercado]],FIND("vs",base[[#This Row],[Evento / Mercado]])-2)</f>
        <v>Avaí FC</v>
      </c>
      <c r="R3793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4" t="str">
        <f>LEFT(base[[#This Row],[Evento / Mercado]],FIND("/",base[[#This Row],[Evento / Mercado]])-2)</f>
        <v>Avaí FC vs Sport Club do Recife</v>
      </c>
      <c r="T3793" s="1325">
        <f>base[[#This Row],[Data de liquidação]]</f>
        <v>46253.876898148148</v>
      </c>
    </row>
    <row r="3794" spans="2:22" ht="15" customHeight="1" x14ac:dyDescent="0.25">
      <c r="B3794" s="1319" t="s">
        <v>4413</v>
      </c>
      <c r="C3794" s="860" t="s">
        <v>3515</v>
      </c>
      <c r="D3794" s="1320">
        <v>46253.895520833335</v>
      </c>
      <c r="E3794" s="1321">
        <v>-20</v>
      </c>
      <c r="F3794" s="584">
        <v>4.4999999999999998E-2</v>
      </c>
      <c r="G3794" s="1322">
        <f t="shared" si="138"/>
        <v>-20</v>
      </c>
      <c r="H3794" s="1168" t="s">
        <v>4253</v>
      </c>
      <c r="I3794" s="1323" t="s">
        <v>3217</v>
      </c>
      <c r="J3794" s="1322">
        <v>1.43</v>
      </c>
      <c r="K3794" s="1322">
        <v>20</v>
      </c>
      <c r="L3794" s="1320">
        <f>INT(base[[#This Row],[Data de liquidação]])</f>
        <v>46253</v>
      </c>
      <c r="M3794" s="1322">
        <f>base[[#This Row],[L/P Bruto]]-base[[#This Row],[L/P Líquido]]</f>
        <v>0</v>
      </c>
      <c r="N3794" s="1322">
        <f>base[[#This Row],[L/P Líquido]]/base[[#This Row],[Stake/Responsabilidade]]</f>
        <v>-1</v>
      </c>
      <c r="O3794" s="1324">
        <f>IF(base[[#This Row],[L/P Líquido]]&gt;0,1,0)</f>
        <v>0</v>
      </c>
      <c r="P3794" s="1324"/>
      <c r="Q3794" s="1324" t="str">
        <f>LEFT(base[[#This Row],[Evento / Mercado]],FIND("vs",base[[#This Row],[Evento / Mercado]])-2)</f>
        <v>Fortaleza EC</v>
      </c>
      <c r="R3794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4" t="str">
        <f>LEFT(base[[#This Row],[Evento / Mercado]],FIND("/",base[[#This Row],[Evento / Mercado]])-2)</f>
        <v>Fortaleza EC vs São Bernardo FC</v>
      </c>
      <c r="T3794" s="1325">
        <f>base[[#This Row],[Data de liquidação]]</f>
        <v>46253.895520833335</v>
      </c>
    </row>
    <row r="3795" spans="2:22" ht="15" customHeight="1" x14ac:dyDescent="0.25">
      <c r="B3795" s="1319" t="s">
        <v>4412</v>
      </c>
      <c r="C3795" s="860" t="s">
        <v>3515</v>
      </c>
      <c r="D3795" s="1320">
        <v>46253.934398148151</v>
      </c>
      <c r="E3795" s="1321">
        <v>17.059999999999999</v>
      </c>
      <c r="F3795" s="584">
        <v>4.4999999999999998E-2</v>
      </c>
      <c r="G3795" s="1322">
        <f t="shared" si="138"/>
        <v>17.863874345549739</v>
      </c>
      <c r="H3795" s="1322" t="s">
        <v>74</v>
      </c>
      <c r="I3795" s="1323" t="s">
        <v>626</v>
      </c>
      <c r="J3795" s="1322">
        <v>30</v>
      </c>
      <c r="K3795" s="1322">
        <v>517.94000000000005</v>
      </c>
      <c r="L3795" s="1320">
        <f>INT(base[[#This Row],[Data de liquidação]])</f>
        <v>46253</v>
      </c>
      <c r="M3795" s="1322">
        <f>base[[#This Row],[L/P Bruto]]-base[[#This Row],[L/P Líquido]]</f>
        <v>0.80387434554974035</v>
      </c>
      <c r="N3795" s="1322">
        <f>base[[#This Row],[L/P Líquido]]/base[[#This Row],[Stake/Responsabilidade]]</f>
        <v>3.2938178167355288E-2</v>
      </c>
      <c r="O3795" s="1324">
        <f>IF(base[[#This Row],[L/P Líquido]]&gt;0,1,0)</f>
        <v>1</v>
      </c>
      <c r="P3795" s="1324"/>
      <c r="Q3795" s="1324" t="str">
        <f>LEFT(base[[#This Row],[Evento / Mercado]],FIND("vs",base[[#This Row],[Evento / Mercado]])-2)</f>
        <v>Vila Nova FC</v>
      </c>
      <c r="R3795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4" t="str">
        <f>LEFT(base[[#This Row],[Evento / Mercado]],FIND("/",base[[#This Row],[Evento / Mercado]])-2)</f>
        <v>Vila Nova FC vs Atlética Ponte Preta</v>
      </c>
      <c r="T3795" s="1325">
        <f>base[[#This Row],[Data de liquidação]]</f>
        <v>46253.934398148151</v>
      </c>
    </row>
    <row r="3796" spans="2:22" ht="15" customHeight="1" x14ac:dyDescent="0.25">
      <c r="B3796" s="1319" t="s">
        <v>4411</v>
      </c>
      <c r="C3796" s="860" t="s">
        <v>3515</v>
      </c>
      <c r="D3796" s="1320">
        <v>46253.934490740743</v>
      </c>
      <c r="E3796" s="1321">
        <v>15.28</v>
      </c>
      <c r="F3796" s="584">
        <v>4.4999999999999998E-2</v>
      </c>
      <c r="G3796" s="1322">
        <f t="shared" si="138"/>
        <v>16</v>
      </c>
      <c r="H3796" s="1322" t="s">
        <v>4320</v>
      </c>
      <c r="I3796" s="1323"/>
      <c r="J3796" s="1322">
        <v>13.5</v>
      </c>
      <c r="K3796" s="1322">
        <v>200</v>
      </c>
      <c r="L3796" s="1320">
        <f>INT(base[[#This Row],[Data de liquidação]])</f>
        <v>46253</v>
      </c>
      <c r="M3796" s="1322">
        <f>base[[#This Row],[L/P Bruto]]-base[[#This Row],[L/P Líquido]]</f>
        <v>0.72000000000000064</v>
      </c>
      <c r="N3796" s="1322">
        <f>base[[#This Row],[L/P Líquido]]/base[[#This Row],[Stake/Responsabilidade]]</f>
        <v>7.6399999999999996E-2</v>
      </c>
      <c r="O3796" s="1324">
        <f>IF(base[[#This Row],[L/P Líquido]]&gt;0,1,0)</f>
        <v>1</v>
      </c>
      <c r="P3796" s="1324"/>
      <c r="Q3796" s="1324" t="str">
        <f>LEFT(base[[#This Row],[Evento / Mercado]],FIND("vs",base[[#This Row],[Evento / Mercado]])-2)</f>
        <v>Vila Nova FC</v>
      </c>
      <c r="R3796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4" t="str">
        <f>LEFT(base[[#This Row],[Evento / Mercado]],FIND("/",base[[#This Row],[Evento / Mercado]])-2)</f>
        <v>Vila Nova FC vs Atlética Ponte Preta</v>
      </c>
      <c r="T3796" s="1325">
        <f>base[[#This Row],[Data de liquidação]]</f>
        <v>46253.934490740743</v>
      </c>
    </row>
    <row r="3797" spans="2:22" ht="15" customHeight="1" x14ac:dyDescent="0.25">
      <c r="B3797" s="1319" t="s">
        <v>4410</v>
      </c>
      <c r="C3797" s="860" t="s">
        <v>3515</v>
      </c>
      <c r="D3797" s="1320">
        <v>46253.957442129627</v>
      </c>
      <c r="E3797" s="1321">
        <v>8.68</v>
      </c>
      <c r="F3797" s="584">
        <v>4.4999999999999998E-2</v>
      </c>
      <c r="G3797" s="1322">
        <f t="shared" si="138"/>
        <v>9.0890052356020945</v>
      </c>
      <c r="H3797" s="1168" t="s">
        <v>4253</v>
      </c>
      <c r="I3797" s="1323" t="s">
        <v>75</v>
      </c>
      <c r="J3797" s="1322">
        <v>1.45</v>
      </c>
      <c r="K3797" s="1322">
        <v>20</v>
      </c>
      <c r="L3797" s="1320">
        <f>INT(base[[#This Row],[Data de liquidação]])</f>
        <v>46253</v>
      </c>
      <c r="M3797" s="1322">
        <f>base[[#This Row],[L/P Bruto]]-base[[#This Row],[L/P Líquido]]</f>
        <v>0.40900523560209479</v>
      </c>
      <c r="N3797" s="1322">
        <f>base[[#This Row],[L/P Líquido]]/base[[#This Row],[Stake/Responsabilidade]]</f>
        <v>0.434</v>
      </c>
      <c r="O3797" s="1324">
        <f>IF(base[[#This Row],[L/P Líquido]]&gt;0,1,0)</f>
        <v>1</v>
      </c>
      <c r="P3797" s="1324"/>
      <c r="Q3797" s="1324" t="str">
        <f>LEFT(base[[#This Row],[Evento / Mercado]],FIND("vs",base[[#This Row],[Evento / Mercado]])-2)</f>
        <v>Botafogo SP</v>
      </c>
      <c r="R3797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4" t="str">
        <f>LEFT(base[[#This Row],[Evento / Mercado]],FIND("/",base[[#This Row],[Evento / Mercado]])-2)</f>
        <v>Botafogo SP vs Criciúma EC</v>
      </c>
      <c r="T3797" s="1325">
        <f>base[[#This Row],[Data de liquidação]]</f>
        <v>46253.957442129627</v>
      </c>
    </row>
    <row r="3798" spans="2:22" ht="15" customHeight="1" x14ac:dyDescent="0.25">
      <c r="B3798" s="1319" t="s">
        <v>4419</v>
      </c>
      <c r="C3798" s="860" t="s">
        <v>3515</v>
      </c>
      <c r="D3798" s="1320">
        <v>46254.006111111114</v>
      </c>
      <c r="E3798" s="1321">
        <v>24.73</v>
      </c>
      <c r="F3798" s="584">
        <v>4.4999999999999998E-2</v>
      </c>
      <c r="G3798" s="1322">
        <f t="shared" si="138"/>
        <v>25.895287958115183</v>
      </c>
      <c r="H3798" s="1322" t="s">
        <v>74</v>
      </c>
      <c r="I3798" s="1323" t="s">
        <v>692</v>
      </c>
      <c r="J3798" s="1322">
        <v>21</v>
      </c>
      <c r="K3798" s="1322">
        <v>518</v>
      </c>
      <c r="L3798" s="1320">
        <f>INT(base[[#This Row],[Data de liquidação]])</f>
        <v>46254</v>
      </c>
      <c r="M3798" s="1322">
        <f>base[[#This Row],[L/P Bruto]]-base[[#This Row],[L/P Líquido]]</f>
        <v>1.1652879581151829</v>
      </c>
      <c r="N3798" s="1322">
        <f>base[[#This Row],[L/P Líquido]]/base[[#This Row],[Stake/Responsabilidade]]</f>
        <v>4.7741312741312741E-2</v>
      </c>
      <c r="O3798" s="1324">
        <f>IF(base[[#This Row],[L/P Líquido]]&gt;0,1,0)</f>
        <v>1</v>
      </c>
      <c r="P3798" s="1324"/>
      <c r="Q3798" s="1324" t="str">
        <f>LEFT(base[[#This Row],[Evento / Mercado]],FIND("vs",base[[#This Row],[Evento / Mercado]])-2)</f>
        <v>Orlando City</v>
      </c>
      <c r="R3798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4" t="str">
        <f>LEFT(base[[#This Row],[Evento / Mercado]],FIND("/",base[[#This Row],[Evento / Mercado]])-2)</f>
        <v>Orlando City vs Chicago Fire</v>
      </c>
      <c r="T3798" s="1325">
        <f>base[[#This Row],[Data de liquidação]]</f>
        <v>46254.006111111114</v>
      </c>
    </row>
    <row r="3799" spans="2:22" ht="15" customHeight="1" x14ac:dyDescent="0.25">
      <c r="B3799" s="1319" t="s">
        <v>4418</v>
      </c>
      <c r="C3799" s="860" t="s">
        <v>3515</v>
      </c>
      <c r="D3799" s="1320">
        <v>46254.024097222224</v>
      </c>
      <c r="E3799" s="1321">
        <v>16.61</v>
      </c>
      <c r="F3799" s="584">
        <v>4.4999999999999998E-2</v>
      </c>
      <c r="G3799" s="1322">
        <f t="shared" si="138"/>
        <v>17.392670157068064</v>
      </c>
      <c r="H3799" s="1322" t="s">
        <v>74</v>
      </c>
      <c r="I3799" s="1323" t="s">
        <v>626</v>
      </c>
      <c r="J3799" s="1322">
        <v>24</v>
      </c>
      <c r="K3799" s="1322">
        <v>399.97</v>
      </c>
      <c r="L3799" s="1320">
        <f>INT(base[[#This Row],[Data de liquidação]])</f>
        <v>46254</v>
      </c>
      <c r="M3799" s="1322">
        <f>base[[#This Row],[L/P Bruto]]-base[[#This Row],[L/P Líquido]]</f>
        <v>0.78267015706806475</v>
      </c>
      <c r="N3799" s="1322">
        <f>base[[#This Row],[L/P Líquido]]/base[[#This Row],[Stake/Responsabilidade]]</f>
        <v>4.1528114608595637E-2</v>
      </c>
      <c r="O3799" s="1324">
        <f>IF(base[[#This Row],[L/P Líquido]]&gt;0,1,0)</f>
        <v>1</v>
      </c>
      <c r="P3799" s="1324"/>
      <c r="Q3799" s="1324" t="str">
        <f>LEFT(base[[#This Row],[Evento / Mercado]],FIND("vs",base[[#This Row],[Evento / Mercado]])-2)</f>
        <v>Seattle Sounders</v>
      </c>
      <c r="R3799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4" t="str">
        <f>LEFT(base[[#This Row],[Evento / Mercado]],FIND("/",base[[#This Row],[Evento / Mercado]])-2)</f>
        <v>Seattle Sounders vs Austin FC</v>
      </c>
      <c r="T3799" s="1325">
        <f>base[[#This Row],[Data de liquidação]]</f>
        <v>46254.024097222224</v>
      </c>
    </row>
    <row r="3800" spans="2:22" ht="15" customHeight="1" x14ac:dyDescent="0.25">
      <c r="B3800" s="1319" t="s">
        <v>4417</v>
      </c>
      <c r="C3800" s="860" t="s">
        <v>3515</v>
      </c>
      <c r="D3800" s="1320">
        <v>46254.025231481479</v>
      </c>
      <c r="E3800" s="1321">
        <v>20.059999999999999</v>
      </c>
      <c r="F3800" s="584">
        <v>4.4999999999999998E-2</v>
      </c>
      <c r="G3800" s="1322">
        <f t="shared" si="138"/>
        <v>21.005235602094242</v>
      </c>
      <c r="H3800" s="1322" t="s">
        <v>3297</v>
      </c>
      <c r="I3800" s="1323" t="s">
        <v>626</v>
      </c>
      <c r="J3800" s="1322">
        <v>21</v>
      </c>
      <c r="K3800" s="1322">
        <v>420</v>
      </c>
      <c r="L3800" s="1320">
        <f>INT(base[[#This Row],[Data de liquidação]])</f>
        <v>46254</v>
      </c>
      <c r="M3800" s="1322">
        <f>base[[#This Row],[L/P Bruto]]-base[[#This Row],[L/P Líquido]]</f>
        <v>0.94523560209424318</v>
      </c>
      <c r="N3800" s="1322">
        <f>base[[#This Row],[L/P Líquido]]/base[[#This Row],[Stake/Responsabilidade]]</f>
        <v>4.7761904761904755E-2</v>
      </c>
      <c r="O3800" s="1324">
        <f>IF(base[[#This Row],[L/P Líquido]]&gt;0,1,0)</f>
        <v>1</v>
      </c>
      <c r="P3800" s="1324"/>
      <c r="Q3800" s="1324" t="str">
        <f>LEFT(base[[#This Row],[Evento / Mercado]],FIND("vs",base[[#This Row],[Evento / Mercado]])-2)</f>
        <v>Real Salt Lake</v>
      </c>
      <c r="R3800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4" t="str">
        <f>LEFT(base[[#This Row],[Evento / Mercado]],FIND("/",base[[#This Row],[Evento / Mercado]])-2)</f>
        <v>Real Salt Lake vs FC Dallas</v>
      </c>
      <c r="T3800" s="1325">
        <f>base[[#This Row],[Data de liquidação]]</f>
        <v>46254.025231481479</v>
      </c>
    </row>
    <row r="3801" spans="2:22" ht="15" customHeight="1" x14ac:dyDescent="0.25">
      <c r="B3801" s="1319" t="s">
        <v>4416</v>
      </c>
      <c r="C3801" s="860" t="s">
        <v>3515</v>
      </c>
      <c r="D3801" s="1320">
        <v>46254.028553240743</v>
      </c>
      <c r="E3801" s="1321">
        <v>6.74</v>
      </c>
      <c r="F3801" s="584">
        <v>4.4999999999999998E-2</v>
      </c>
      <c r="G3801" s="1322">
        <f t="shared" si="138"/>
        <v>7.0575916230366493</v>
      </c>
      <c r="H3801" s="1322" t="s">
        <v>1648</v>
      </c>
      <c r="I3801" s="1323" t="s">
        <v>1739</v>
      </c>
      <c r="J3801" s="1322">
        <v>18.21</v>
      </c>
      <c r="K3801" s="1322">
        <v>121.49</v>
      </c>
      <c r="L3801" s="1320">
        <f>INT(base[[#This Row],[Data de liquidação]])</f>
        <v>46254</v>
      </c>
      <c r="M3801" s="1322">
        <f>base[[#This Row],[L/P Bruto]]-base[[#This Row],[L/P Líquido]]</f>
        <v>0.31759162303664912</v>
      </c>
      <c r="N3801" s="1322">
        <f>base[[#This Row],[L/P Líquido]]/base[[#This Row],[Stake/Responsabilidade]]</f>
        <v>5.5477817104288424E-2</v>
      </c>
      <c r="O3801" s="1324">
        <f>IF(base[[#This Row],[L/P Líquido]]&gt;0,1,0)</f>
        <v>1</v>
      </c>
      <c r="P3801" s="1324"/>
      <c r="Q3801" s="1324" t="str">
        <f>LEFT(base[[#This Row],[Evento / Mercado]],FIND("vs",base[[#This Row],[Evento / Mercado]])-2)</f>
        <v>Colorado Rapids</v>
      </c>
      <c r="R3801" s="13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4" t="str">
        <f>LEFT(base[[#This Row],[Evento / Mercado]],FIND("/",base[[#This Row],[Evento / Mercado]])-2)</f>
        <v>Colorado Rapids vs Los Angeles FC</v>
      </c>
      <c r="T3801" s="1325">
        <f>base[[#This Row],[Data de liquidação]]</f>
        <v>46254.028553240743</v>
      </c>
    </row>
    <row r="3802" spans="2:22" ht="15" customHeight="1" x14ac:dyDescent="0.25">
      <c r="B3802" s="1326" t="s">
        <v>4425</v>
      </c>
      <c r="C3802" s="860" t="s">
        <v>3515</v>
      </c>
      <c r="D3802" s="1327">
        <v>46254.660057870373</v>
      </c>
      <c r="E3802" s="1328">
        <v>6.74</v>
      </c>
      <c r="F3802" s="584">
        <v>4.4999999999999998E-2</v>
      </c>
      <c r="G3802" s="1329">
        <f t="shared" ref="G3802:G3805" si="139">IF(E3802&gt;0,E3802/(1-F3802),E3802)</f>
        <v>7.0575916230366493</v>
      </c>
      <c r="H3802" s="1322" t="s">
        <v>1648</v>
      </c>
      <c r="I3802" s="1323" t="s">
        <v>1739</v>
      </c>
      <c r="J3802" s="1329">
        <v>18</v>
      </c>
      <c r="K3802" s="1329">
        <v>120.02</v>
      </c>
      <c r="L3802" s="1327">
        <f>INT(base[[#This Row],[Data de liquidação]])</f>
        <v>46254</v>
      </c>
      <c r="M3802" s="1329">
        <f>base[[#This Row],[L/P Bruto]]-base[[#This Row],[L/P Líquido]]</f>
        <v>0.31759162303664912</v>
      </c>
      <c r="N3802" s="1329">
        <f>base[[#This Row],[L/P Líquido]]/base[[#This Row],[Stake/Responsabilidade]]</f>
        <v>5.6157307115480753E-2</v>
      </c>
      <c r="O3802" s="1331">
        <f>IF(base[[#This Row],[L/P Líquido]]&gt;0,1,0)</f>
        <v>1</v>
      </c>
      <c r="P3802" s="1331"/>
      <c r="Q3802" s="1331" t="str">
        <f>LEFT(base[[#This Row],[Evento / Mercado]],FIND("vs",base[[#This Row],[Evento / Mercado]])-2)</f>
        <v>Vendsyssel FF</v>
      </c>
      <c r="R3802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31" t="str">
        <f>LEFT(base[[#This Row],[Evento / Mercado]],FIND("/",base[[#This Row],[Evento / Mercado]])-2)</f>
        <v>Vendsyssel FF vs Hillerød Fodbold</v>
      </c>
      <c r="T3802" s="1332">
        <f>base[[#This Row],[Data de liquidação]]</f>
        <v>46254.660057870373</v>
      </c>
    </row>
    <row r="3803" spans="2:22" ht="15" customHeight="1" x14ac:dyDescent="0.25">
      <c r="B3803" s="1326" t="s">
        <v>4424</v>
      </c>
      <c r="C3803" s="860" t="s">
        <v>3515</v>
      </c>
      <c r="D3803" s="1327">
        <v>46254.864016203705</v>
      </c>
      <c r="E3803" s="1328">
        <v>6.49</v>
      </c>
      <c r="F3803" s="584">
        <v>4.4999999999999998E-2</v>
      </c>
      <c r="G3803" s="1329">
        <f t="shared" si="139"/>
        <v>6.7958115183246077</v>
      </c>
      <c r="H3803" s="1168" t="s">
        <v>4253</v>
      </c>
      <c r="I3803" s="1299" t="s">
        <v>13</v>
      </c>
      <c r="J3803" s="1329">
        <v>1.34</v>
      </c>
      <c r="K3803" s="1329">
        <v>20</v>
      </c>
      <c r="L3803" s="1327">
        <f>INT(base[[#This Row],[Data de liquidação]])</f>
        <v>46254</v>
      </c>
      <c r="M3803" s="1329">
        <f>base[[#This Row],[L/P Bruto]]-base[[#This Row],[L/P Líquido]]</f>
        <v>0.30581151832460751</v>
      </c>
      <c r="N3803" s="1329">
        <f>base[[#This Row],[L/P Líquido]]/base[[#This Row],[Stake/Responsabilidade]]</f>
        <v>0.32450000000000001</v>
      </c>
      <c r="O3803" s="1331">
        <f>IF(base[[#This Row],[L/P Líquido]]&gt;0,1,0)</f>
        <v>1</v>
      </c>
      <c r="P3803" s="1331"/>
      <c r="Q3803" s="1331" t="str">
        <f>LEFT(base[[#This Row],[Evento / Mercado]],FIND("vs",base[[#This Row],[Evento / Mercado]])-2)</f>
        <v>Athletic Club MG</v>
      </c>
      <c r="R3803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31" t="str">
        <f>LEFT(base[[#This Row],[Evento / Mercado]],FIND("/",base[[#This Row],[Evento / Mercado]])-2)</f>
        <v>Athletic Club MG vs CRB</v>
      </c>
      <c r="T3803" s="1332">
        <f>base[[#This Row],[Data de liquidação]]</f>
        <v>46254.864016203705</v>
      </c>
    </row>
    <row r="3804" spans="2:22" ht="15" customHeight="1" x14ac:dyDescent="0.25">
      <c r="B3804" s="1326" t="s">
        <v>4423</v>
      </c>
      <c r="C3804" s="860" t="s">
        <v>3515</v>
      </c>
      <c r="D3804" s="1327">
        <v>46254.872175925928</v>
      </c>
      <c r="E3804" s="1328">
        <v>-20</v>
      </c>
      <c r="F3804" s="584">
        <v>4.4999999999999998E-2</v>
      </c>
      <c r="G3804" s="1329">
        <f t="shared" si="139"/>
        <v>-20</v>
      </c>
      <c r="H3804" s="1168" t="s">
        <v>1648</v>
      </c>
      <c r="I3804" s="1308" t="s">
        <v>2277</v>
      </c>
      <c r="J3804" s="1329">
        <v>1.51</v>
      </c>
      <c r="K3804" s="1329">
        <v>20</v>
      </c>
      <c r="L3804" s="1327">
        <f>INT(base[[#This Row],[Data de liquidação]])</f>
        <v>46254</v>
      </c>
      <c r="M3804" s="1329">
        <f>base[[#This Row],[L/P Bruto]]-base[[#This Row],[L/P Líquido]]</f>
        <v>0</v>
      </c>
      <c r="N3804" s="1329">
        <f>base[[#This Row],[L/P Líquido]]/base[[#This Row],[Stake/Responsabilidade]]</f>
        <v>-1</v>
      </c>
      <c r="O3804" s="1331">
        <f>IF(base[[#This Row],[L/P Líquido]]&gt;0,1,0)</f>
        <v>0</v>
      </c>
      <c r="P3804" s="1331"/>
      <c r="Q3804" s="1331" t="str">
        <f>LEFT(base[[#This Row],[Evento / Mercado]],FIND("vs",base[[#This Row],[Evento / Mercado]])-2)</f>
        <v>Deportivo Macara</v>
      </c>
      <c r="R3804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31" t="str">
        <f>LEFT(base[[#This Row],[Evento / Mercado]],FIND("/",base[[#This Row],[Evento / Mercado]])-2)</f>
        <v>Deportivo Macara vs Santos FC</v>
      </c>
      <c r="T3804" s="1332">
        <f>base[[#This Row],[Data de liquidação]]</f>
        <v>46254.872175925928</v>
      </c>
    </row>
    <row r="3805" spans="2:22" ht="15" customHeight="1" x14ac:dyDescent="0.25">
      <c r="B3805" s="1326" t="s">
        <v>4422</v>
      </c>
      <c r="C3805" s="860" t="s">
        <v>3515</v>
      </c>
      <c r="D3805" s="1327">
        <v>46254.933252314811</v>
      </c>
      <c r="E3805" s="1328">
        <v>29.33</v>
      </c>
      <c r="F3805" s="584">
        <v>4.4999999999999998E-2</v>
      </c>
      <c r="G3805" s="1329">
        <f t="shared" si="139"/>
        <v>30.712041884816752</v>
      </c>
      <c r="H3805" s="1322" t="s">
        <v>4320</v>
      </c>
      <c r="I3805" s="1330"/>
      <c r="J3805" s="1329">
        <v>8</v>
      </c>
      <c r="K3805" s="1329">
        <v>214.97</v>
      </c>
      <c r="L3805" s="1327">
        <f>INT(base[[#This Row],[Data de liquidação]])</f>
        <v>46254</v>
      </c>
      <c r="M3805" s="1329">
        <f>base[[#This Row],[L/P Bruto]]-base[[#This Row],[L/P Líquido]]</f>
        <v>1.3820418848167542</v>
      </c>
      <c r="N3805" s="1329">
        <f>base[[#This Row],[L/P Líquido]]/base[[#This Row],[Stake/Responsabilidade]]</f>
        <v>0.13643764246173884</v>
      </c>
      <c r="O3805" s="1331">
        <f>IF(base[[#This Row],[L/P Líquido]]&gt;0,1,0)</f>
        <v>1</v>
      </c>
      <c r="P3805" s="1331"/>
      <c r="Q3805" s="1331" t="str">
        <f>LEFT(base[[#This Row],[Evento / Mercado]],FIND("vs",base[[#This Row],[Evento / Mercado]])-2)</f>
        <v>Gremio Novorizontino</v>
      </c>
      <c r="R3805" s="1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31" t="str">
        <f>LEFT(base[[#This Row],[Evento / Mercado]],FIND("/",base[[#This Row],[Evento / Mercado]])-2)</f>
        <v>Gremio Novorizontino vs América-MG</v>
      </c>
      <c r="T3805" s="1332">
        <f>base[[#This Row],[Data de liquidação]]</f>
        <v>46254.933252314811</v>
      </c>
    </row>
    <row r="3806" spans="2:22" ht="15" customHeight="1" x14ac:dyDescent="0.25">
      <c r="B3806" s="1333" t="s">
        <v>4433</v>
      </c>
      <c r="C3806" s="860" t="s">
        <v>3515</v>
      </c>
      <c r="D3806" s="1334">
        <v>46255.638749999998</v>
      </c>
      <c r="E3806" s="1335">
        <v>4.97</v>
      </c>
      <c r="F3806" s="584">
        <v>4.4999999999999998E-2</v>
      </c>
      <c r="G3806" s="1336">
        <f t="shared" ref="G3806:G3814" si="140">IF(E3806&gt;0,E3806/(1-F3806),E3806)</f>
        <v>5.2041884816753923</v>
      </c>
      <c r="H3806" s="1168" t="s">
        <v>4253</v>
      </c>
      <c r="I3806" s="1337" t="s">
        <v>13</v>
      </c>
      <c r="J3806" s="1336">
        <v>1.26</v>
      </c>
      <c r="K3806" s="1336">
        <v>20</v>
      </c>
      <c r="L3806" s="1334">
        <f>INT(base[[#This Row],[Data de liquidação]])</f>
        <v>46255</v>
      </c>
      <c r="M3806" s="1336">
        <f>base[[#This Row],[L/P Bruto]]-base[[#This Row],[L/P Líquido]]</f>
        <v>0.23418848167539252</v>
      </c>
      <c r="N3806" s="1336">
        <f>base[[#This Row],[L/P Líquido]]/base[[#This Row],[Stake/Responsabilidade]]</f>
        <v>0.2485</v>
      </c>
      <c r="O3806" s="1338">
        <f>IF(base[[#This Row],[L/P Líquido]]&gt;0,1,0)</f>
        <v>1</v>
      </c>
      <c r="P3806" s="1338"/>
      <c r="Q3806" s="1338" t="str">
        <f>LEFT(base[[#This Row],[Evento / Mercado]],FIND("vs",base[[#This Row],[Evento / Mercado]])-2)</f>
        <v>IK Sirius</v>
      </c>
      <c r="R3806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8" t="str">
        <f>LEFT(base[[#This Row],[Evento / Mercado]],FIND("/",base[[#This Row],[Evento / Mercado]])-2)</f>
        <v>IK Sirius vs BK Häcken</v>
      </c>
      <c r="T3806" s="1339">
        <f>base[[#This Row],[Data de liquidação]]</f>
        <v>46255.638749999998</v>
      </c>
    </row>
    <row r="3807" spans="2:22" ht="15" customHeight="1" x14ac:dyDescent="0.25">
      <c r="B3807" s="1333" t="s">
        <v>4432</v>
      </c>
      <c r="C3807" s="860" t="s">
        <v>3515</v>
      </c>
      <c r="D3807" s="1334">
        <v>46255.652199074073</v>
      </c>
      <c r="E3807" s="1335">
        <v>0.84</v>
      </c>
      <c r="F3807" s="584">
        <v>4.4999999999999998E-2</v>
      </c>
      <c r="G3807" s="1336">
        <f t="shared" si="140"/>
        <v>0.87958115183246077</v>
      </c>
      <c r="H3807" s="1336" t="s">
        <v>1648</v>
      </c>
      <c r="I3807" s="1337" t="s">
        <v>3296</v>
      </c>
      <c r="J3807" s="1336">
        <v>1.44</v>
      </c>
      <c r="K3807" s="1336">
        <v>2</v>
      </c>
      <c r="L3807" s="1334">
        <f>INT(base[[#This Row],[Data de liquidação]])</f>
        <v>46255</v>
      </c>
      <c r="M3807" s="1336">
        <f>base[[#This Row],[L/P Bruto]]-base[[#This Row],[L/P Líquido]]</f>
        <v>3.9581151832460804E-2</v>
      </c>
      <c r="N3807" s="1336">
        <f>base[[#This Row],[L/P Líquido]]/base[[#This Row],[Stake/Responsabilidade]]</f>
        <v>0.42</v>
      </c>
      <c r="O3807" s="1338">
        <f>IF(base[[#This Row],[L/P Líquido]]&gt;0,1,0)</f>
        <v>1</v>
      </c>
      <c r="P3807" s="1338"/>
      <c r="Q3807" s="1338" t="str">
        <f>LEFT(base[[#This Row],[Evento / Mercado]],FIND("vs",base[[#This Row],[Evento / Mercado]])-2)</f>
        <v>IK Sirius</v>
      </c>
      <c r="R3807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8" t="str">
        <f>LEFT(base[[#This Row],[Evento / Mercado]],FIND("/",base[[#This Row],[Evento / Mercado]])-2)</f>
        <v>IK Sirius vs BK Häcken</v>
      </c>
      <c r="T3807" s="1339">
        <f>base[[#This Row],[Data de liquidação]]</f>
        <v>46255.652199074073</v>
      </c>
    </row>
    <row r="3808" spans="2:22" ht="15" customHeight="1" x14ac:dyDescent="0.25">
      <c r="B3808" s="1333" t="s">
        <v>4431</v>
      </c>
      <c r="C3808" s="860" t="s">
        <v>3515</v>
      </c>
      <c r="D3808" s="1334">
        <v>46255.66138888889</v>
      </c>
      <c r="E3808" s="1335">
        <v>24.467099999999999</v>
      </c>
      <c r="F3808" s="584">
        <v>4.4999999999999998E-2</v>
      </c>
      <c r="G3808" s="1336">
        <f t="shared" si="140"/>
        <v>25.62</v>
      </c>
      <c r="H3808" s="1336" t="s">
        <v>3234</v>
      </c>
      <c r="I3808" s="1337" t="s">
        <v>626</v>
      </c>
      <c r="J3808" s="1336">
        <v>19.5</v>
      </c>
      <c r="K3808" s="1336">
        <v>473.97</v>
      </c>
      <c r="L3808" s="1334">
        <f>INT(base[[#This Row],[Data de liquidação]])</f>
        <v>46255</v>
      </c>
      <c r="M3808" s="1336">
        <f>base[[#This Row],[L/P Bruto]]-base[[#This Row],[L/P Líquido]]</f>
        <v>1.1529000000000025</v>
      </c>
      <c r="N3808" s="1336">
        <f>base[[#This Row],[L/P Líquido]]/base[[#This Row],[Stake/Responsabilidade]]</f>
        <v>5.1621621621621615E-2</v>
      </c>
      <c r="O3808" s="1338">
        <f>IF(base[[#This Row],[L/P Líquido]]&gt;0,1,0)</f>
        <v>1</v>
      </c>
      <c r="P3808" s="1338"/>
      <c r="Q3808" s="1338" t="str">
        <f>LEFT(base[[#This Row],[Evento / Mercado]],FIND("vs",base[[#This Row],[Evento / Mercado]])-2)</f>
        <v>IK Sirius</v>
      </c>
      <c r="R3808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8" t="str">
        <f>LEFT(base[[#This Row],[Evento / Mercado]],FIND("/",base[[#This Row],[Evento / Mercado]])-2)</f>
        <v>IK Sirius vs BK Häcken</v>
      </c>
      <c r="T3808" s="1339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 x14ac:dyDescent="0.25">
      <c r="B3809" s="1333" t="s">
        <v>4431</v>
      </c>
      <c r="C3809" s="860" t="s">
        <v>3515</v>
      </c>
      <c r="D3809" s="1334">
        <v>46255.66138888889</v>
      </c>
      <c r="E3809" s="1335">
        <v>15.5665</v>
      </c>
      <c r="F3809" s="584">
        <v>4.4999999999999998E-2</v>
      </c>
      <c r="G3809" s="1336">
        <f t="shared" ref="G3809" si="142">IF(E3809&gt;0,E3809/(1-F3809),E3809)</f>
        <v>16.3</v>
      </c>
      <c r="H3809" s="1336" t="s">
        <v>3297</v>
      </c>
      <c r="I3809" s="1337" t="s">
        <v>626</v>
      </c>
      <c r="J3809" s="1336">
        <v>28</v>
      </c>
      <c r="K3809" s="1336">
        <v>440.1</v>
      </c>
      <c r="L3809" s="1334">
        <f>INT(base[[#This Row],[Data de liquidação]])</f>
        <v>46255</v>
      </c>
      <c r="M3809" s="1336">
        <f>base[[#This Row],[L/P Bruto]]-base[[#This Row],[L/P Líquido]]</f>
        <v>0.73350000000000115</v>
      </c>
      <c r="N3809" s="1336">
        <f>base[[#This Row],[L/P Líquido]]/base[[#This Row],[Stake/Responsabilidade]]</f>
        <v>3.5370370370370365E-2</v>
      </c>
      <c r="O3809" s="1338">
        <f>IF(base[[#This Row],[L/P Líquido]]&gt;0,1,0)</f>
        <v>1</v>
      </c>
      <c r="P3809" s="1338"/>
      <c r="Q3809" s="1338" t="str">
        <f>LEFT(base[[#This Row],[Evento / Mercado]],FIND("vs",base[[#This Row],[Evento / Mercado]])-2)</f>
        <v>IK Sirius</v>
      </c>
      <c r="R3809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8" t="str">
        <f>LEFT(base[[#This Row],[Evento / Mercado]],FIND("/",base[[#This Row],[Evento / Mercado]])-2)</f>
        <v>IK Sirius vs BK Häcken</v>
      </c>
      <c r="T3809" s="1339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 x14ac:dyDescent="0.25">
      <c r="B3810" s="1333" t="s">
        <v>4430</v>
      </c>
      <c r="C3810" s="860" t="s">
        <v>3515</v>
      </c>
      <c r="D3810" s="1334">
        <v>46255.702152777776</v>
      </c>
      <c r="E3810" s="1335">
        <v>6.2</v>
      </c>
      <c r="F3810" s="584">
        <v>4.4999999999999998E-2</v>
      </c>
      <c r="G3810" s="1336">
        <f t="shared" si="140"/>
        <v>6.4921465968586389</v>
      </c>
      <c r="H3810" s="1336" t="s">
        <v>1648</v>
      </c>
      <c r="I3810" s="1337" t="s">
        <v>1739</v>
      </c>
      <c r="J3810" s="1336">
        <v>19.5</v>
      </c>
      <c r="K3810" s="1336">
        <v>120.07</v>
      </c>
      <c r="L3810" s="1334">
        <f>INT(base[[#This Row],[Data de liquidação]])</f>
        <v>46255</v>
      </c>
      <c r="M3810" s="1336">
        <f>base[[#This Row],[L/P Bruto]]-base[[#This Row],[L/P Líquido]]</f>
        <v>0.29214659685863875</v>
      </c>
      <c r="N3810" s="1336">
        <f>base[[#This Row],[L/P Líquido]]/base[[#This Row],[Stake/Responsabilidade]]</f>
        <v>5.1636545348546684E-2</v>
      </c>
      <c r="O3810" s="1338">
        <f>IF(base[[#This Row],[L/P Líquido]]&gt;0,1,0)</f>
        <v>1</v>
      </c>
      <c r="P3810" s="1338"/>
      <c r="Q3810" s="1338" t="str">
        <f>LEFT(base[[#This Row],[Evento / Mercado]],FIND("vs",base[[#This Row],[Evento / Mercado]])-2)</f>
        <v>MVV Maastricht</v>
      </c>
      <c r="R3810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8" t="str">
        <f>LEFT(base[[#This Row],[Evento / Mercado]],FIND("/",base[[#This Row],[Evento / Mercado]])-2)</f>
        <v>MVV Maastricht vs FC Volendam</v>
      </c>
      <c r="T3810" s="1339">
        <f>base[[#This Row],[Data de liquidação]]</f>
        <v>46255.702152777776</v>
      </c>
    </row>
    <row r="3811" spans="2:22" ht="15" customHeight="1" x14ac:dyDescent="0.25">
      <c r="B3811" s="1333" t="s">
        <v>4429</v>
      </c>
      <c r="C3811" s="860" t="s">
        <v>3515</v>
      </c>
      <c r="D3811" s="1334">
        <v>46255.723171296297</v>
      </c>
      <c r="E3811" s="1335">
        <v>7.59</v>
      </c>
      <c r="F3811" s="584">
        <v>4.4999999999999998E-2</v>
      </c>
      <c r="G3811" s="1336">
        <f t="shared" si="140"/>
        <v>7.9476439790575917</v>
      </c>
      <c r="H3811" s="1336" t="s">
        <v>1648</v>
      </c>
      <c r="I3811" s="1337" t="s">
        <v>2919</v>
      </c>
      <c r="J3811" s="1336">
        <v>9.8000000000000007</v>
      </c>
      <c r="K3811" s="1336">
        <v>69.959999999999994</v>
      </c>
      <c r="L3811" s="1334">
        <f>INT(base[[#This Row],[Data de liquidação]])</f>
        <v>46255</v>
      </c>
      <c r="M3811" s="1336">
        <f>base[[#This Row],[L/P Bruto]]-base[[#This Row],[L/P Líquido]]</f>
        <v>0.35764397905759182</v>
      </c>
      <c r="N3811" s="1336">
        <f>base[[#This Row],[L/P Líquido]]/base[[#This Row],[Stake/Responsabilidade]]</f>
        <v>0.10849056603773585</v>
      </c>
      <c r="O3811" s="1338">
        <f>IF(base[[#This Row],[L/P Líquido]]&gt;0,1,0)</f>
        <v>1</v>
      </c>
      <c r="P3811" s="1338"/>
      <c r="Q3811" s="1338" t="str">
        <f>LEFT(base[[#This Row],[Evento / Mercado]],FIND("vs",base[[#This Row],[Evento / Mercado]])-2)</f>
        <v>Admira Wacker</v>
      </c>
      <c r="R3811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8" t="str">
        <f>LEFT(base[[#This Row],[Evento / Mercado]],FIND("/",base[[#This Row],[Evento / Mercado]])-2)</f>
        <v>Admira Wacker vs First Vienna FC 1894</v>
      </c>
      <c r="T3811" s="1339">
        <f>base[[#This Row],[Data de liquidação]]</f>
        <v>46255.723171296297</v>
      </c>
    </row>
    <row r="3812" spans="2:22" ht="15" customHeight="1" x14ac:dyDescent="0.25">
      <c r="B3812" s="1333" t="s">
        <v>4428</v>
      </c>
      <c r="C3812" s="860" t="s">
        <v>3515</v>
      </c>
      <c r="D3812" s="1334">
        <v>46255.73474537037</v>
      </c>
      <c r="E3812" s="1335">
        <v>95.48</v>
      </c>
      <c r="F3812" s="584">
        <v>4.4999999999999998E-2</v>
      </c>
      <c r="G3812" s="1336">
        <f t="shared" si="140"/>
        <v>99.979057591623047</v>
      </c>
      <c r="H3812" s="1336" t="s">
        <v>3234</v>
      </c>
      <c r="I3812" s="1337" t="s">
        <v>626</v>
      </c>
      <c r="J3812" s="1336">
        <f>(249.11*5.8+250.02*6.2)/base[[#This Row],[Stake/Responsabilidade]]</f>
        <v>6.000364634463967</v>
      </c>
      <c r="K3812" s="1336">
        <f>249.11+250.02</f>
        <v>499.13</v>
      </c>
      <c r="L3812" s="1334">
        <f>INT(base[[#This Row],[Data de liquidação]])</f>
        <v>46255</v>
      </c>
      <c r="M3812" s="1336">
        <f>base[[#This Row],[L/P Bruto]]-base[[#This Row],[L/P Líquido]]</f>
        <v>4.4990575916230426</v>
      </c>
      <c r="N3812" s="1336">
        <f>base[[#This Row],[L/P Líquido]]/base[[#This Row],[Stake/Responsabilidade]]</f>
        <v>0.19129284955823134</v>
      </c>
      <c r="O3812" s="1338">
        <f>IF(base[[#This Row],[L/P Líquido]]&gt;0,1,0)</f>
        <v>1</v>
      </c>
      <c r="P3812" s="1338"/>
      <c r="Q3812" s="1338" t="str">
        <f>LEFT(base[[#This Row],[Evento / Mercado]],FIND("vs",base[[#This Row],[Evento / Mercado]])-2)</f>
        <v>Dundalk</v>
      </c>
      <c r="R3812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8" t="str">
        <f>LEFT(base[[#This Row],[Evento / Mercado]],FIND("/",base[[#This Row],[Evento / Mercado]])-2)</f>
        <v>Dundalk vs Galway United</v>
      </c>
      <c r="T3812" s="1339">
        <f>base[[#This Row],[Data de liquidação]]</f>
        <v>46255.73474537037</v>
      </c>
    </row>
    <row r="3813" spans="2:22" ht="15" customHeight="1" x14ac:dyDescent="0.25">
      <c r="B3813" s="1333" t="s">
        <v>4427</v>
      </c>
      <c r="C3813" s="860" t="s">
        <v>3515</v>
      </c>
      <c r="D3813" s="1334">
        <v>46255.737743055557</v>
      </c>
      <c r="E3813" s="1335">
        <v>-120</v>
      </c>
      <c r="F3813" s="584">
        <v>4.4999999999999998E-2</v>
      </c>
      <c r="G3813" s="1336">
        <f t="shared" si="140"/>
        <v>-120</v>
      </c>
      <c r="H3813" s="1336" t="s">
        <v>314</v>
      </c>
      <c r="I3813" s="1337" t="s">
        <v>349</v>
      </c>
      <c r="J3813" s="1336">
        <v>1.62</v>
      </c>
      <c r="K3813" s="1336">
        <v>120</v>
      </c>
      <c r="L3813" s="1334">
        <f>INT(base[[#This Row],[Data de liquidação]])</f>
        <v>46255</v>
      </c>
      <c r="M3813" s="1336">
        <f>base[[#This Row],[L/P Bruto]]-base[[#This Row],[L/P Líquido]]</f>
        <v>0</v>
      </c>
      <c r="N3813" s="1336">
        <f>base[[#This Row],[L/P Líquido]]/base[[#This Row],[Stake/Responsabilidade]]</f>
        <v>-1</v>
      </c>
      <c r="O3813" s="1338">
        <f>IF(base[[#This Row],[L/P Líquido]]&gt;0,1,0)</f>
        <v>0</v>
      </c>
      <c r="P3813" s="1338"/>
      <c r="Q3813" s="1338" t="str">
        <f>LEFT(base[[#This Row],[Evento / Mercado]],FIND("vs",base[[#This Row],[Evento / Mercado]])-2)</f>
        <v>Olympique Marseille</v>
      </c>
      <c r="R3813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8" t="str">
        <f>LEFT(base[[#This Row],[Evento / Mercado]],FIND("/",base[[#This Row],[Evento / Mercado]])-2)</f>
        <v>Olympique Marseille vs RC Strasbourg</v>
      </c>
      <c r="T3813" s="1339">
        <f>base[[#This Row],[Data de liquidação]]</f>
        <v>46255.737743055557</v>
      </c>
    </row>
    <row r="3814" spans="2:22" ht="15" customHeight="1" x14ac:dyDescent="0.25">
      <c r="B3814" s="1333" t="s">
        <v>4426</v>
      </c>
      <c r="C3814" s="860" t="s">
        <v>3515</v>
      </c>
      <c r="D3814" s="1334">
        <v>46255.965219907404</v>
      </c>
      <c r="E3814" s="1335">
        <v>27.22</v>
      </c>
      <c r="F3814" s="584">
        <v>4.4999999999999998E-2</v>
      </c>
      <c r="G3814" s="1336">
        <f t="shared" si="140"/>
        <v>28.502617801047119</v>
      </c>
      <c r="H3814" s="1336" t="s">
        <v>3297</v>
      </c>
      <c r="I3814" s="1337" t="s">
        <v>693</v>
      </c>
      <c r="J3814" s="1336">
        <v>17</v>
      </c>
      <c r="K3814" s="1336">
        <v>456</v>
      </c>
      <c r="L3814" s="1334">
        <f>INT(base[[#This Row],[Data de liquidação]])</f>
        <v>46255</v>
      </c>
      <c r="M3814" s="1336">
        <f>base[[#This Row],[L/P Bruto]]-base[[#This Row],[L/P Líquido]]</f>
        <v>1.2826178010471203</v>
      </c>
      <c r="N3814" s="1336">
        <f>base[[#This Row],[L/P Líquido]]/base[[#This Row],[Stake/Responsabilidade]]</f>
        <v>5.9692982456140346E-2</v>
      </c>
      <c r="O3814" s="1338">
        <f>IF(base[[#This Row],[L/P Líquido]]&gt;0,1,0)</f>
        <v>1</v>
      </c>
      <c r="P3814" s="1338"/>
      <c r="Q3814" s="1338" t="str">
        <f>LEFT(base[[#This Row],[Evento / Mercado]],FIND("vs",base[[#This Row],[Evento / Mercado]])-2)</f>
        <v>Leones del Norte</v>
      </c>
      <c r="R3814" s="13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8" t="str">
        <f>LEFT(base[[#This Row],[Evento / Mercado]],FIND("/",base[[#This Row],[Evento / Mercado]])-2)</f>
        <v>Leones del Norte vs Independiente del Valle</v>
      </c>
      <c r="T3814" s="1339">
        <f>base[[#This Row],[Data de liquidação]]</f>
        <v>46255.965219907404</v>
      </c>
    </row>
    <row r="3815" spans="2:22" ht="15" customHeight="1" x14ac:dyDescent="0.25">
      <c r="B3815" s="1340" t="s">
        <v>4464</v>
      </c>
      <c r="C3815" s="860" t="s">
        <v>3515</v>
      </c>
      <c r="D3815" s="1341">
        <v>46256.372199074074</v>
      </c>
      <c r="E3815" s="1342">
        <v>9.2799999999999994</v>
      </c>
      <c r="F3815" s="584">
        <v>4.4999999999999998E-2</v>
      </c>
      <c r="G3815" s="1343">
        <f t="shared" ref="G3815:G3847" si="143">IF(E3815&gt;0,E3815/(1-F3815),E3815)</f>
        <v>9.7172774869109944</v>
      </c>
      <c r="H3815" s="1343" t="s">
        <v>1648</v>
      </c>
      <c r="I3815" s="1344" t="s">
        <v>2919</v>
      </c>
      <c r="J3815" s="1343">
        <v>8.1999999999999993</v>
      </c>
      <c r="K3815" s="1343">
        <v>69.98</v>
      </c>
      <c r="L3815" s="1341">
        <f>INT(base[[#This Row],[Data de liquidação]])</f>
        <v>46256</v>
      </c>
      <c r="M3815" s="1343">
        <f>base[[#This Row],[L/P Bruto]]-base[[#This Row],[L/P Líquido]]</f>
        <v>0.43727748691099499</v>
      </c>
      <c r="N3815" s="1343">
        <f>base[[#This Row],[L/P Líquido]]/base[[#This Row],[Stake/Responsabilidade]]</f>
        <v>0.13260931694769931</v>
      </c>
      <c r="O3815" s="1345">
        <f>IF(base[[#This Row],[L/P Líquido]]&gt;0,1,0)</f>
        <v>1</v>
      </c>
      <c r="P3815" s="1345"/>
      <c r="Q3815" s="1345" t="str">
        <f>LEFT(base[[#This Row],[Evento / Mercado]],FIND("vs",base[[#This Row],[Evento / Mercado]])-2)</f>
        <v>Montedio Yamagata</v>
      </c>
      <c r="R381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5" t="str">
        <f>LEFT(base[[#This Row],[Evento / Mercado]],FIND("/",base[[#This Row],[Evento / Mercado]])-2)</f>
        <v>Montedio Yamagata vs Yokohama FC</v>
      </c>
      <c r="T3815" s="1346">
        <f>base[[#This Row],[Data de liquidação]]</f>
        <v>46256.372199074074</v>
      </c>
    </row>
    <row r="3816" spans="2:22" ht="15" customHeight="1" x14ac:dyDescent="0.25">
      <c r="B3816" s="1340" t="s">
        <v>4463</v>
      </c>
      <c r="C3816" s="860" t="s">
        <v>3515</v>
      </c>
      <c r="D3816" s="1341">
        <v>46256.372407407405</v>
      </c>
      <c r="E3816" s="1342">
        <v>4.78</v>
      </c>
      <c r="F3816" s="584">
        <v>4.4999999999999998E-2</v>
      </c>
      <c r="G3816" s="1343">
        <f t="shared" si="143"/>
        <v>5.005235602094241</v>
      </c>
      <c r="H3816" s="1343" t="s">
        <v>1648</v>
      </c>
      <c r="I3816" s="1344" t="s">
        <v>1739</v>
      </c>
      <c r="J3816" s="1343">
        <v>24</v>
      </c>
      <c r="K3816" s="1343">
        <v>115</v>
      </c>
      <c r="L3816" s="1341">
        <f>INT(base[[#This Row],[Data de liquidação]])</f>
        <v>46256</v>
      </c>
      <c r="M3816" s="1343">
        <f>base[[#This Row],[L/P Bruto]]-base[[#This Row],[L/P Líquido]]</f>
        <v>0.22523560209424076</v>
      </c>
      <c r="N3816" s="1343">
        <f>base[[#This Row],[L/P Líquido]]/base[[#This Row],[Stake/Responsabilidade]]</f>
        <v>4.1565217391304352E-2</v>
      </c>
      <c r="O3816" s="1345">
        <f>IF(base[[#This Row],[L/P Líquido]]&gt;0,1,0)</f>
        <v>1</v>
      </c>
      <c r="P3816" s="1345"/>
      <c r="Q3816" s="1345" t="str">
        <f>LEFT(base[[#This Row],[Evento / Mercado]],FIND("vs",base[[#This Row],[Evento / Mercado]])-2)</f>
        <v>Cerezo Osaka</v>
      </c>
      <c r="R381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5" t="str">
        <f>LEFT(base[[#This Row],[Evento / Mercado]],FIND("/",base[[#This Row],[Evento / Mercado]])-2)</f>
        <v>Cerezo Osaka vs Shimizu S-Pulse</v>
      </c>
      <c r="T3816" s="1346">
        <f>base[[#This Row],[Data de liquidação]]</f>
        <v>46256.372407407405</v>
      </c>
    </row>
    <row r="3817" spans="2:22" ht="15" customHeight="1" x14ac:dyDescent="0.25">
      <c r="B3817" s="1340" t="s">
        <v>4462</v>
      </c>
      <c r="C3817" s="860" t="s">
        <v>3515</v>
      </c>
      <c r="D3817" s="1341">
        <v>46256.394247685188</v>
      </c>
      <c r="E3817" s="1342">
        <v>4.99</v>
      </c>
      <c r="F3817" s="584">
        <v>4.4999999999999998E-2</v>
      </c>
      <c r="G3817" s="1343">
        <f t="shared" si="143"/>
        <v>5.2251308900523563</v>
      </c>
      <c r="H3817" s="1343" t="s">
        <v>1648</v>
      </c>
      <c r="I3817" s="1344" t="s">
        <v>1739</v>
      </c>
      <c r="J3817" s="1343">
        <v>24</v>
      </c>
      <c r="K3817" s="1343">
        <v>120.06</v>
      </c>
      <c r="L3817" s="1341">
        <f>INT(base[[#This Row],[Data de liquidação]])</f>
        <v>46256</v>
      </c>
      <c r="M3817" s="1343">
        <f>base[[#This Row],[L/P Bruto]]-base[[#This Row],[L/P Líquido]]</f>
        <v>0.2351308900523561</v>
      </c>
      <c r="N3817" s="1343">
        <f>base[[#This Row],[L/P Líquido]]/base[[#This Row],[Stake/Responsabilidade]]</f>
        <v>4.1562552057304684E-2</v>
      </c>
      <c r="O3817" s="1345">
        <f>IF(base[[#This Row],[L/P Líquido]]&gt;0,1,0)</f>
        <v>1</v>
      </c>
      <c r="P3817" s="1345"/>
      <c r="Q3817" s="1345" t="str">
        <f>LEFT(base[[#This Row],[Evento / Mercado]],FIND("vs",base[[#This Row],[Evento / Mercado]])-2)</f>
        <v>Yokohama F. Marinos</v>
      </c>
      <c r="R381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5" t="str">
        <f>LEFT(base[[#This Row],[Evento / Mercado]],FIND("/",base[[#This Row],[Evento / Mercado]])-2)</f>
        <v>Yokohama F. Marinos vs Vissel Kobe</v>
      </c>
      <c r="T3817" s="1346">
        <f>base[[#This Row],[Data de liquidação]]</f>
        <v>46256.394247685188</v>
      </c>
    </row>
    <row r="3818" spans="2:22" ht="15" customHeight="1" x14ac:dyDescent="0.25">
      <c r="B3818" s="1340" t="s">
        <v>4461</v>
      </c>
      <c r="C3818" s="860" t="s">
        <v>3515</v>
      </c>
      <c r="D3818" s="1341">
        <v>46256.437800925924</v>
      </c>
      <c r="E3818" s="1342">
        <v>6.69</v>
      </c>
      <c r="F3818" s="584">
        <v>4.4999999999999998E-2</v>
      </c>
      <c r="G3818" s="1343">
        <f t="shared" si="143"/>
        <v>7.0052356020942419</v>
      </c>
      <c r="H3818" s="1168" t="s">
        <v>4253</v>
      </c>
      <c r="I3818" s="1323" t="s">
        <v>75</v>
      </c>
      <c r="J3818" s="1343">
        <v>1.35</v>
      </c>
      <c r="K3818" s="1343">
        <v>20</v>
      </c>
      <c r="L3818" s="1341">
        <f>INT(base[[#This Row],[Data de liquidação]])</f>
        <v>46256</v>
      </c>
      <c r="M3818" s="1343">
        <f>base[[#This Row],[L/P Bruto]]-base[[#This Row],[L/P Líquido]]</f>
        <v>0.31523560209424151</v>
      </c>
      <c r="N3818" s="1343">
        <f>base[[#This Row],[L/P Líquido]]/base[[#This Row],[Stake/Responsabilidade]]</f>
        <v>0.33450000000000002</v>
      </c>
      <c r="O3818" s="1345">
        <f>IF(base[[#This Row],[L/P Líquido]]&gt;0,1,0)</f>
        <v>1</v>
      </c>
      <c r="P3818" s="1345"/>
      <c r="Q3818" s="1345" t="str">
        <f>LEFT(base[[#This Row],[Evento / Mercado]],FIND("vs",base[[#This Row],[Evento / Mercado]])-2)</f>
        <v>Shenzhen Peng City</v>
      </c>
      <c r="R3818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5" t="str">
        <f>LEFT(base[[#This Row],[Evento / Mercado]],FIND("/",base[[#This Row],[Evento / Mercado]])-2)</f>
        <v>Shenzhen Peng City vs Zhejiang Professional</v>
      </c>
      <c r="T3818" s="1346">
        <f>base[[#This Row],[Data de liquidação]]</f>
        <v>46256.437800925924</v>
      </c>
    </row>
    <row r="3819" spans="2:22" ht="15" customHeight="1" x14ac:dyDescent="0.25">
      <c r="B3819" s="1340" t="s">
        <v>4460</v>
      </c>
      <c r="C3819" s="860" t="s">
        <v>3515</v>
      </c>
      <c r="D3819" s="1341">
        <v>46256.458182870374</v>
      </c>
      <c r="E3819" s="1342">
        <v>7.39</v>
      </c>
      <c r="F3819" s="584">
        <v>4.4999999999999998E-2</v>
      </c>
      <c r="G3819" s="1343">
        <f t="shared" si="143"/>
        <v>7.7382198952879584</v>
      </c>
      <c r="H3819" s="1343" t="s">
        <v>1648</v>
      </c>
      <c r="I3819" s="1344" t="s">
        <v>1739</v>
      </c>
      <c r="J3819" s="1343">
        <v>16.18</v>
      </c>
      <c r="K3819" s="1343">
        <v>117.47</v>
      </c>
      <c r="L3819" s="1341">
        <f>INT(base[[#This Row],[Data de liquidação]])</f>
        <v>46256</v>
      </c>
      <c r="M3819" s="1343">
        <f>base[[#This Row],[L/P Bruto]]-base[[#This Row],[L/P Líquido]]</f>
        <v>0.34821989528795871</v>
      </c>
      <c r="N3819" s="1343">
        <f>base[[#This Row],[L/P Líquido]]/base[[#This Row],[Stake/Responsabilidade]]</f>
        <v>6.2909679066995822E-2</v>
      </c>
      <c r="O3819" s="1345">
        <f>IF(base[[#This Row],[L/P Líquido]]&gt;0,1,0)</f>
        <v>1</v>
      </c>
      <c r="P3819" s="1345"/>
      <c r="Q3819" s="1345" t="str">
        <f>LEFT(base[[#This Row],[Evento / Mercado]],FIND("vs",base[[#This Row],[Evento / Mercado]])-2)</f>
        <v>Qingdao West Coast</v>
      </c>
      <c r="R3819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5" t="str">
        <f>LEFT(base[[#This Row],[Evento / Mercado]],FIND("/",base[[#This Row],[Evento / Mercado]])-2)</f>
        <v>Qingdao West Coast vs Shandong Taishan</v>
      </c>
      <c r="T3819" s="1346">
        <f>base[[#This Row],[Data de liquidação]]</f>
        <v>46256.458182870374</v>
      </c>
    </row>
    <row r="3820" spans="2:22" ht="15" customHeight="1" x14ac:dyDescent="0.25">
      <c r="B3820" s="1340" t="s">
        <v>4459</v>
      </c>
      <c r="C3820" s="860" t="s">
        <v>3515</v>
      </c>
      <c r="D3820" s="1341">
        <v>46256.465266203704</v>
      </c>
      <c r="E3820" s="1342">
        <v>11.46</v>
      </c>
      <c r="F3820" s="584">
        <v>4.4999999999999998E-2</v>
      </c>
      <c r="G3820" s="1343">
        <f t="shared" si="143"/>
        <v>12.000000000000002</v>
      </c>
      <c r="H3820" s="1343" t="s">
        <v>1648</v>
      </c>
      <c r="I3820" s="1344" t="s">
        <v>1739</v>
      </c>
      <c r="J3820" s="1343">
        <v>11</v>
      </c>
      <c r="K3820" s="1343">
        <v>120</v>
      </c>
      <c r="L3820" s="1341">
        <f>INT(base[[#This Row],[Data de liquidação]])</f>
        <v>46256</v>
      </c>
      <c r="M3820" s="1343">
        <f>base[[#This Row],[L/P Bruto]]-base[[#This Row],[L/P Líquido]]</f>
        <v>0.54000000000000092</v>
      </c>
      <c r="N3820" s="1343">
        <f>base[[#This Row],[L/P Líquido]]/base[[#This Row],[Stake/Responsabilidade]]</f>
        <v>9.5500000000000002E-2</v>
      </c>
      <c r="O3820" s="1345">
        <f>IF(base[[#This Row],[L/P Líquido]]&gt;0,1,0)</f>
        <v>1</v>
      </c>
      <c r="P3820" s="1345"/>
      <c r="Q3820" s="1345" t="str">
        <f>LEFT(base[[#This Row],[Evento / Mercado]],FIND("vs",base[[#This Row],[Evento / Mercado]])-2)</f>
        <v>Shenzhen Peng City</v>
      </c>
      <c r="R3820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5" t="str">
        <f>LEFT(base[[#This Row],[Evento / Mercado]],FIND("/",base[[#This Row],[Evento / Mercado]])-2)</f>
        <v>Shenzhen Peng City vs Zhejiang Professional</v>
      </c>
      <c r="T3820" s="1346">
        <f>base[[#This Row],[Data de liquidação]]</f>
        <v>46256.465266203704</v>
      </c>
    </row>
    <row r="3821" spans="2:22" ht="15" customHeight="1" x14ac:dyDescent="0.25">
      <c r="B3821" s="1340" t="s">
        <v>4458</v>
      </c>
      <c r="C3821" s="860" t="s">
        <v>3515</v>
      </c>
      <c r="D3821" s="1341">
        <v>46256.53707175926</v>
      </c>
      <c r="E3821" s="1342">
        <v>-20</v>
      </c>
      <c r="F3821" s="584">
        <v>4.4999999999999998E-2</v>
      </c>
      <c r="G3821" s="1343">
        <f t="shared" si="143"/>
        <v>-20</v>
      </c>
      <c r="H3821" s="1168" t="s">
        <v>4253</v>
      </c>
      <c r="I3821" s="1344" t="s">
        <v>13</v>
      </c>
      <c r="J3821" s="1343">
        <v>1.26</v>
      </c>
      <c r="K3821" s="1343">
        <v>20</v>
      </c>
      <c r="L3821" s="1341">
        <f>INT(base[[#This Row],[Data de liquidação]])</f>
        <v>46256</v>
      </c>
      <c r="M3821" s="1343">
        <f>base[[#This Row],[L/P Bruto]]-base[[#This Row],[L/P Líquido]]</f>
        <v>0</v>
      </c>
      <c r="N3821" s="1343">
        <f>base[[#This Row],[L/P Líquido]]/base[[#This Row],[Stake/Responsabilidade]]</f>
        <v>-1</v>
      </c>
      <c r="O3821" s="1345">
        <f>IF(base[[#This Row],[L/P Líquido]]&gt;0,1,0)</f>
        <v>0</v>
      </c>
      <c r="P3821" s="1345"/>
      <c r="Q3821" s="1345" t="str">
        <f>LEFT(base[[#This Row],[Evento / Mercado]],FIND("vs",base[[#This Row],[Evento / Mercado]])-2)</f>
        <v>Ilves</v>
      </c>
      <c r="R3821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5" t="str">
        <f>LEFT(base[[#This Row],[Evento / Mercado]],FIND("/",base[[#This Row],[Evento / Mercado]])-2)</f>
        <v>Ilves vs VPS</v>
      </c>
      <c r="T3821" s="1346">
        <f>base[[#This Row],[Data de liquidação]]</f>
        <v>46256.53707175926</v>
      </c>
    </row>
    <row r="3822" spans="2:22" ht="15" customHeight="1" x14ac:dyDescent="0.25">
      <c r="B3822" s="1340" t="s">
        <v>4457</v>
      </c>
      <c r="C3822" s="860" t="s">
        <v>3515</v>
      </c>
      <c r="D3822" s="1341">
        <v>46256.538668981484</v>
      </c>
      <c r="E3822" s="1342">
        <v>-20</v>
      </c>
      <c r="F3822" s="584">
        <v>4.4999999999999998E-2</v>
      </c>
      <c r="G3822" s="1343">
        <f t="shared" si="143"/>
        <v>-20</v>
      </c>
      <c r="H3822" s="1343" t="s">
        <v>1648</v>
      </c>
      <c r="I3822" s="1344" t="s">
        <v>2277</v>
      </c>
      <c r="J3822" s="1343">
        <v>1.53</v>
      </c>
      <c r="K3822" s="1343">
        <v>20</v>
      </c>
      <c r="L3822" s="1341">
        <f>INT(base[[#This Row],[Data de liquidação]])</f>
        <v>46256</v>
      </c>
      <c r="M3822" s="1343">
        <f>base[[#This Row],[L/P Bruto]]-base[[#This Row],[L/P Líquido]]</f>
        <v>0</v>
      </c>
      <c r="N3822" s="1343">
        <f>base[[#This Row],[L/P Líquido]]/base[[#This Row],[Stake/Responsabilidade]]</f>
        <v>-1</v>
      </c>
      <c r="O3822" s="1345">
        <f>IF(base[[#This Row],[L/P Líquido]]&gt;0,1,0)</f>
        <v>0</v>
      </c>
      <c r="P3822" s="1345"/>
      <c r="Q3822" s="1345" t="str">
        <f>LEFT(base[[#This Row],[Evento / Mercado]],FIND("vs",base[[#This Row],[Evento / Mercado]])-2)</f>
        <v>Swansea City</v>
      </c>
      <c r="R3822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5" t="str">
        <f>LEFT(base[[#This Row],[Evento / Mercado]],FIND("/",base[[#This Row],[Evento / Mercado]])-2)</f>
        <v>Swansea City vs Sheffield United</v>
      </c>
      <c r="T3822" s="1346">
        <f>base[[#This Row],[Data de liquidação]]</f>
        <v>46256.538668981484</v>
      </c>
    </row>
    <row r="3823" spans="2:22" ht="15" customHeight="1" x14ac:dyDescent="0.25">
      <c r="B3823" s="1340" t="s">
        <v>4456</v>
      </c>
      <c r="C3823" s="860" t="s">
        <v>3515</v>
      </c>
      <c r="D3823" s="1341">
        <v>46256.579456018517</v>
      </c>
      <c r="E3823" s="1342">
        <v>7.04</v>
      </c>
      <c r="F3823" s="584">
        <v>4.4999999999999998E-2</v>
      </c>
      <c r="G3823" s="1343">
        <f t="shared" si="143"/>
        <v>7.3717277486911001</v>
      </c>
      <c r="H3823" s="1343" t="s">
        <v>1648</v>
      </c>
      <c r="I3823" s="1344" t="s">
        <v>2919</v>
      </c>
      <c r="J3823" s="1343">
        <v>10.5</v>
      </c>
      <c r="K3823" s="1343">
        <v>70.02</v>
      </c>
      <c r="L3823" s="1341">
        <f>INT(base[[#This Row],[Data de liquidação]])</f>
        <v>46256</v>
      </c>
      <c r="M3823" s="1343">
        <f>base[[#This Row],[L/P Bruto]]-base[[#This Row],[L/P Líquido]]</f>
        <v>0.33172774869110011</v>
      </c>
      <c r="N3823" s="1343">
        <f>base[[#This Row],[L/P Líquido]]/base[[#This Row],[Stake/Responsabilidade]]</f>
        <v>0.10054270208511855</v>
      </c>
      <c r="O3823" s="1345">
        <f>IF(base[[#This Row],[L/P Líquido]]&gt;0,1,0)</f>
        <v>1</v>
      </c>
      <c r="P3823" s="1345"/>
      <c r="Q3823" s="1345" t="str">
        <f>LEFT(base[[#This Row],[Evento / Mercado]],FIND("vs",base[[#This Row],[Evento / Mercado]])-2)</f>
        <v>FC Zlín</v>
      </c>
      <c r="R3823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5" t="str">
        <f>LEFT(base[[#This Row],[Evento / Mercado]],FIND("/",base[[#This Row],[Evento / Mercado]])-2)</f>
        <v>FC Zlín vs FC Slovan Liberec</v>
      </c>
      <c r="T3823" s="1346">
        <f>base[[#This Row],[Data de liquidação]]</f>
        <v>46256.579456018517</v>
      </c>
    </row>
    <row r="3824" spans="2:22" ht="15" customHeight="1" x14ac:dyDescent="0.25">
      <c r="B3824" s="1340" t="s">
        <v>4455</v>
      </c>
      <c r="C3824" s="860" t="s">
        <v>3515</v>
      </c>
      <c r="D3824" s="1341">
        <v>46256.604907407411</v>
      </c>
      <c r="E3824" s="1342">
        <v>-20</v>
      </c>
      <c r="F3824" s="584">
        <v>4.4999999999999998E-2</v>
      </c>
      <c r="G3824" s="1343">
        <f t="shared" si="143"/>
        <v>-20</v>
      </c>
      <c r="H3824" s="1343" t="s">
        <v>1648</v>
      </c>
      <c r="I3824" s="1344" t="s">
        <v>2277</v>
      </c>
      <c r="J3824" s="1343">
        <v>1.53</v>
      </c>
      <c r="K3824" s="1343">
        <v>20</v>
      </c>
      <c r="L3824" s="1341">
        <f>INT(base[[#This Row],[Data de liquidação]])</f>
        <v>46256</v>
      </c>
      <c r="M3824" s="1343">
        <f>base[[#This Row],[L/P Bruto]]-base[[#This Row],[L/P Líquido]]</f>
        <v>0</v>
      </c>
      <c r="N3824" s="1343">
        <f>base[[#This Row],[L/P Líquido]]/base[[#This Row],[Stake/Responsabilidade]]</f>
        <v>-1</v>
      </c>
      <c r="O3824" s="1345">
        <f>IF(base[[#This Row],[L/P Líquido]]&gt;0,1,0)</f>
        <v>0</v>
      </c>
      <c r="P3824" s="1345"/>
      <c r="Q3824" s="1345" t="str">
        <f>LEFT(base[[#This Row],[Evento / Mercado]],FIND("vs",base[[#This Row],[Evento / Mercado]])-2)</f>
        <v>AFC UTA Arad</v>
      </c>
      <c r="R3824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5" t="str">
        <f>LEFT(base[[#This Row],[Evento / Mercado]],FIND("/",base[[#This Row],[Evento / Mercado]])-2)</f>
        <v>AFC UTA Arad vs Corvinul 1921 Hunedoara</v>
      </c>
      <c r="T3824" s="1346">
        <f>base[[#This Row],[Data de liquidação]]</f>
        <v>46256.604907407411</v>
      </c>
    </row>
    <row r="3825" spans="2:20" ht="15" customHeight="1" x14ac:dyDescent="0.25">
      <c r="B3825" s="1340" t="s">
        <v>4454</v>
      </c>
      <c r="C3825" s="860" t="s">
        <v>3515</v>
      </c>
      <c r="D3825" s="1341">
        <v>46256.619560185187</v>
      </c>
      <c r="E3825" s="1342">
        <v>3.7</v>
      </c>
      <c r="F3825" s="584">
        <v>4.4999999999999998E-2</v>
      </c>
      <c r="G3825" s="1343">
        <f t="shared" si="143"/>
        <v>3.8743455497382202</v>
      </c>
      <c r="H3825" s="1343" t="s">
        <v>1648</v>
      </c>
      <c r="I3825" s="1344" t="s">
        <v>1739</v>
      </c>
      <c r="J3825" s="1343">
        <v>30</v>
      </c>
      <c r="K3825" s="1343">
        <v>112.23</v>
      </c>
      <c r="L3825" s="1341">
        <f>INT(base[[#This Row],[Data de liquidação]])</f>
        <v>46256</v>
      </c>
      <c r="M3825" s="1343">
        <f>base[[#This Row],[L/P Bruto]]-base[[#This Row],[L/P Líquido]]</f>
        <v>0.17434554973822003</v>
      </c>
      <c r="N3825" s="1343">
        <f>base[[#This Row],[L/P Líquido]]/base[[#This Row],[Stake/Responsabilidade]]</f>
        <v>3.2968012117972019E-2</v>
      </c>
      <c r="O3825" s="1345">
        <f>IF(base[[#This Row],[L/P Líquido]]&gt;0,1,0)</f>
        <v>1</v>
      </c>
      <c r="P3825" s="1345"/>
      <c r="Q3825" s="1345" t="str">
        <f>LEFT(base[[#This Row],[Evento / Mercado]],FIND("vs",base[[#This Row],[Evento / Mercado]])-2)</f>
        <v>FC Luzern</v>
      </c>
      <c r="R382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5" t="str">
        <f>LEFT(base[[#This Row],[Evento / Mercado]],FIND("/",base[[#This Row],[Evento / Mercado]])-2)</f>
        <v>FC Luzern vs FC Lausanne-Sport</v>
      </c>
      <c r="T3825" s="1346">
        <f>base[[#This Row],[Data de liquidação]]</f>
        <v>46256.619560185187</v>
      </c>
    </row>
    <row r="3826" spans="2:20" ht="15" customHeight="1" x14ac:dyDescent="0.25">
      <c r="B3826" s="1340" t="s">
        <v>4453</v>
      </c>
      <c r="C3826" s="860" t="s">
        <v>3515</v>
      </c>
      <c r="D3826" s="1341">
        <v>46256.622141203705</v>
      </c>
      <c r="E3826" s="1342">
        <v>-234.99</v>
      </c>
      <c r="F3826" s="584">
        <v>4.4999999999999998E-2</v>
      </c>
      <c r="G3826" s="1343">
        <f t="shared" si="143"/>
        <v>-234.99</v>
      </c>
      <c r="H3826" s="1343" t="s">
        <v>4320</v>
      </c>
      <c r="I3826" s="1344"/>
      <c r="J3826" s="1343">
        <v>10</v>
      </c>
      <c r="K3826" s="1343">
        <v>234.99</v>
      </c>
      <c r="L3826" s="1341">
        <f>INT(base[[#This Row],[Data de liquidação]])</f>
        <v>46256</v>
      </c>
      <c r="M3826" s="1343">
        <f>base[[#This Row],[L/P Bruto]]-base[[#This Row],[L/P Líquido]]</f>
        <v>0</v>
      </c>
      <c r="N3826" s="1343">
        <f>base[[#This Row],[L/P Líquido]]/base[[#This Row],[Stake/Responsabilidade]]</f>
        <v>-1</v>
      </c>
      <c r="O3826" s="1345">
        <f>IF(base[[#This Row],[L/P Líquido]]&gt;0,1,0)</f>
        <v>0</v>
      </c>
      <c r="P3826" s="1345"/>
      <c r="Q3826" s="1345" t="str">
        <f>LEFT(base[[#This Row],[Evento / Mercado]],FIND("vs",base[[#This Row],[Evento / Mercado]])-2)</f>
        <v>Sport Huancayo</v>
      </c>
      <c r="R382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5" t="str">
        <f>LEFT(base[[#This Row],[Evento / Mercado]],FIND("/",base[[#This Row],[Evento / Mercado]])-2)</f>
        <v>Sport Huancayo vs Deportivo Moquegua</v>
      </c>
      <c r="T3826" s="1346">
        <f>base[[#This Row],[Data de liquidação]]</f>
        <v>46256.622141203705</v>
      </c>
    </row>
    <row r="3827" spans="2:20" ht="15" customHeight="1" x14ac:dyDescent="0.25">
      <c r="B3827" s="1340" t="s">
        <v>4452</v>
      </c>
      <c r="C3827" s="860" t="s">
        <v>3515</v>
      </c>
      <c r="D3827" s="1341">
        <v>46256.629872685182</v>
      </c>
      <c r="E3827" s="1342">
        <v>2.94</v>
      </c>
      <c r="F3827" s="584">
        <v>4.4999999999999998E-2</v>
      </c>
      <c r="G3827" s="1343">
        <f t="shared" si="143"/>
        <v>3.0785340314136125</v>
      </c>
      <c r="H3827" s="1343" t="s">
        <v>1648</v>
      </c>
      <c r="I3827" s="1344" t="s">
        <v>1739</v>
      </c>
      <c r="J3827" s="1343">
        <v>40</v>
      </c>
      <c r="K3827" s="1343">
        <v>120.12</v>
      </c>
      <c r="L3827" s="1341">
        <f>INT(base[[#This Row],[Data de liquidação]])</f>
        <v>46256</v>
      </c>
      <c r="M3827" s="1343">
        <f>base[[#This Row],[L/P Bruto]]-base[[#This Row],[L/P Líquido]]</f>
        <v>0.13853403141361254</v>
      </c>
      <c r="N3827" s="1343">
        <f>base[[#This Row],[L/P Líquido]]/base[[#This Row],[Stake/Responsabilidade]]</f>
        <v>2.4475524475524472E-2</v>
      </c>
      <c r="O3827" s="1345">
        <f>IF(base[[#This Row],[L/P Líquido]]&gt;0,1,0)</f>
        <v>1</v>
      </c>
      <c r="P3827" s="1345"/>
      <c r="Q3827" s="1345" t="str">
        <f>LEFT(base[[#This Row],[Evento / Mercado]],FIND("vs",base[[#This Row],[Evento / Mercado]])-2)</f>
        <v>Sporting de Charleroi</v>
      </c>
      <c r="R382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5" t="str">
        <f>LEFT(base[[#This Row],[Evento / Mercado]],FIND("/",base[[#This Row],[Evento / Mercado]])-2)</f>
        <v>Sporting de Charleroi vs KV Mechelen</v>
      </c>
      <c r="T3827" s="1346">
        <f>base[[#This Row],[Data de liquidação]]</f>
        <v>46256.629872685182</v>
      </c>
    </row>
    <row r="3828" spans="2:20" ht="15" customHeight="1" x14ac:dyDescent="0.25">
      <c r="B3828" s="1340" t="s">
        <v>4451</v>
      </c>
      <c r="C3828" s="860" t="s">
        <v>3515</v>
      </c>
      <c r="D3828" s="1341">
        <v>46256.642511574071</v>
      </c>
      <c r="E3828" s="1342">
        <v>19.100000000000001</v>
      </c>
      <c r="F3828" s="584">
        <v>4.4999999999999998E-2</v>
      </c>
      <c r="G3828" s="1343">
        <f t="shared" si="143"/>
        <v>20.000000000000004</v>
      </c>
      <c r="H3828" s="1343" t="s">
        <v>3370</v>
      </c>
      <c r="I3828" s="1344" t="s">
        <v>391</v>
      </c>
      <c r="J3828" s="1343">
        <v>21</v>
      </c>
      <c r="K3828" s="1343">
        <v>400</v>
      </c>
      <c r="L3828" s="1341">
        <f>INT(base[[#This Row],[Data de liquidação]])</f>
        <v>46256</v>
      </c>
      <c r="M3828" s="1343">
        <f>base[[#This Row],[L/P Bruto]]-base[[#This Row],[L/P Líquido]]</f>
        <v>0.90000000000000213</v>
      </c>
      <c r="N3828" s="1343">
        <f>base[[#This Row],[L/P Líquido]]/base[[#This Row],[Stake/Responsabilidade]]</f>
        <v>4.7750000000000001E-2</v>
      </c>
      <c r="O3828" s="1345">
        <f>IF(base[[#This Row],[L/P Líquido]]&gt;0,1,0)</f>
        <v>1</v>
      </c>
      <c r="P3828" s="1347" t="s">
        <v>1206</v>
      </c>
      <c r="Q3828" s="1345" t="str">
        <f>LEFT(base[[#This Row],[Evento / Mercado]],FIND("vs",base[[#This Row],[Evento / Mercado]])-2)</f>
        <v>Internazionale</v>
      </c>
      <c r="R3828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5" t="str">
        <f>LEFT(base[[#This Row],[Evento / Mercado]],FIND("/",base[[#This Row],[Evento / Mercado]])-2)</f>
        <v>Internazionale vs Monza</v>
      </c>
      <c r="T3828" s="1346">
        <f>base[[#This Row],[Data de liquidação]]</f>
        <v>46256.642511574071</v>
      </c>
    </row>
    <row r="3829" spans="2:20" ht="15" customHeight="1" x14ac:dyDescent="0.25">
      <c r="B3829" s="1340" t="s">
        <v>4450</v>
      </c>
      <c r="C3829" s="860" t="s">
        <v>3515</v>
      </c>
      <c r="D3829" s="1341">
        <v>46256.725335648145</v>
      </c>
      <c r="E3829" s="1342">
        <v>20.65</v>
      </c>
      <c r="F3829" s="584">
        <v>4.4999999999999998E-2</v>
      </c>
      <c r="G3829" s="1343">
        <f t="shared" si="143"/>
        <v>21.623036649214658</v>
      </c>
      <c r="H3829" s="1343" t="s">
        <v>150</v>
      </c>
      <c r="I3829" s="1344" t="s">
        <v>692</v>
      </c>
      <c r="J3829" s="1343">
        <v>19.5</v>
      </c>
      <c r="K3829" s="1343">
        <v>399.97</v>
      </c>
      <c r="L3829" s="1341">
        <f>INT(base[[#This Row],[Data de liquidação]])</f>
        <v>46256</v>
      </c>
      <c r="M3829" s="1343">
        <f>base[[#This Row],[L/P Bruto]]-base[[#This Row],[L/P Líquido]]</f>
        <v>0.97303664921465938</v>
      </c>
      <c r="N3829" s="1343">
        <f>base[[#This Row],[L/P Líquido]]/base[[#This Row],[Stake/Responsabilidade]]</f>
        <v>5.1628872165412398E-2</v>
      </c>
      <c r="O3829" s="1345">
        <f>IF(base[[#This Row],[L/P Líquido]]&gt;0,1,0)</f>
        <v>1</v>
      </c>
      <c r="P3829" s="1345"/>
      <c r="Q3829" s="1345" t="str">
        <f>LEFT(base[[#This Row],[Evento / Mercado]],FIND("vs",base[[#This Row],[Evento / Mercado]])-2)</f>
        <v>Borussia Dortmund</v>
      </c>
      <c r="R3829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5" t="str">
        <f>LEFT(base[[#This Row],[Evento / Mercado]],FIND("/",base[[#This Row],[Evento / Mercado]])-2)</f>
        <v>Borussia Dortmund vs FC Bayern München</v>
      </c>
      <c r="T3829" s="1346">
        <f>base[[#This Row],[Data de liquidação]]</f>
        <v>46256.725335648145</v>
      </c>
    </row>
    <row r="3830" spans="2:20" ht="15" customHeight="1" x14ac:dyDescent="0.25">
      <c r="B3830" s="1340" t="s">
        <v>4449</v>
      </c>
      <c r="C3830" s="860" t="s">
        <v>3515</v>
      </c>
      <c r="D3830" s="1341">
        <v>46256.726875</v>
      </c>
      <c r="E3830" s="1342">
        <v>4.97</v>
      </c>
      <c r="F3830" s="584">
        <v>4.4999999999999998E-2</v>
      </c>
      <c r="G3830" s="1343">
        <f t="shared" si="143"/>
        <v>5.2041884816753923</v>
      </c>
      <c r="H3830" s="1168" t="s">
        <v>4253</v>
      </c>
      <c r="I3830" s="1344" t="s">
        <v>13</v>
      </c>
      <c r="J3830" s="1343">
        <v>1.26</v>
      </c>
      <c r="K3830" s="1343">
        <v>20</v>
      </c>
      <c r="L3830" s="1341">
        <f>INT(base[[#This Row],[Data de liquidação]])</f>
        <v>46256</v>
      </c>
      <c r="M3830" s="1343">
        <f>base[[#This Row],[L/P Bruto]]-base[[#This Row],[L/P Líquido]]</f>
        <v>0.23418848167539252</v>
      </c>
      <c r="N3830" s="1343">
        <f>base[[#This Row],[L/P Líquido]]/base[[#This Row],[Stake/Responsabilidade]]</f>
        <v>0.2485</v>
      </c>
      <c r="O3830" s="1345">
        <f>IF(base[[#This Row],[L/P Líquido]]&gt;0,1,0)</f>
        <v>1</v>
      </c>
      <c r="P3830" s="1345"/>
      <c r="Q3830" s="1345" t="str">
        <f>LEFT(base[[#This Row],[Evento / Mercado]],FIND("vs",base[[#This Row],[Evento / Mercado]])-2)</f>
        <v>Fluminense FC</v>
      </c>
      <c r="R3830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5" t="str">
        <f>LEFT(base[[#This Row],[Evento / Mercado]],FIND("/",base[[#This Row],[Evento / Mercado]])-2)</f>
        <v>Fluminense FC vs Clube do Remo</v>
      </c>
      <c r="T3830" s="1346">
        <f>base[[#This Row],[Data de liquidação]]</f>
        <v>46256.726875</v>
      </c>
    </row>
    <row r="3831" spans="2:20" ht="15" customHeight="1" x14ac:dyDescent="0.25">
      <c r="B3831" s="1340" t="s">
        <v>4448</v>
      </c>
      <c r="C3831" s="860" t="s">
        <v>3515</v>
      </c>
      <c r="D3831" s="1341">
        <v>46256.738391203704</v>
      </c>
      <c r="E3831" s="1342">
        <v>1.36</v>
      </c>
      <c r="F3831" s="584">
        <v>4.4999999999999998E-2</v>
      </c>
      <c r="G3831" s="1343">
        <f t="shared" si="143"/>
        <v>1.424083769633508</v>
      </c>
      <c r="H3831" s="1343" t="s">
        <v>1648</v>
      </c>
      <c r="I3831" s="1344" t="s">
        <v>3296</v>
      </c>
      <c r="J3831" s="1343">
        <v>1.71</v>
      </c>
      <c r="K3831" s="1343">
        <v>2</v>
      </c>
      <c r="L3831" s="1341">
        <f>INT(base[[#This Row],[Data de liquidação]])</f>
        <v>46256</v>
      </c>
      <c r="M3831" s="1343">
        <f>base[[#This Row],[L/P Bruto]]-base[[#This Row],[L/P Líquido]]</f>
        <v>6.4083769633507925E-2</v>
      </c>
      <c r="N3831" s="1343">
        <f>base[[#This Row],[L/P Líquido]]/base[[#This Row],[Stake/Responsabilidade]]</f>
        <v>0.68</v>
      </c>
      <c r="O3831" s="1345">
        <f>IF(base[[#This Row],[L/P Líquido]]&gt;0,1,0)</f>
        <v>1</v>
      </c>
      <c r="P3831" s="1345"/>
      <c r="Q3831" s="1345" t="str">
        <f>LEFT(base[[#This Row],[Evento / Mercado]],FIND("vs",base[[#This Row],[Evento / Mercado]])-2)</f>
        <v>Fluminense FC</v>
      </c>
      <c r="R3831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5" t="str">
        <f>LEFT(base[[#This Row],[Evento / Mercado]],FIND("/",base[[#This Row],[Evento / Mercado]])-2)</f>
        <v>Fluminense FC vs Clube do Remo</v>
      </c>
      <c r="T3831" s="1346">
        <f>base[[#This Row],[Data de liquidação]]</f>
        <v>46256.738391203704</v>
      </c>
    </row>
    <row r="3832" spans="2:20" ht="15" customHeight="1" x14ac:dyDescent="0.25">
      <c r="B3832" s="1340" t="s">
        <v>4447</v>
      </c>
      <c r="C3832" s="860" t="s">
        <v>3515</v>
      </c>
      <c r="D3832" s="1341">
        <v>46256.746053240742</v>
      </c>
      <c r="E3832" s="1342">
        <v>19.86</v>
      </c>
      <c r="F3832" s="584">
        <v>4.4999999999999998E-2</v>
      </c>
      <c r="G3832" s="1343">
        <f t="shared" si="143"/>
        <v>20.795811518324609</v>
      </c>
      <c r="H3832" s="1343" t="s">
        <v>74</v>
      </c>
      <c r="I3832" s="1344" t="s">
        <v>626</v>
      </c>
      <c r="J3832" s="1343">
        <v>21</v>
      </c>
      <c r="K3832" s="1343">
        <v>416</v>
      </c>
      <c r="L3832" s="1341">
        <f>INT(base[[#This Row],[Data de liquidação]])</f>
        <v>46256</v>
      </c>
      <c r="M3832" s="1343">
        <f>base[[#This Row],[L/P Bruto]]-base[[#This Row],[L/P Líquido]]</f>
        <v>0.93581151832460918</v>
      </c>
      <c r="N3832" s="1343">
        <f>base[[#This Row],[L/P Líquido]]/base[[#This Row],[Stake/Responsabilidade]]</f>
        <v>4.7740384615384615E-2</v>
      </c>
      <c r="O3832" s="1345">
        <f>IF(base[[#This Row],[L/P Líquido]]&gt;0,1,0)</f>
        <v>1</v>
      </c>
      <c r="P3832" s="1345"/>
      <c r="Q3832" s="1345" t="str">
        <f>LEFT(base[[#This Row],[Evento / Mercado]],FIND("vs",base[[#This Row],[Evento / Mercado]])-2)</f>
        <v>Fluminense FC</v>
      </c>
      <c r="R3832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5" t="str">
        <f>LEFT(base[[#This Row],[Evento / Mercado]],FIND("/",base[[#This Row],[Evento / Mercado]])-2)</f>
        <v>Fluminense FC vs Clube do Remo</v>
      </c>
      <c r="T3832" s="1346">
        <f>base[[#This Row],[Data de liquidação]]</f>
        <v>46256.746053240742</v>
      </c>
    </row>
    <row r="3833" spans="2:20" ht="15" customHeight="1" x14ac:dyDescent="0.25">
      <c r="B3833" s="1340" t="s">
        <v>4446</v>
      </c>
      <c r="C3833" s="860" t="s">
        <v>3515</v>
      </c>
      <c r="D3833" s="1341">
        <v>46256.746261574073</v>
      </c>
      <c r="E3833" s="1342">
        <v>55.57</v>
      </c>
      <c r="F3833" s="584">
        <v>4.4999999999999998E-2</v>
      </c>
      <c r="G3833" s="1343">
        <f t="shared" si="143"/>
        <v>58.188481675392673</v>
      </c>
      <c r="H3833" s="1343" t="s">
        <v>3370</v>
      </c>
      <c r="I3833" s="1344" t="s">
        <v>391</v>
      </c>
      <c r="J3833" s="1343">
        <f>(8.2*400.03+8.6*19.99)/base[[#This Row],[Stake/Responsabilidade]]</f>
        <v>8.2190371887053004</v>
      </c>
      <c r="K3833" s="1343">
        <f>400.03+19.99</f>
        <v>420.02</v>
      </c>
      <c r="L3833" s="1341">
        <f>INT(base[[#This Row],[Data de liquidação]])</f>
        <v>46256</v>
      </c>
      <c r="M3833" s="1343">
        <f>base[[#This Row],[L/P Bruto]]-base[[#This Row],[L/P Líquido]]</f>
        <v>2.6184816753926725</v>
      </c>
      <c r="N3833" s="1343">
        <f>base[[#This Row],[L/P Líquido]]/base[[#This Row],[Stake/Responsabilidade]]</f>
        <v>0.13230322365601638</v>
      </c>
      <c r="O3833" s="1345">
        <f>IF(base[[#This Row],[L/P Líquido]]&gt;0,1,0)</f>
        <v>1</v>
      </c>
      <c r="P3833" s="1347" t="s">
        <v>1360</v>
      </c>
      <c r="Q3833" s="1345" t="str">
        <f>LEFT(base[[#This Row],[Evento / Mercado]],FIND("vs",base[[#This Row],[Evento / Mercado]])-2)</f>
        <v>Fluminense FC</v>
      </c>
      <c r="R3833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5" t="str">
        <f>LEFT(base[[#This Row],[Evento / Mercado]],FIND("/",base[[#This Row],[Evento / Mercado]])-2)</f>
        <v>Fluminense FC vs Clube do Remo</v>
      </c>
      <c r="T3833" s="1346">
        <f>base[[#This Row],[Data de liquidação]]</f>
        <v>46256.746261574073</v>
      </c>
    </row>
    <row r="3834" spans="2:20" ht="15" customHeight="1" x14ac:dyDescent="0.25">
      <c r="B3834" s="1340" t="s">
        <v>4445</v>
      </c>
      <c r="C3834" s="860" t="s">
        <v>3515</v>
      </c>
      <c r="D3834" s="1341">
        <v>46256.746377314812</v>
      </c>
      <c r="E3834" s="1342">
        <v>30.56</v>
      </c>
      <c r="F3834" s="584">
        <v>4.4999999999999998E-2</v>
      </c>
      <c r="G3834" s="1343">
        <f t="shared" si="143"/>
        <v>32</v>
      </c>
      <c r="H3834" s="1343" t="s">
        <v>3234</v>
      </c>
      <c r="I3834" s="1344" t="s">
        <v>626</v>
      </c>
      <c r="J3834" s="1343">
        <v>13.5</v>
      </c>
      <c r="K3834" s="1343">
        <v>400</v>
      </c>
      <c r="L3834" s="1341">
        <f>INT(base[[#This Row],[Data de liquidação]])</f>
        <v>46256</v>
      </c>
      <c r="M3834" s="1343">
        <f>base[[#This Row],[L/P Bruto]]-base[[#This Row],[L/P Líquido]]</f>
        <v>1.4400000000000013</v>
      </c>
      <c r="N3834" s="1343">
        <f>base[[#This Row],[L/P Líquido]]/base[[#This Row],[Stake/Responsabilidade]]</f>
        <v>7.6399999999999996E-2</v>
      </c>
      <c r="O3834" s="1345">
        <f>IF(base[[#This Row],[L/P Líquido]]&gt;0,1,0)</f>
        <v>1</v>
      </c>
      <c r="P3834" s="1345"/>
      <c r="Q3834" s="1345" t="str">
        <f>LEFT(base[[#This Row],[Evento / Mercado]],FIND("vs",base[[#This Row],[Evento / Mercado]])-2)</f>
        <v>Heerenveen</v>
      </c>
      <c r="R3834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5" t="str">
        <f>LEFT(base[[#This Row],[Evento / Mercado]],FIND("/",base[[#This Row],[Evento / Mercado]])-2)</f>
        <v>Heerenveen vs PEC Zwolle</v>
      </c>
      <c r="T3834" s="1346">
        <f>base[[#This Row],[Data de liquidação]]</f>
        <v>46256.746377314812</v>
      </c>
    </row>
    <row r="3835" spans="2:20" ht="15" customHeight="1" x14ac:dyDescent="0.25">
      <c r="B3835" s="1340" t="s">
        <v>4444</v>
      </c>
      <c r="C3835" s="860" t="s">
        <v>3515</v>
      </c>
      <c r="D3835" s="1341">
        <v>46256.746493055558</v>
      </c>
      <c r="E3835" s="1342">
        <v>-120</v>
      </c>
      <c r="F3835" s="584">
        <v>4.4999999999999998E-2</v>
      </c>
      <c r="G3835" s="1343">
        <f t="shared" si="143"/>
        <v>-120</v>
      </c>
      <c r="H3835" s="1343" t="s">
        <v>314</v>
      </c>
      <c r="I3835" s="1344" t="s">
        <v>349</v>
      </c>
      <c r="J3835" s="1343">
        <v>1.61</v>
      </c>
      <c r="K3835" s="1343">
        <v>120</v>
      </c>
      <c r="L3835" s="1341">
        <f>INT(base[[#This Row],[Data de liquidação]])</f>
        <v>46256</v>
      </c>
      <c r="M3835" s="1343">
        <f>base[[#This Row],[L/P Bruto]]-base[[#This Row],[L/P Líquido]]</f>
        <v>0</v>
      </c>
      <c r="N3835" s="1343">
        <f>base[[#This Row],[L/P Líquido]]/base[[#This Row],[Stake/Responsabilidade]]</f>
        <v>-1</v>
      </c>
      <c r="O3835" s="1345">
        <f>IF(base[[#This Row],[L/P Líquido]]&gt;0,1,0)</f>
        <v>0</v>
      </c>
      <c r="P3835" s="1345"/>
      <c r="Q3835" s="1345" t="str">
        <f>LEFT(base[[#This Row],[Evento / Mercado]],FIND("vs",base[[#This Row],[Evento / Mercado]])-2)</f>
        <v>Heerenveen</v>
      </c>
      <c r="R383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5" t="str">
        <f>LEFT(base[[#This Row],[Evento / Mercado]],FIND("/",base[[#This Row],[Evento / Mercado]])-2)</f>
        <v>Heerenveen vs PEC Zwolle</v>
      </c>
      <c r="T3835" s="1346">
        <f>base[[#This Row],[Data de liquidação]]</f>
        <v>46256.746493055558</v>
      </c>
    </row>
    <row r="3836" spans="2:20" ht="15" customHeight="1" x14ac:dyDescent="0.25">
      <c r="B3836" s="1340" t="s">
        <v>4443</v>
      </c>
      <c r="C3836" s="860" t="s">
        <v>3515</v>
      </c>
      <c r="D3836" s="1341">
        <v>46256.769745370373</v>
      </c>
      <c r="E3836" s="1342">
        <v>24.65</v>
      </c>
      <c r="F3836" s="584">
        <v>4.4999999999999998E-2</v>
      </c>
      <c r="G3836" s="1343">
        <f t="shared" si="143"/>
        <v>25.811518324607331</v>
      </c>
      <c r="H3836" s="1343" t="s">
        <v>3370</v>
      </c>
      <c r="I3836" s="1344" t="s">
        <v>391</v>
      </c>
      <c r="J3836" s="1343">
        <v>16.5</v>
      </c>
      <c r="K3836" s="1343">
        <v>400.06</v>
      </c>
      <c r="L3836" s="1341">
        <f>INT(base[[#This Row],[Data de liquidação]])</f>
        <v>46256</v>
      </c>
      <c r="M3836" s="1343">
        <f>base[[#This Row],[L/P Bruto]]-base[[#This Row],[L/P Líquido]]</f>
        <v>1.1615183246073322</v>
      </c>
      <c r="N3836" s="1343">
        <f>base[[#This Row],[L/P Líquido]]/base[[#This Row],[Stake/Responsabilidade]]</f>
        <v>6.1615757636354546E-2</v>
      </c>
      <c r="O3836" s="1345">
        <f>IF(base[[#This Row],[L/P Líquido]]&gt;0,1,0)</f>
        <v>1</v>
      </c>
      <c r="P3836" s="1347" t="s">
        <v>1202</v>
      </c>
      <c r="Q3836" s="1345" t="str">
        <f>LEFT(base[[#This Row],[Evento / Mercado]],FIND("vs",base[[#This Row],[Evento / Mercado]])-2)</f>
        <v>Sporting CP</v>
      </c>
      <c r="R383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5" t="str">
        <f>LEFT(base[[#This Row],[Evento / Mercado]],FIND("/",base[[#This Row],[Evento / Mercado]])-2)</f>
        <v>Sporting CP vs Alverca</v>
      </c>
      <c r="T3836" s="1346">
        <f>base[[#This Row],[Data de liquidação]]</f>
        <v>46256.769745370373</v>
      </c>
    </row>
    <row r="3837" spans="2:20" ht="15" customHeight="1" x14ac:dyDescent="0.25">
      <c r="B3837" s="1340" t="s">
        <v>4442</v>
      </c>
      <c r="C3837" s="860" t="s">
        <v>3515</v>
      </c>
      <c r="D3837" s="1341">
        <v>46256.802604166667</v>
      </c>
      <c r="E3837" s="1342">
        <v>0.84</v>
      </c>
      <c r="F3837" s="584">
        <v>4.4999999999999998E-2</v>
      </c>
      <c r="G3837" s="1343">
        <f t="shared" si="143"/>
        <v>0.87958115183246077</v>
      </c>
      <c r="H3837" s="1343" t="s">
        <v>1648</v>
      </c>
      <c r="I3837" s="1344" t="s">
        <v>3296</v>
      </c>
      <c r="J3837" s="1343">
        <v>1.44</v>
      </c>
      <c r="K3837" s="1343">
        <v>2</v>
      </c>
      <c r="L3837" s="1341">
        <f>INT(base[[#This Row],[Data de liquidação]])</f>
        <v>46256</v>
      </c>
      <c r="M3837" s="1343">
        <f>base[[#This Row],[L/P Bruto]]-base[[#This Row],[L/P Líquido]]</f>
        <v>3.9581151832460804E-2</v>
      </c>
      <c r="N3837" s="1343">
        <f>base[[#This Row],[L/P Líquido]]/base[[#This Row],[Stake/Responsabilidade]]</f>
        <v>0.42</v>
      </c>
      <c r="O3837" s="1345">
        <f>IF(base[[#This Row],[L/P Líquido]]&gt;0,1,0)</f>
        <v>1</v>
      </c>
      <c r="P3837" s="1345"/>
      <c r="Q3837" s="1345" t="str">
        <f>LEFT(base[[#This Row],[Evento / Mercado]],FIND("vs",base[[#This Row],[Evento / Mercado]])-2)</f>
        <v>Huachipato</v>
      </c>
      <c r="R383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5" t="str">
        <f>LEFT(base[[#This Row],[Evento / Mercado]],FIND("/",base[[#This Row],[Evento / Mercado]])-2)</f>
        <v>Huachipato vs Deportes Limache</v>
      </c>
      <c r="T3837" s="1346">
        <f>base[[#This Row],[Data de liquidação]]</f>
        <v>46256.802604166667</v>
      </c>
    </row>
    <row r="3838" spans="2:20" ht="15" customHeight="1" x14ac:dyDescent="0.25">
      <c r="B3838" s="1340" t="s">
        <v>4441</v>
      </c>
      <c r="C3838" s="860" t="s">
        <v>3515</v>
      </c>
      <c r="D3838" s="1341">
        <v>46256.833252314813</v>
      </c>
      <c r="E3838" s="1342">
        <v>-20</v>
      </c>
      <c r="F3838" s="584">
        <v>4.4999999999999998E-2</v>
      </c>
      <c r="G3838" s="1343">
        <f t="shared" si="143"/>
        <v>-20</v>
      </c>
      <c r="H3838" s="1168" t="s">
        <v>4253</v>
      </c>
      <c r="I3838" s="1323" t="s">
        <v>75</v>
      </c>
      <c r="J3838" s="1343">
        <v>1.38</v>
      </c>
      <c r="K3838" s="1343">
        <v>20</v>
      </c>
      <c r="L3838" s="1341">
        <f>INT(base[[#This Row],[Data de liquidação]])</f>
        <v>46256</v>
      </c>
      <c r="M3838" s="1343">
        <f>base[[#This Row],[L/P Bruto]]-base[[#This Row],[L/P Líquido]]</f>
        <v>0</v>
      </c>
      <c r="N3838" s="1343">
        <f>base[[#This Row],[L/P Líquido]]/base[[#This Row],[Stake/Responsabilidade]]</f>
        <v>-1</v>
      </c>
      <c r="O3838" s="1345">
        <f>IF(base[[#This Row],[L/P Líquido]]&gt;0,1,0)</f>
        <v>0</v>
      </c>
      <c r="P3838" s="1345"/>
      <c r="Q3838" s="1345" t="str">
        <f>LEFT(base[[#This Row],[Evento / Mercado]],FIND("vs",base[[#This Row],[Evento / Mercado]])-2)</f>
        <v>Deportes Tolima</v>
      </c>
      <c r="R3838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5" t="str">
        <f>LEFT(base[[#This Row],[Evento / Mercado]],FIND("/",base[[#This Row],[Evento / Mercado]])-2)</f>
        <v>Deportes Tolima vs Atlético Bucaramanga</v>
      </c>
      <c r="T3838" s="1346">
        <f>base[[#This Row],[Data de liquidação]]</f>
        <v>46256.833252314813</v>
      </c>
    </row>
    <row r="3839" spans="2:20" ht="15" customHeight="1" x14ac:dyDescent="0.25">
      <c r="B3839" s="1340" t="s">
        <v>4440</v>
      </c>
      <c r="C3839" s="860" t="s">
        <v>3515</v>
      </c>
      <c r="D3839" s="1341">
        <v>46256.838680555556</v>
      </c>
      <c r="E3839" s="1342">
        <v>21.97</v>
      </c>
      <c r="F3839" s="584">
        <v>4.4999999999999998E-2</v>
      </c>
      <c r="G3839" s="1343">
        <f t="shared" si="143"/>
        <v>23.005235602094242</v>
      </c>
      <c r="H3839" s="1343" t="s">
        <v>3297</v>
      </c>
      <c r="I3839" s="1344" t="s">
        <v>626</v>
      </c>
      <c r="J3839" s="1343">
        <v>22</v>
      </c>
      <c r="K3839" s="1343">
        <v>483</v>
      </c>
      <c r="L3839" s="1341">
        <f>INT(base[[#This Row],[Data de liquidação]])</f>
        <v>46256</v>
      </c>
      <c r="M3839" s="1343">
        <f>base[[#This Row],[L/P Bruto]]-base[[#This Row],[L/P Líquido]]</f>
        <v>1.035235602094243</v>
      </c>
      <c r="N3839" s="1343">
        <f>base[[#This Row],[L/P Líquido]]/base[[#This Row],[Stake/Responsabilidade]]</f>
        <v>4.548654244306418E-2</v>
      </c>
      <c r="O3839" s="1345">
        <f>IF(base[[#This Row],[L/P Líquido]]&gt;0,1,0)</f>
        <v>1</v>
      </c>
      <c r="P3839" s="1345"/>
      <c r="Q3839" s="1345" t="str">
        <f>LEFT(base[[#This Row],[Evento / Mercado]],FIND("vs",base[[#This Row],[Evento / Mercado]])-2)</f>
        <v>Club Aurora</v>
      </c>
      <c r="R3839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5" t="str">
        <f>LEFT(base[[#This Row],[Evento / Mercado]],FIND("/",base[[#This Row],[Evento / Mercado]])-2)</f>
        <v>Club Aurora vs Club Bamin Real Potosí</v>
      </c>
      <c r="T3839" s="1346">
        <f>base[[#This Row],[Data de liquidação]]</f>
        <v>46256.838680555556</v>
      </c>
    </row>
    <row r="3840" spans="2:20" ht="15" customHeight="1" x14ac:dyDescent="0.25">
      <c r="B3840" s="1340" t="s">
        <v>4439</v>
      </c>
      <c r="C3840" s="860" t="s">
        <v>3515</v>
      </c>
      <c r="D3840" s="1341">
        <v>46256.849548611113</v>
      </c>
      <c r="E3840" s="1342">
        <v>-20</v>
      </c>
      <c r="F3840" s="584">
        <v>4.4999999999999998E-2</v>
      </c>
      <c r="G3840" s="1343">
        <f t="shared" si="143"/>
        <v>-20</v>
      </c>
      <c r="H3840" s="1168" t="s">
        <v>4253</v>
      </c>
      <c r="I3840" s="1323" t="s">
        <v>75</v>
      </c>
      <c r="J3840" s="1343">
        <v>1.46</v>
      </c>
      <c r="K3840" s="1343">
        <v>20</v>
      </c>
      <c r="L3840" s="1341">
        <f>INT(base[[#This Row],[Data de liquidação]])</f>
        <v>46256</v>
      </c>
      <c r="M3840" s="1343">
        <f>base[[#This Row],[L/P Bruto]]-base[[#This Row],[L/P Líquido]]</f>
        <v>0</v>
      </c>
      <c r="N3840" s="1343">
        <f>base[[#This Row],[L/P Líquido]]/base[[#This Row],[Stake/Responsabilidade]]</f>
        <v>-1</v>
      </c>
      <c r="O3840" s="1345">
        <f>IF(base[[#This Row],[L/P Líquido]]&gt;0,1,0)</f>
        <v>0</v>
      </c>
      <c r="P3840" s="1345"/>
      <c r="Q3840" s="1345" t="str">
        <f>LEFT(base[[#This Row],[Evento / Mercado]],FIND("vs",base[[#This Row],[Evento / Mercado]])-2)</f>
        <v>Independiente</v>
      </c>
      <c r="R3840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5" t="str">
        <f>LEFT(base[[#This Row],[Evento / Mercado]],FIND("/",base[[#This Row],[Evento / Mercado]])-2)</f>
        <v>Independiente vs Independiente Rivadavia</v>
      </c>
      <c r="T3840" s="1346">
        <f>base[[#This Row],[Data de liquidação]]</f>
        <v>46256.849548611113</v>
      </c>
    </row>
    <row r="3841" spans="2:20" ht="15" customHeight="1" x14ac:dyDescent="0.25">
      <c r="B3841" s="1340" t="s">
        <v>4438</v>
      </c>
      <c r="C3841" s="860" t="s">
        <v>3515</v>
      </c>
      <c r="D3841" s="1341">
        <v>46256.906875000001</v>
      </c>
      <c r="E3841" s="1342">
        <v>95.5</v>
      </c>
      <c r="F3841" s="584">
        <v>4.4999999999999998E-2</v>
      </c>
      <c r="G3841" s="1343">
        <f t="shared" si="143"/>
        <v>100</v>
      </c>
      <c r="H3841" s="1343" t="s">
        <v>314</v>
      </c>
      <c r="I3841" s="1344" t="s">
        <v>349</v>
      </c>
      <c r="J3841" s="1343">
        <v>1.83</v>
      </c>
      <c r="K3841" s="1343">
        <v>120</v>
      </c>
      <c r="L3841" s="1341">
        <f>INT(base[[#This Row],[Data de liquidação]])</f>
        <v>46256</v>
      </c>
      <c r="M3841" s="1343">
        <f>base[[#This Row],[L/P Bruto]]-base[[#This Row],[L/P Líquido]]</f>
        <v>4.5</v>
      </c>
      <c r="N3841" s="1343">
        <f>base[[#This Row],[L/P Líquido]]/base[[#This Row],[Stake/Responsabilidade]]</f>
        <v>0.79583333333333328</v>
      </c>
      <c r="O3841" s="1345">
        <f>IF(base[[#This Row],[L/P Líquido]]&gt;0,1,0)</f>
        <v>1</v>
      </c>
      <c r="P3841" s="1345"/>
      <c r="Q3841" s="1345" t="str">
        <f>LEFT(base[[#This Row],[Evento / Mercado]],FIND("vs",base[[#This Row],[Evento / Mercado]])-2)</f>
        <v>Cruzeiro</v>
      </c>
      <c r="R3841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5" t="str">
        <f>LEFT(base[[#This Row],[Evento / Mercado]],FIND("/",base[[#This Row],[Evento / Mercado]])-2)</f>
        <v>Cruzeiro vs Flamengo</v>
      </c>
      <c r="T3841" s="1346">
        <f>base[[#This Row],[Data de liquidação]]</f>
        <v>46256.906875000001</v>
      </c>
    </row>
    <row r="3842" spans="2:20" ht="15" customHeight="1" x14ac:dyDescent="0.25">
      <c r="B3842" s="1340" t="s">
        <v>4437</v>
      </c>
      <c r="C3842" s="860" t="s">
        <v>3515</v>
      </c>
      <c r="D3842" s="1341">
        <v>46256.939074074071</v>
      </c>
      <c r="E3842" s="1342">
        <v>3.09</v>
      </c>
      <c r="F3842" s="584">
        <v>4.4999999999999998E-2</v>
      </c>
      <c r="G3842" s="1343">
        <f t="shared" si="143"/>
        <v>3.2356020942408379</v>
      </c>
      <c r="H3842" s="1343" t="s">
        <v>1648</v>
      </c>
      <c r="I3842" s="1344" t="s">
        <v>1739</v>
      </c>
      <c r="J3842" s="1343">
        <v>38</v>
      </c>
      <c r="K3842" s="1343">
        <v>119.88</v>
      </c>
      <c r="L3842" s="1341">
        <f>INT(base[[#This Row],[Data de liquidação]])</f>
        <v>46256</v>
      </c>
      <c r="M3842" s="1343">
        <f>base[[#This Row],[L/P Bruto]]-base[[#This Row],[L/P Líquido]]</f>
        <v>0.14560209424083803</v>
      </c>
      <c r="N3842" s="1343">
        <f>base[[#This Row],[L/P Líquido]]/base[[#This Row],[Stake/Responsabilidade]]</f>
        <v>2.5775775775775774E-2</v>
      </c>
      <c r="O3842" s="1345">
        <f>IF(base[[#This Row],[L/P Líquido]]&gt;0,1,0)</f>
        <v>1</v>
      </c>
      <c r="P3842" s="1345"/>
      <c r="Q3842" s="1345" t="str">
        <f>LEFT(base[[#This Row],[Evento / Mercado]],FIND("vs",base[[#This Row],[Evento / Mercado]])-2)</f>
        <v>FC Cincinnati</v>
      </c>
      <c r="R3842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5" t="str">
        <f>LEFT(base[[#This Row],[Evento / Mercado]],FIND("/",base[[#This Row],[Evento / Mercado]])-2)</f>
        <v>FC Cincinnati vs Seattle Sounders</v>
      </c>
      <c r="T3842" s="1346">
        <f>base[[#This Row],[Data de liquidação]]</f>
        <v>46256.939074074071</v>
      </c>
    </row>
    <row r="3843" spans="2:20" ht="15" customHeight="1" x14ac:dyDescent="0.25">
      <c r="B3843" s="1340" t="s">
        <v>4436</v>
      </c>
      <c r="C3843" s="860" t="s">
        <v>3515</v>
      </c>
      <c r="D3843" s="1341">
        <v>46256.940625000003</v>
      </c>
      <c r="E3843" s="1342">
        <v>24.02</v>
      </c>
      <c r="F3843" s="584">
        <v>4.4999999999999998E-2</v>
      </c>
      <c r="G3843" s="1343">
        <f t="shared" si="143"/>
        <v>25.151832460732987</v>
      </c>
      <c r="H3843" s="1343" t="s">
        <v>3297</v>
      </c>
      <c r="I3843" s="1344" t="s">
        <v>626</v>
      </c>
      <c r="J3843" s="1343">
        <v>21</v>
      </c>
      <c r="K3843" s="1343">
        <f>396.95+106</f>
        <v>502.95</v>
      </c>
      <c r="L3843" s="1341">
        <f>INT(base[[#This Row],[Data de liquidação]])</f>
        <v>46256</v>
      </c>
      <c r="M3843" s="1343">
        <f>base[[#This Row],[L/P Bruto]]-base[[#This Row],[L/P Líquido]]</f>
        <v>1.131832460732987</v>
      </c>
      <c r="N3843" s="1343">
        <f>base[[#This Row],[L/P Líquido]]/base[[#This Row],[Stake/Responsabilidade]]</f>
        <v>4.7758226463863206E-2</v>
      </c>
      <c r="O3843" s="1345">
        <f>IF(base[[#This Row],[L/P Líquido]]&gt;0,1,0)</f>
        <v>1</v>
      </c>
      <c r="P3843" s="1345"/>
      <c r="Q3843" s="1345" t="str">
        <f>LEFT(base[[#This Row],[Evento / Mercado]],FIND("vs",base[[#This Row],[Evento / Mercado]])-2)</f>
        <v>Charlotte FC</v>
      </c>
      <c r="R3843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5" t="str">
        <f>LEFT(base[[#This Row],[Evento / Mercado]],FIND("/",base[[#This Row],[Evento / Mercado]])-2)</f>
        <v>Charlotte FC vs DC United</v>
      </c>
      <c r="T3843" s="1346">
        <f>base[[#This Row],[Data de liquidação]]</f>
        <v>46256.940625000003</v>
      </c>
    </row>
    <row r="3844" spans="2:20" ht="15" customHeight="1" x14ac:dyDescent="0.25">
      <c r="B3844" s="1340" t="s">
        <v>4435</v>
      </c>
      <c r="C3844" s="860" t="s">
        <v>3515</v>
      </c>
      <c r="D3844" s="1341">
        <v>46256.9452662037</v>
      </c>
      <c r="E3844" s="1342">
        <v>-399.98</v>
      </c>
      <c r="F3844" s="584">
        <v>4.4999999999999998E-2</v>
      </c>
      <c r="G3844" s="1343">
        <f t="shared" si="143"/>
        <v>-399.98</v>
      </c>
      <c r="H3844" s="1343" t="s">
        <v>3370</v>
      </c>
      <c r="I3844" s="1344" t="s">
        <v>391</v>
      </c>
      <c r="J3844" s="1343">
        <v>8.8000000000000007</v>
      </c>
      <c r="K3844" s="1343">
        <v>399.98</v>
      </c>
      <c r="L3844" s="1341">
        <f>INT(base[[#This Row],[Data de liquidação]])</f>
        <v>46256</v>
      </c>
      <c r="M3844" s="1343">
        <f>base[[#This Row],[L/P Bruto]]-base[[#This Row],[L/P Líquido]]</f>
        <v>0</v>
      </c>
      <c r="N3844" s="1343">
        <f>base[[#This Row],[L/P Líquido]]/base[[#This Row],[Stake/Responsabilidade]]</f>
        <v>-1</v>
      </c>
      <c r="O3844" s="1345">
        <f>IF(base[[#This Row],[L/P Líquido]]&gt;0,1,0)</f>
        <v>0</v>
      </c>
      <c r="P3844" s="1347" t="s">
        <v>1439</v>
      </c>
      <c r="Q3844" s="1345" t="str">
        <f>LEFT(base[[#This Row],[Evento / Mercado]],FIND("vs",base[[#This Row],[Evento / Mercado]])-2)</f>
        <v>Inter Miami CF</v>
      </c>
      <c r="R3844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5" t="str">
        <f>LEFT(base[[#This Row],[Evento / Mercado]],FIND("/",base[[#This Row],[Evento / Mercado]])-2)</f>
        <v>Inter Miami CF vs Toronto FC</v>
      </c>
      <c r="T3844" s="1346">
        <f>base[[#This Row],[Data de liquidação]]</f>
        <v>46256.9452662037</v>
      </c>
    </row>
    <row r="3845" spans="2:20" ht="15" customHeight="1" x14ac:dyDescent="0.25">
      <c r="B3845" s="1340" t="s">
        <v>4434</v>
      </c>
      <c r="C3845" s="860" t="s">
        <v>3515</v>
      </c>
      <c r="D3845" s="1341">
        <v>46256.986111111109</v>
      </c>
      <c r="E3845" s="1342">
        <v>20.82</v>
      </c>
      <c r="F3845" s="584">
        <v>4.4999999999999998E-2</v>
      </c>
      <c r="G3845" s="1343">
        <f t="shared" si="143"/>
        <v>21.801047120418851</v>
      </c>
      <c r="H3845" s="1343" t="s">
        <v>74</v>
      </c>
      <c r="I3845" s="1344" t="s">
        <v>626</v>
      </c>
      <c r="J3845" s="1343">
        <v>21</v>
      </c>
      <c r="K3845" s="1343">
        <v>436</v>
      </c>
      <c r="L3845" s="1341">
        <f>INT(base[[#This Row],[Data de liquidação]])</f>
        <v>46256</v>
      </c>
      <c r="M3845" s="1343">
        <f>base[[#This Row],[L/P Bruto]]-base[[#This Row],[L/P Líquido]]</f>
        <v>0.98104712041885023</v>
      </c>
      <c r="N3845" s="1343">
        <f>base[[#This Row],[L/P Líquido]]/base[[#This Row],[Stake/Responsabilidade]]</f>
        <v>4.775229357798165E-2</v>
      </c>
      <c r="O3845" s="1345">
        <f>IF(base[[#This Row],[L/P Líquido]]&gt;0,1,0)</f>
        <v>1</v>
      </c>
      <c r="P3845" s="1345"/>
      <c r="Q3845" s="1345" t="str">
        <f>LEFT(base[[#This Row],[Evento / Mercado]],FIND("vs",base[[#This Row],[Evento / Mercado]])-2)</f>
        <v>Nashville Soccer Club</v>
      </c>
      <c r="R3845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5" t="str">
        <f>LEFT(base[[#This Row],[Evento / Mercado]],FIND("/",base[[#This Row],[Evento / Mercado]])-2)</f>
        <v>Nashville Soccer Club vs Columbus Crew</v>
      </c>
      <c r="T3845" s="1346">
        <f>base[[#This Row],[Data de liquidação]]</f>
        <v>46256.986111111109</v>
      </c>
    </row>
    <row r="3846" spans="2:20" ht="15" customHeight="1" x14ac:dyDescent="0.25">
      <c r="B3846" s="1340" t="s">
        <v>4466</v>
      </c>
      <c r="C3846" s="860" t="s">
        <v>3515</v>
      </c>
      <c r="D3846" s="1341">
        <v>46257.028136574074</v>
      </c>
      <c r="E3846" s="1342">
        <v>13.17</v>
      </c>
      <c r="F3846" s="584">
        <v>4.4999999999999998E-2</v>
      </c>
      <c r="G3846" s="1343">
        <f t="shared" si="143"/>
        <v>13.790575916230367</v>
      </c>
      <c r="H3846" s="1343" t="s">
        <v>3297</v>
      </c>
      <c r="I3846" s="1344" t="s">
        <v>626</v>
      </c>
      <c r="J3846" s="1343">
        <v>30</v>
      </c>
      <c r="K3846" s="1343">
        <v>399.91</v>
      </c>
      <c r="L3846" s="1341">
        <f>INT(base[[#This Row],[Data de liquidação]])</f>
        <v>46257</v>
      </c>
      <c r="M3846" s="1343">
        <f>base[[#This Row],[L/P Bruto]]-base[[#This Row],[L/P Líquido]]</f>
        <v>0.62057591623036679</v>
      </c>
      <c r="N3846" s="1343">
        <f>base[[#This Row],[L/P Líquido]]/base[[#This Row],[Stake/Responsabilidade]]</f>
        <v>3.2932409792203243E-2</v>
      </c>
      <c r="O3846" s="1345">
        <f>IF(base[[#This Row],[L/P Líquido]]&gt;0,1,0)</f>
        <v>1</v>
      </c>
      <c r="P3846" s="1345"/>
      <c r="Q3846" s="1345" t="str">
        <f>LEFT(base[[#This Row],[Evento / Mercado]],FIND("vs",base[[#This Row],[Evento / Mercado]])-2)</f>
        <v>Vancouver Whitecaps</v>
      </c>
      <c r="R3846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5" t="str">
        <f>LEFT(base[[#This Row],[Evento / Mercado]],FIND("/",base[[#This Row],[Evento / Mercado]])-2)</f>
        <v>Vancouver Whitecaps vs FC Dallas</v>
      </c>
      <c r="T3846" s="1346">
        <f>base[[#This Row],[Data de liquidação]]</f>
        <v>46257.028136574074</v>
      </c>
    </row>
    <row r="3847" spans="2:20" ht="15" customHeight="1" x14ac:dyDescent="0.25">
      <c r="B3847" s="1340" t="s">
        <v>4465</v>
      </c>
      <c r="C3847" s="860" t="s">
        <v>3515</v>
      </c>
      <c r="D3847" s="1341">
        <v>46257.066134259258</v>
      </c>
      <c r="E3847" s="1342">
        <v>13.65</v>
      </c>
      <c r="F3847" s="584">
        <v>4.4999999999999998E-2</v>
      </c>
      <c r="G3847" s="1343">
        <f t="shared" si="143"/>
        <v>14.293193717277488</v>
      </c>
      <c r="H3847" s="1343" t="s">
        <v>3297</v>
      </c>
      <c r="I3847" s="1344" t="s">
        <v>626</v>
      </c>
      <c r="J3847" s="1343">
        <v>29</v>
      </c>
      <c r="K3847" s="1343">
        <v>400.12</v>
      </c>
      <c r="L3847" s="1341">
        <f>INT(base[[#This Row],[Data de liquidação]])</f>
        <v>46257</v>
      </c>
      <c r="M3847" s="1343">
        <f>base[[#This Row],[L/P Bruto]]-base[[#This Row],[L/P Líquido]]</f>
        <v>0.64319371727748731</v>
      </c>
      <c r="N3847" s="1343">
        <f>base[[#This Row],[L/P Líquido]]/base[[#This Row],[Stake/Responsabilidade]]</f>
        <v>3.41147655703289E-2</v>
      </c>
      <c r="O3847" s="1345">
        <f>IF(base[[#This Row],[L/P Líquido]]&gt;0,1,0)</f>
        <v>1</v>
      </c>
      <c r="P3847" s="1345"/>
      <c r="Q3847" s="1345" t="str">
        <f>LEFT(base[[#This Row],[Evento / Mercado]],FIND("vs",base[[#This Row],[Evento / Mercado]])-2)</f>
        <v>Los Angeles FC</v>
      </c>
      <c r="R3847" s="13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5" t="str">
        <f>LEFT(base[[#This Row],[Evento / Mercado]],FIND("/",base[[#This Row],[Evento / Mercado]])-2)</f>
        <v>Los Angeles FC vs Portland Timbers</v>
      </c>
      <c r="T3847" s="1346">
        <f>base[[#This Row],[Data de liquidação]]</f>
        <v>46257.066134259258</v>
      </c>
    </row>
    <row r="3848" spans="2:20" ht="15" customHeight="1" x14ac:dyDescent="0.25">
      <c r="B3848" s="1372" t="s">
        <v>4515</v>
      </c>
      <c r="C3848" s="860" t="s">
        <v>3515</v>
      </c>
      <c r="D3848" s="1373">
        <v>46257.370879629627</v>
      </c>
      <c r="E3848" s="1374">
        <v>7.43</v>
      </c>
      <c r="F3848" s="584">
        <v>4.4999999999999998E-2</v>
      </c>
      <c r="G3848" s="1375">
        <f t="shared" ref="G3848:G3886" si="144">IF(E3848&gt;0,E3848/(1-F3848),E3848)</f>
        <v>7.7801047120418847</v>
      </c>
      <c r="H3848" s="1343" t="s">
        <v>1648</v>
      </c>
      <c r="I3848" s="1376" t="s">
        <v>2919</v>
      </c>
      <c r="J3848" s="1375">
        <v>10.5</v>
      </c>
      <c r="K3848" s="1375">
        <v>73.91</v>
      </c>
      <c r="L3848" s="1373">
        <f>INT(base[[#This Row],[Data de liquidação]])</f>
        <v>46257</v>
      </c>
      <c r="M3848" s="1375">
        <f>base[[#This Row],[L/P Bruto]]-base[[#This Row],[L/P Líquido]]</f>
        <v>0.35010471204188498</v>
      </c>
      <c r="N3848" s="1375">
        <f>base[[#This Row],[L/P Líquido]]/base[[#This Row],[Stake/Responsabilidade]]</f>
        <v>0.1005276687863618</v>
      </c>
      <c r="O3848" s="1377">
        <f>IF(base[[#This Row],[L/P Líquido]]&gt;0,1,0)</f>
        <v>1</v>
      </c>
      <c r="P3848" s="1377"/>
      <c r="Q3848" s="1377" t="str">
        <f>LEFT(base[[#This Row],[Evento / Mercado]],FIND("vs",base[[#This Row],[Evento / Mercado]])-2)</f>
        <v>SønderjyskE</v>
      </c>
      <c r="R3848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77" t="str">
        <f>LEFT(base[[#This Row],[Evento / Mercado]],FIND("/",base[[#This Row],[Evento / Mercado]])-2)</f>
        <v>SønderjyskE vs FC Nordsjælland</v>
      </c>
      <c r="T3848" s="1378">
        <f>base[[#This Row],[Data de liquidação]]</f>
        <v>46257.370879629627</v>
      </c>
    </row>
    <row r="3849" spans="2:20" ht="15" customHeight="1" x14ac:dyDescent="0.25">
      <c r="B3849" s="1372" t="s">
        <v>4514</v>
      </c>
      <c r="C3849" s="860" t="s">
        <v>3515</v>
      </c>
      <c r="D3849" s="1373">
        <v>46257.434374999997</v>
      </c>
      <c r="E3849" s="1374">
        <v>10.51</v>
      </c>
      <c r="F3849" s="584">
        <v>4.4999999999999998E-2</v>
      </c>
      <c r="G3849" s="1375">
        <f t="shared" si="144"/>
        <v>11.005235602094242</v>
      </c>
      <c r="H3849" s="1343" t="s">
        <v>1648</v>
      </c>
      <c r="I3849" s="1376" t="s">
        <v>2277</v>
      </c>
      <c r="J3849" s="1375">
        <v>1.55</v>
      </c>
      <c r="K3849" s="1375">
        <v>20</v>
      </c>
      <c r="L3849" s="1373">
        <f>INT(base[[#This Row],[Data de liquidação]])</f>
        <v>46257</v>
      </c>
      <c r="M3849" s="1375">
        <f>base[[#This Row],[L/P Bruto]]-base[[#This Row],[L/P Líquido]]</f>
        <v>0.49523560209424211</v>
      </c>
      <c r="N3849" s="1375">
        <f>base[[#This Row],[L/P Líquido]]/base[[#This Row],[Stake/Responsabilidade]]</f>
        <v>0.52549999999999997</v>
      </c>
      <c r="O3849" s="1377">
        <f>IF(base[[#This Row],[L/P Líquido]]&gt;0,1,0)</f>
        <v>1</v>
      </c>
      <c r="P3849" s="1377"/>
      <c r="Q3849" s="1377" t="str">
        <f>LEFT(base[[#This Row],[Evento / Mercado]],FIND("vs",base[[#This Row],[Evento / Mercado]])-2)</f>
        <v>Chongqing Tonglianglong</v>
      </c>
      <c r="R3849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77" t="str">
        <f>LEFT(base[[#This Row],[Evento / Mercado]],FIND("/",base[[#This Row],[Evento / Mercado]])-2)</f>
        <v>Chongqing Tonglianglong vs Dalian Yingbo</v>
      </c>
      <c r="T3849" s="1378">
        <f>base[[#This Row],[Data de liquidação]]</f>
        <v>46257.434374999997</v>
      </c>
    </row>
    <row r="3850" spans="2:20" ht="15" customHeight="1" x14ac:dyDescent="0.25">
      <c r="B3850" s="1372" t="s">
        <v>4513</v>
      </c>
      <c r="C3850" s="860" t="s">
        <v>3515</v>
      </c>
      <c r="D3850" s="1373">
        <v>46257.439733796295</v>
      </c>
      <c r="E3850" s="1374">
        <v>6.82</v>
      </c>
      <c r="F3850" s="584">
        <v>4.4999999999999998E-2</v>
      </c>
      <c r="G3850" s="1375">
        <f t="shared" si="144"/>
        <v>7.1413612565445028</v>
      </c>
      <c r="H3850" s="1168" t="s">
        <v>4253</v>
      </c>
      <c r="I3850" s="1376" t="s">
        <v>3217</v>
      </c>
      <c r="J3850" s="1375">
        <v>1.36</v>
      </c>
      <c r="K3850" s="1375">
        <v>19.84</v>
      </c>
      <c r="L3850" s="1373">
        <f>INT(base[[#This Row],[Data de liquidação]])</f>
        <v>46257</v>
      </c>
      <c r="M3850" s="1375">
        <f>base[[#This Row],[L/P Bruto]]-base[[#This Row],[L/P Líquido]]</f>
        <v>0.32136125654450254</v>
      </c>
      <c r="N3850" s="1375">
        <f>base[[#This Row],[L/P Líquido]]/base[[#This Row],[Stake/Responsabilidade]]</f>
        <v>0.34375</v>
      </c>
      <c r="O3850" s="1377">
        <f>IF(base[[#This Row],[L/P Líquido]]&gt;0,1,0)</f>
        <v>1</v>
      </c>
      <c r="P3850" s="1377"/>
      <c r="Q3850" s="1377" t="str">
        <f>LEFT(base[[#This Row],[Evento / Mercado]],FIND("vs",base[[#This Row],[Evento / Mercado]])-2)</f>
        <v>HJK Helsinki</v>
      </c>
      <c r="R3850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77" t="str">
        <f>LEFT(base[[#This Row],[Evento / Mercado]],FIND("/",base[[#This Row],[Evento / Mercado]])-2)</f>
        <v>HJK Helsinki vs IF Gnistan</v>
      </c>
      <c r="T3850" s="1378">
        <f>base[[#This Row],[Data de liquidação]]</f>
        <v>46257.439733796295</v>
      </c>
    </row>
    <row r="3851" spans="2:20" ht="15" customHeight="1" x14ac:dyDescent="0.25">
      <c r="B3851" s="1372" t="s">
        <v>4512</v>
      </c>
      <c r="C3851" s="860" t="s">
        <v>3515</v>
      </c>
      <c r="D3851" s="1373">
        <v>46257.452245370368</v>
      </c>
      <c r="E3851" s="1374">
        <v>4.24</v>
      </c>
      <c r="F3851" s="584">
        <v>4.4999999999999998E-2</v>
      </c>
      <c r="G3851" s="1375">
        <f t="shared" si="144"/>
        <v>4.4397905759162306</v>
      </c>
      <c r="H3851" s="1343" t="s">
        <v>1648</v>
      </c>
      <c r="I3851" s="1376" t="s">
        <v>1739</v>
      </c>
      <c r="J3851" s="1375">
        <v>29</v>
      </c>
      <c r="K3851" s="1375">
        <v>124.32</v>
      </c>
      <c r="L3851" s="1373">
        <f>INT(base[[#This Row],[Data de liquidação]])</f>
        <v>46257</v>
      </c>
      <c r="M3851" s="1375">
        <f>base[[#This Row],[L/P Bruto]]-base[[#This Row],[L/P Líquido]]</f>
        <v>0.1997905759162304</v>
      </c>
      <c r="N3851" s="1375">
        <f>base[[#This Row],[L/P Líquido]]/base[[#This Row],[Stake/Responsabilidade]]</f>
        <v>3.4105534105534109E-2</v>
      </c>
      <c r="O3851" s="1377">
        <f>IF(base[[#This Row],[L/P Líquido]]&gt;0,1,0)</f>
        <v>1</v>
      </c>
      <c r="P3851" s="1377"/>
      <c r="Q3851" s="1377" t="str">
        <f>LEFT(base[[#This Row],[Evento / Mercado]],FIND("vs",base[[#This Row],[Evento / Mercado]])-2)</f>
        <v>IFK Göteborg</v>
      </c>
      <c r="R3851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77" t="str">
        <f>LEFT(base[[#This Row],[Evento / Mercado]],FIND("/",base[[#This Row],[Evento / Mercado]])-2)</f>
        <v>IFK Göteborg vs IF Elfsborg</v>
      </c>
      <c r="T3851" s="1378">
        <f>base[[#This Row],[Data de liquidação]]</f>
        <v>46257.452245370368</v>
      </c>
    </row>
    <row r="3852" spans="2:20" ht="15" customHeight="1" x14ac:dyDescent="0.25">
      <c r="B3852" s="1372" t="s">
        <v>4511</v>
      </c>
      <c r="C3852" s="860" t="s">
        <v>3515</v>
      </c>
      <c r="D3852" s="1373">
        <v>46257.475983796299</v>
      </c>
      <c r="E3852" s="1374">
        <v>40.11</v>
      </c>
      <c r="F3852" s="584">
        <v>4.4999999999999998E-2</v>
      </c>
      <c r="G3852" s="1375">
        <f t="shared" si="144"/>
        <v>42</v>
      </c>
      <c r="H3852" s="1375" t="s">
        <v>3370</v>
      </c>
      <c r="I3852" s="1376" t="s">
        <v>391</v>
      </c>
      <c r="J3852" s="1375">
        <f>(380*10.5+20*11)/base[[#This Row],[Stake/Responsabilidade]]</f>
        <v>10.525</v>
      </c>
      <c r="K3852" s="1375">
        <v>400</v>
      </c>
      <c r="L3852" s="1373">
        <f>INT(base[[#This Row],[Data de liquidação]])</f>
        <v>46257</v>
      </c>
      <c r="M3852" s="1375">
        <f>base[[#This Row],[L/P Bruto]]-base[[#This Row],[L/P Líquido]]</f>
        <v>1.8900000000000006</v>
      </c>
      <c r="N3852" s="1375">
        <f>base[[#This Row],[L/P Líquido]]/base[[#This Row],[Stake/Responsabilidade]]</f>
        <v>0.100275</v>
      </c>
      <c r="O3852" s="1377">
        <f>IF(base[[#This Row],[L/P Líquido]]&gt;0,1,0)</f>
        <v>1</v>
      </c>
      <c r="P3852" s="1377" t="s">
        <v>1204</v>
      </c>
      <c r="Q3852" s="1377" t="str">
        <f>LEFT(base[[#This Row],[Evento / Mercado]],FIND("vs",base[[#This Row],[Evento / Mercado]])-2)</f>
        <v>PSV Eindhoven</v>
      </c>
      <c r="R3852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77" t="str">
        <f>LEFT(base[[#This Row],[Evento / Mercado]],FIND("/",base[[#This Row],[Evento / Mercado]])-2)</f>
        <v>PSV Eindhoven vs FC Groningen</v>
      </c>
      <c r="T3852" s="1378">
        <f>base[[#This Row],[Data de liquidação]]</f>
        <v>46257.475983796299</v>
      </c>
    </row>
    <row r="3853" spans="2:20" ht="15" customHeight="1" x14ac:dyDescent="0.25">
      <c r="B3853" s="1372" t="s">
        <v>4510</v>
      </c>
      <c r="C3853" s="860" t="s">
        <v>3515</v>
      </c>
      <c r="D3853" s="1373">
        <v>46257.490173611113</v>
      </c>
      <c r="E3853" s="1374">
        <v>80.22</v>
      </c>
      <c r="F3853" s="584">
        <v>4.4999999999999998E-2</v>
      </c>
      <c r="G3853" s="1375">
        <f t="shared" si="144"/>
        <v>84</v>
      </c>
      <c r="H3853" s="1375" t="s">
        <v>314</v>
      </c>
      <c r="I3853" s="1376" t="s">
        <v>349</v>
      </c>
      <c r="J3853" s="1375">
        <v>1.7</v>
      </c>
      <c r="K3853" s="1375">
        <v>120</v>
      </c>
      <c r="L3853" s="1373">
        <f>INT(base[[#This Row],[Data de liquidação]])</f>
        <v>46257</v>
      </c>
      <c r="M3853" s="1375">
        <f>base[[#This Row],[L/P Bruto]]-base[[#This Row],[L/P Líquido]]</f>
        <v>3.7800000000000011</v>
      </c>
      <c r="N3853" s="1375">
        <f>base[[#This Row],[L/P Líquido]]/base[[#This Row],[Stake/Responsabilidade]]</f>
        <v>0.66849999999999998</v>
      </c>
      <c r="O3853" s="1377">
        <f>IF(base[[#This Row],[L/P Líquido]]&gt;0,1,0)</f>
        <v>1</v>
      </c>
      <c r="P3853" s="1377"/>
      <c r="Q3853" s="1377" t="str">
        <f>LEFT(base[[#This Row],[Evento / Mercado]],FIND("vs",base[[#This Row],[Evento / Mercado]])-2)</f>
        <v>Manchester City</v>
      </c>
      <c r="R3853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77" t="str">
        <f>LEFT(base[[#This Row],[Evento / Mercado]],FIND("/",base[[#This Row],[Evento / Mercado]])-2)</f>
        <v>Manchester City vs AFC Bournemouth</v>
      </c>
      <c r="T3853" s="1378">
        <f>base[[#This Row],[Data de liquidação]]</f>
        <v>46257.490173611113</v>
      </c>
    </row>
    <row r="3854" spans="2:20" ht="15" customHeight="1" x14ac:dyDescent="0.25">
      <c r="B3854" s="1372" t="s">
        <v>4509</v>
      </c>
      <c r="C3854" s="860" t="s">
        <v>3515</v>
      </c>
      <c r="D3854" s="1373">
        <v>46257.556527777779</v>
      </c>
      <c r="E3854" s="1374">
        <v>14.35</v>
      </c>
      <c r="F3854" s="584">
        <v>4.4999999999999998E-2</v>
      </c>
      <c r="G3854" s="1375">
        <f t="shared" si="144"/>
        <v>15.026178010471204</v>
      </c>
      <c r="H3854" s="1375" t="s">
        <v>3297</v>
      </c>
      <c r="I3854" s="1376" t="s">
        <v>626</v>
      </c>
      <c r="J3854" s="1375">
        <v>38</v>
      </c>
      <c r="K3854" s="1375">
        <v>556.11</v>
      </c>
      <c r="L3854" s="1373">
        <f>INT(base[[#This Row],[Data de liquidação]])</f>
        <v>46257</v>
      </c>
      <c r="M3854" s="1375">
        <f>base[[#This Row],[L/P Bruto]]-base[[#This Row],[L/P Líquido]]</f>
        <v>0.67617801047120452</v>
      </c>
      <c r="N3854" s="1375">
        <f>base[[#This Row],[L/P Líquido]]/base[[#This Row],[Stake/Responsabilidade]]</f>
        <v>2.5804247361133587E-2</v>
      </c>
      <c r="O3854" s="1377">
        <f>IF(base[[#This Row],[L/P Líquido]]&gt;0,1,0)</f>
        <v>1</v>
      </c>
      <c r="P3854" s="1377"/>
      <c r="Q3854" s="1377" t="str">
        <f>LEFT(base[[#This Row],[Evento / Mercado]],FIND("vs",base[[#This Row],[Evento / Mercado]])-2)</f>
        <v>Hammarby IF</v>
      </c>
      <c r="R3854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77" t="str">
        <f>LEFT(base[[#This Row],[Evento / Mercado]],FIND("/",base[[#This Row],[Evento / Mercado]])-2)</f>
        <v>Hammarby IF vs GAIS</v>
      </c>
      <c r="T3854" s="1378">
        <f>base[[#This Row],[Data de liquidação]]</f>
        <v>46257.556527777779</v>
      </c>
    </row>
    <row r="3855" spans="2:20" ht="15" customHeight="1" x14ac:dyDescent="0.25">
      <c r="B3855" s="1372" t="s">
        <v>4508</v>
      </c>
      <c r="C3855" s="860" t="s">
        <v>3515</v>
      </c>
      <c r="D3855" s="1373">
        <v>46257.556793981479</v>
      </c>
      <c r="E3855" s="1374">
        <v>-20</v>
      </c>
      <c r="F3855" s="584">
        <v>4.4999999999999998E-2</v>
      </c>
      <c r="G3855" s="1375">
        <f t="shared" si="144"/>
        <v>-20</v>
      </c>
      <c r="H3855" s="1375" t="s">
        <v>4253</v>
      </c>
      <c r="I3855" s="1376" t="s">
        <v>3586</v>
      </c>
      <c r="J3855" s="1375">
        <v>1.26</v>
      </c>
      <c r="K3855" s="1375">
        <v>20</v>
      </c>
      <c r="L3855" s="1373">
        <f>INT(base[[#This Row],[Data de liquidação]])</f>
        <v>46257</v>
      </c>
      <c r="M3855" s="1375">
        <f>base[[#This Row],[L/P Bruto]]-base[[#This Row],[L/P Líquido]]</f>
        <v>0</v>
      </c>
      <c r="N3855" s="1375">
        <f>base[[#This Row],[L/P Líquido]]/base[[#This Row],[Stake/Responsabilidade]]</f>
        <v>-1</v>
      </c>
      <c r="O3855" s="1377">
        <f>IF(base[[#This Row],[L/P Líquido]]&gt;0,1,0)</f>
        <v>0</v>
      </c>
      <c r="P3855" s="1377"/>
      <c r="Q3855" s="1377" t="str">
        <f>LEFT(base[[#This Row],[Evento / Mercado]],FIND("vs",base[[#This Row],[Evento / Mercado]])-2)</f>
        <v>Hammarby IF</v>
      </c>
      <c r="R3855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77" t="str">
        <f>LEFT(base[[#This Row],[Evento / Mercado]],FIND("/",base[[#This Row],[Evento / Mercado]])-2)</f>
        <v>Hammarby IF vs GAIS</v>
      </c>
      <c r="T3855" s="1378">
        <f>base[[#This Row],[Data de liquidação]]</f>
        <v>46257.556793981479</v>
      </c>
    </row>
    <row r="3856" spans="2:20" ht="15" customHeight="1" x14ac:dyDescent="0.25">
      <c r="B3856" s="1372" t="s">
        <v>4507</v>
      </c>
      <c r="C3856" s="860" t="s">
        <v>3515</v>
      </c>
      <c r="D3856" s="1373">
        <v>46257.557627314818</v>
      </c>
      <c r="E3856" s="1374">
        <v>26.53</v>
      </c>
      <c r="F3856" s="584">
        <v>4.4999999999999998E-2</v>
      </c>
      <c r="G3856" s="1375">
        <f t="shared" si="144"/>
        <v>27.780104712041886</v>
      </c>
      <c r="H3856" s="1375" t="s">
        <v>4320</v>
      </c>
      <c r="I3856" s="1376"/>
      <c r="J3856" s="1375">
        <v>8.1999999999999993</v>
      </c>
      <c r="K3856" s="1375">
        <v>200.02</v>
      </c>
      <c r="L3856" s="1373">
        <f>INT(base[[#This Row],[Data de liquidação]])</f>
        <v>46257</v>
      </c>
      <c r="M3856" s="1375">
        <f>base[[#This Row],[L/P Bruto]]-base[[#This Row],[L/P Líquido]]</f>
        <v>1.2501047120418853</v>
      </c>
      <c r="N3856" s="1375">
        <f>base[[#This Row],[L/P Líquido]]/base[[#This Row],[Stake/Responsabilidade]]</f>
        <v>0.13263673632636735</v>
      </c>
      <c r="O3856" s="1377">
        <f>IF(base[[#This Row],[L/P Líquido]]&gt;0,1,0)</f>
        <v>1</v>
      </c>
      <c r="P3856" s="1377"/>
      <c r="Q3856" s="1377" t="str">
        <f>LEFT(base[[#This Row],[Evento / Mercado]],FIND("vs",base[[#This Row],[Evento / Mercado]])-2)</f>
        <v>Hammarby IF</v>
      </c>
      <c r="R3856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77" t="str">
        <f>LEFT(base[[#This Row],[Evento / Mercado]],FIND("/",base[[#This Row],[Evento / Mercado]])-2)</f>
        <v>Hammarby IF vs GAIS</v>
      </c>
      <c r="T3856" s="1378">
        <f>base[[#This Row],[Data de liquidação]]</f>
        <v>46257.557627314818</v>
      </c>
    </row>
    <row r="3857" spans="2:22" ht="15" customHeight="1" x14ac:dyDescent="0.25">
      <c r="B3857" s="1372" t="s">
        <v>4506</v>
      </c>
      <c r="C3857" s="860" t="s">
        <v>3515</v>
      </c>
      <c r="D3857" s="1373">
        <v>46257.564016203702</v>
      </c>
      <c r="E3857" s="1374">
        <v>81.39</v>
      </c>
      <c r="F3857" s="584">
        <v>4.4999999999999998E-2</v>
      </c>
      <c r="G3857" s="1375">
        <f t="shared" si="144"/>
        <v>85.225130890052355</v>
      </c>
      <c r="H3857" s="1375" t="s">
        <v>314</v>
      </c>
      <c r="I3857" s="1376" t="s">
        <v>349</v>
      </c>
      <c r="J3857" s="1375">
        <v>1.71</v>
      </c>
      <c r="K3857" s="1375">
        <v>120</v>
      </c>
      <c r="L3857" s="1373">
        <f>INT(base[[#This Row],[Data de liquidação]])</f>
        <v>46257</v>
      </c>
      <c r="M3857" s="1375">
        <f>base[[#This Row],[L/P Bruto]]-base[[#This Row],[L/P Líquido]]</f>
        <v>3.8351308900523549</v>
      </c>
      <c r="N3857" s="1375">
        <f>base[[#This Row],[L/P Líquido]]/base[[#This Row],[Stake/Responsabilidade]]</f>
        <v>0.67825000000000002</v>
      </c>
      <c r="O3857" s="1377">
        <f>IF(base[[#This Row],[L/P Líquido]]&gt;0,1,0)</f>
        <v>1</v>
      </c>
      <c r="P3857" s="1377"/>
      <c r="Q3857" s="1377" t="str">
        <f>LEFT(base[[#This Row],[Evento / Mercado]],FIND("vs",base[[#This Row],[Evento / Mercado]])-2)</f>
        <v>Atlético de Madrid</v>
      </c>
      <c r="R3857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77" t="str">
        <f>LEFT(base[[#This Row],[Evento / Mercado]],FIND("/",base[[#This Row],[Evento / Mercado]])-2)</f>
        <v>Atlético de Madrid vs Villarreal</v>
      </c>
      <c r="T3857" s="1378">
        <f>base[[#This Row],[Data de liquidação]]</f>
        <v>46257.564016203702</v>
      </c>
    </row>
    <row r="3858" spans="2:22" ht="15" customHeight="1" x14ac:dyDescent="0.25">
      <c r="B3858" s="1372" t="s">
        <v>4505</v>
      </c>
      <c r="C3858" s="860" t="s">
        <v>3515</v>
      </c>
      <c r="D3858" s="1373">
        <v>46257.580891203703</v>
      </c>
      <c r="E3858" s="1374">
        <v>-20</v>
      </c>
      <c r="F3858" s="584">
        <v>4.4999999999999998E-2</v>
      </c>
      <c r="G3858" s="1375">
        <f t="shared" si="144"/>
        <v>-20</v>
      </c>
      <c r="H3858" s="1375" t="s">
        <v>4253</v>
      </c>
      <c r="I3858" s="1376" t="s">
        <v>75</v>
      </c>
      <c r="J3858" s="1375">
        <v>1.35</v>
      </c>
      <c r="K3858" s="1375">
        <v>20</v>
      </c>
      <c r="L3858" s="1373">
        <f>INT(base[[#This Row],[Data de liquidação]])</f>
        <v>46257</v>
      </c>
      <c r="M3858" s="1375">
        <f>base[[#This Row],[L/P Bruto]]-base[[#This Row],[L/P Líquido]]</f>
        <v>0</v>
      </c>
      <c r="N3858" s="1375">
        <f>base[[#This Row],[L/P Líquido]]/base[[#This Row],[Stake/Responsabilidade]]</f>
        <v>-1</v>
      </c>
      <c r="O3858" s="1377">
        <f>IF(base[[#This Row],[L/P Líquido]]&gt;0,1,0)</f>
        <v>0</v>
      </c>
      <c r="P3858" s="1377"/>
      <c r="Q3858" s="1377" t="str">
        <f>LEFT(base[[#This Row],[Evento / Mercado]],FIND("vs",base[[#This Row],[Evento / Mercado]])-2)</f>
        <v>TPS</v>
      </c>
      <c r="R3858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77" t="str">
        <f>LEFT(base[[#This Row],[Evento / Mercado]],FIND("/",base[[#This Row],[Evento / Mercado]])-2)</f>
        <v>TPS vs FC Inter Turku</v>
      </c>
      <c r="T3858" s="1378">
        <f>base[[#This Row],[Data de liquidação]]</f>
        <v>46257.580891203703</v>
      </c>
    </row>
    <row r="3859" spans="2:22" ht="15" customHeight="1" x14ac:dyDescent="0.25">
      <c r="B3859" s="1372" t="s">
        <v>4504</v>
      </c>
      <c r="C3859" s="860" t="s">
        <v>3515</v>
      </c>
      <c r="D3859" s="1373">
        <v>46257.600289351853</v>
      </c>
      <c r="E3859" s="1374">
        <v>5.73</v>
      </c>
      <c r="F3859" s="584">
        <v>4.4999999999999998E-2</v>
      </c>
      <c r="G3859" s="1375">
        <f t="shared" si="144"/>
        <v>6.0000000000000009</v>
      </c>
      <c r="H3859" s="1375" t="s">
        <v>1648</v>
      </c>
      <c r="I3859" s="1376" t="s">
        <v>1739</v>
      </c>
      <c r="J3859" s="1375">
        <v>20</v>
      </c>
      <c r="K3859" s="1375">
        <v>114</v>
      </c>
      <c r="L3859" s="1373">
        <f>INT(base[[#This Row],[Data de liquidação]])</f>
        <v>46257</v>
      </c>
      <c r="M3859" s="1375">
        <f>base[[#This Row],[L/P Bruto]]-base[[#This Row],[L/P Líquido]]</f>
        <v>0.27000000000000046</v>
      </c>
      <c r="N3859" s="1375">
        <f>base[[#This Row],[L/P Líquido]]/base[[#This Row],[Stake/Responsabilidade]]</f>
        <v>5.0263157894736843E-2</v>
      </c>
      <c r="O3859" s="1377">
        <f>IF(base[[#This Row],[L/P Líquido]]&gt;0,1,0)</f>
        <v>1</v>
      </c>
      <c r="P3859" s="1377"/>
      <c r="Q3859" s="1377" t="str">
        <f>LEFT(base[[#This Row],[Evento / Mercado]],FIND("vs",base[[#This Row],[Evento / Mercado]])-2)</f>
        <v>Györi ETO FC</v>
      </c>
      <c r="R3859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77" t="str">
        <f>LEFT(base[[#This Row],[Evento / Mercado]],FIND("/",base[[#This Row],[Evento / Mercado]])-2)</f>
        <v>Györi ETO FC vs Zalaegerszegi TE</v>
      </c>
      <c r="T3859" s="1378">
        <f>base[[#This Row],[Data de liquidação]]</f>
        <v>46257.600289351853</v>
      </c>
    </row>
    <row r="3860" spans="2:22" ht="15" customHeight="1" x14ac:dyDescent="0.25">
      <c r="B3860" s="1372" t="s">
        <v>4503</v>
      </c>
      <c r="C3860" s="860" t="s">
        <v>3515</v>
      </c>
      <c r="D3860" s="1373">
        <v>46257.645208333335</v>
      </c>
      <c r="E3860" s="1374">
        <v>33.619999999999997</v>
      </c>
      <c r="F3860" s="584">
        <v>4.4999999999999998E-2</v>
      </c>
      <c r="G3860" s="1375">
        <f t="shared" si="144"/>
        <v>35.204188481675395</v>
      </c>
      <c r="H3860" s="1375" t="s">
        <v>3370</v>
      </c>
      <c r="I3860" s="1376" t="s">
        <v>391</v>
      </c>
      <c r="J3860" s="1375">
        <v>13.5</v>
      </c>
      <c r="K3860" s="1375">
        <v>440</v>
      </c>
      <c r="L3860" s="1373">
        <f>INT(base[[#This Row],[Data de liquidação]])</f>
        <v>46257</v>
      </c>
      <c r="M3860" s="1375">
        <f>base[[#This Row],[L/P Bruto]]-base[[#This Row],[L/P Líquido]]</f>
        <v>1.5841884816753975</v>
      </c>
      <c r="N3860" s="1375">
        <f>base[[#This Row],[L/P Líquido]]/base[[#This Row],[Stake/Responsabilidade]]</f>
        <v>7.6409090909090899E-2</v>
      </c>
      <c r="O3860" s="1377">
        <f>IF(base[[#This Row],[L/P Líquido]]&gt;0,1,0)</f>
        <v>1</v>
      </c>
      <c r="P3860" s="1377" t="s">
        <v>1597</v>
      </c>
      <c r="Q3860" s="1377" t="str">
        <f>LEFT(base[[#This Row],[Evento / Mercado]],FIND("vs",base[[#This Row],[Evento / Mercado]])-2)</f>
        <v>Club Brugge</v>
      </c>
      <c r="R3860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77" t="str">
        <f>LEFT(base[[#This Row],[Evento / Mercado]],FIND("/",base[[#This Row],[Evento / Mercado]])-2)</f>
        <v>Club Brugge vs Cercle Brugge</v>
      </c>
      <c r="T3860" s="1378">
        <f>base[[#This Row],[Data de liquidação]]</f>
        <v>46257.645208333335</v>
      </c>
    </row>
    <row r="3861" spans="2:22" ht="15" customHeight="1" x14ac:dyDescent="0.25">
      <c r="B3861" s="1372" t="s">
        <v>4502</v>
      </c>
      <c r="C3861" s="860" t="s">
        <v>3515</v>
      </c>
      <c r="D3861" s="1373">
        <v>46257.660196759258</v>
      </c>
      <c r="E3861" s="1374">
        <v>21.73</v>
      </c>
      <c r="F3861" s="584">
        <v>4.4999999999999998E-2</v>
      </c>
      <c r="G3861" s="1375">
        <f t="shared" si="144"/>
        <v>22.753926701570681</v>
      </c>
      <c r="H3861" s="1375" t="s">
        <v>74</v>
      </c>
      <c r="I3861" s="1376" t="s">
        <v>626</v>
      </c>
      <c r="J3861" s="1375">
        <v>21</v>
      </c>
      <c r="K3861" s="1375">
        <v>455</v>
      </c>
      <c r="L3861" s="1373">
        <f>INT(base[[#This Row],[Data de liquidação]])</f>
        <v>46257</v>
      </c>
      <c r="M3861" s="1375">
        <f>base[[#This Row],[L/P Bruto]]-base[[#This Row],[L/P Líquido]]</f>
        <v>1.0239267015706801</v>
      </c>
      <c r="N3861" s="1375">
        <f>base[[#This Row],[L/P Líquido]]/base[[#This Row],[Stake/Responsabilidade]]</f>
        <v>4.7758241758241761E-2</v>
      </c>
      <c r="O3861" s="1377">
        <f>IF(base[[#This Row],[L/P Líquido]]&gt;0,1,0)</f>
        <v>1</v>
      </c>
      <c r="P3861" s="1377"/>
      <c r="Q3861" s="1377" t="str">
        <f>LEFT(base[[#This Row],[Evento / Mercado]],FIND("vs",base[[#This Row],[Evento / Mercado]])-2)</f>
        <v>Keflavik IF</v>
      </c>
      <c r="R3861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77" t="str">
        <f>LEFT(base[[#This Row],[Evento / Mercado]],FIND("/",base[[#This Row],[Evento / Mercado]])-2)</f>
        <v>Keflavik IF vs ÍB Vestmannaeyja</v>
      </c>
      <c r="T3861" s="1378">
        <f>base[[#This Row],[Data de liquidação]]</f>
        <v>46257.660196759258</v>
      </c>
    </row>
    <row r="3862" spans="2:22" ht="15" customHeight="1" x14ac:dyDescent="0.25">
      <c r="B3862" s="1372" t="s">
        <v>4501</v>
      </c>
      <c r="C3862" s="860" t="s">
        <v>3515</v>
      </c>
      <c r="D3862" s="1373">
        <v>46257.66300925926</v>
      </c>
      <c r="E3862" s="1374">
        <v>11.58</v>
      </c>
      <c r="F3862" s="584">
        <v>4.4999999999999998E-2</v>
      </c>
      <c r="G3862" s="1375">
        <f t="shared" si="144"/>
        <v>12.125654450261781</v>
      </c>
      <c r="H3862" s="1375" t="s">
        <v>3297</v>
      </c>
      <c r="I3862" s="1376" t="s">
        <v>626</v>
      </c>
      <c r="J3862" s="1375">
        <v>48</v>
      </c>
      <c r="K3862" s="1375">
        <v>570.11</v>
      </c>
      <c r="L3862" s="1373">
        <f>INT(base[[#This Row],[Data de liquidação]])</f>
        <v>46257</v>
      </c>
      <c r="M3862" s="1375">
        <f>base[[#This Row],[L/P Bruto]]-base[[#This Row],[L/P Líquido]]</f>
        <v>0.54565445026178061</v>
      </c>
      <c r="N3862" s="1375">
        <f>base[[#This Row],[L/P Líquido]]/base[[#This Row],[Stake/Responsabilidade]]</f>
        <v>2.0311869639192435E-2</v>
      </c>
      <c r="O3862" s="1377">
        <f>IF(base[[#This Row],[L/P Líquido]]&gt;0,1,0)</f>
        <v>1</v>
      </c>
      <c r="P3862" s="1377"/>
      <c r="Q3862" s="1377" t="str">
        <f>LEFT(base[[#This Row],[Evento / Mercado]],FIND("vs",base[[#This Row],[Evento / Mercado]])-2)</f>
        <v>KA Akureyrar</v>
      </c>
      <c r="R3862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77" t="str">
        <f>LEFT(base[[#This Row],[Evento / Mercado]],FIND("/",base[[#This Row],[Evento / Mercado]])-2)</f>
        <v>KA Akureyrar vs KR Reykjavik</v>
      </c>
      <c r="T3862" s="1378">
        <f>base[[#This Row],[Data de liquidação]]</f>
        <v>46257.66300925926</v>
      </c>
    </row>
    <row r="3863" spans="2:22" ht="15" customHeight="1" x14ac:dyDescent="0.25">
      <c r="B3863" s="1372" t="s">
        <v>4500</v>
      </c>
      <c r="C3863" s="860" t="s">
        <v>3515</v>
      </c>
      <c r="D3863" s="1373">
        <v>46257.663831018515</v>
      </c>
      <c r="E3863" s="1374">
        <v>-20</v>
      </c>
      <c r="F3863" s="584">
        <v>4.4999999999999998E-2</v>
      </c>
      <c r="G3863" s="1375">
        <f t="shared" si="144"/>
        <v>-20</v>
      </c>
      <c r="H3863" s="1375" t="s">
        <v>1648</v>
      </c>
      <c r="I3863" s="1376" t="s">
        <v>2277</v>
      </c>
      <c r="J3863" s="1375">
        <v>1.52</v>
      </c>
      <c r="K3863" s="1375">
        <v>20</v>
      </c>
      <c r="L3863" s="1373">
        <f>INT(base[[#This Row],[Data de liquidação]])</f>
        <v>46257</v>
      </c>
      <c r="M3863" s="1375">
        <f>base[[#This Row],[L/P Bruto]]-base[[#This Row],[L/P Líquido]]</f>
        <v>0</v>
      </c>
      <c r="N3863" s="1375">
        <f>base[[#This Row],[L/P Líquido]]/base[[#This Row],[Stake/Responsabilidade]]</f>
        <v>-1</v>
      </c>
      <c r="O3863" s="1377">
        <f>IF(base[[#This Row],[L/P Líquido]]&gt;0,1,0)</f>
        <v>0</v>
      </c>
      <c r="P3863" s="1377"/>
      <c r="Q3863" s="1377" t="str">
        <f>LEFT(base[[#This Row],[Evento / Mercado]],FIND("vs",base[[#This Row],[Evento / Mercado]])-2)</f>
        <v>CD Castellon</v>
      </c>
      <c r="R3863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77" t="str">
        <f>LEFT(base[[#This Row],[Evento / Mercado]],FIND("/",base[[#This Row],[Evento / Mercado]])-2)</f>
        <v>CD Castellon vs Sabadell</v>
      </c>
      <c r="T3863" s="1378">
        <f>base[[#This Row],[Data de liquidação]]</f>
        <v>46257.663831018515</v>
      </c>
    </row>
    <row r="3864" spans="2:22" ht="15" customHeight="1" x14ac:dyDescent="0.25">
      <c r="B3864" s="1372" t="s">
        <v>4499</v>
      </c>
      <c r="C3864" s="860" t="s">
        <v>3515</v>
      </c>
      <c r="D3864" s="1373">
        <v>46257.665243055555</v>
      </c>
      <c r="E3864" s="1374">
        <v>18.89</v>
      </c>
      <c r="F3864" s="584">
        <v>4.4999999999999998E-2</v>
      </c>
      <c r="G3864" s="1375">
        <f t="shared" si="144"/>
        <v>19.780104712041886</v>
      </c>
      <c r="H3864" s="1375" t="s">
        <v>74</v>
      </c>
      <c r="I3864" s="1376" t="s">
        <v>626</v>
      </c>
      <c r="J3864" s="1375">
        <v>24</v>
      </c>
      <c r="K3864" s="1375">
        <v>454.94</v>
      </c>
      <c r="L3864" s="1373">
        <f>INT(base[[#This Row],[Data de liquidação]])</f>
        <v>46257</v>
      </c>
      <c r="M3864" s="1375">
        <f>base[[#This Row],[L/P Bruto]]-base[[#This Row],[L/P Líquido]]</f>
        <v>0.8901047120418859</v>
      </c>
      <c r="N3864" s="1375">
        <f>base[[#This Row],[L/P Líquido]]/base[[#This Row],[Stake/Responsabilidade]]</f>
        <v>4.1521958939640391E-2</v>
      </c>
      <c r="O3864" s="1377">
        <f>IF(base[[#This Row],[L/P Líquido]]&gt;0,1,0)</f>
        <v>1</v>
      </c>
      <c r="P3864" s="1377"/>
      <c r="Q3864" s="1377" t="str">
        <f>LEFT(base[[#This Row],[Evento / Mercado]],FIND("vs",base[[#This Row],[Evento / Mercado]])-2)</f>
        <v>IA Akranes</v>
      </c>
      <c r="R3864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77" t="str">
        <f>LEFT(base[[#This Row],[Evento / Mercado]],FIND("/",base[[#This Row],[Evento / Mercado]])-2)</f>
        <v>IA Akranes vs FH Hafnarfjördur</v>
      </c>
      <c r="T3864" s="1378">
        <f>base[[#This Row],[Data de liquidação]]</f>
        <v>46257.665243055555</v>
      </c>
    </row>
    <row r="3865" spans="2:22" ht="15" customHeight="1" x14ac:dyDescent="0.25">
      <c r="B3865" s="1372" t="s">
        <v>4498</v>
      </c>
      <c r="C3865" s="860" t="s">
        <v>3515</v>
      </c>
      <c r="D3865" s="1373">
        <v>46257.703726851854</v>
      </c>
      <c r="E3865" s="1374">
        <v>19.36</v>
      </c>
      <c r="F3865" s="584">
        <v>4.4999999999999998E-2</v>
      </c>
      <c r="G3865" s="1375">
        <f t="shared" si="144"/>
        <v>20.272251308900525</v>
      </c>
      <c r="H3865" s="1375" t="s">
        <v>3234</v>
      </c>
      <c r="I3865" s="1376" t="s">
        <v>626</v>
      </c>
      <c r="J3865" s="1375">
        <f>(99.96*11.5+99.97*14+24.48*9)/base[[#This Row],[Stake/Responsabilidade]]</f>
        <v>12.340983022146963</v>
      </c>
      <c r="K3865" s="1375">
        <f>99.96+99.97+24.48</f>
        <v>224.41</v>
      </c>
      <c r="L3865" s="1373">
        <f>INT(base[[#This Row],[Data de liquidação]])</f>
        <v>46257</v>
      </c>
      <c r="M3865" s="1375">
        <f>base[[#This Row],[L/P Bruto]]-base[[#This Row],[L/P Líquido]]</f>
        <v>0.91225130890052597</v>
      </c>
      <c r="N3865" s="1375">
        <f>base[[#This Row],[L/P Líquido]]/base[[#This Row],[Stake/Responsabilidade]]</f>
        <v>8.6270665300120314E-2</v>
      </c>
      <c r="O3865" s="1377">
        <f>IF(base[[#This Row],[L/P Líquido]]&gt;0,1,0)</f>
        <v>1</v>
      </c>
      <c r="P3865" s="1377"/>
      <c r="Q3865" s="1377" t="str">
        <f>LEFT(base[[#This Row],[Evento / Mercado]],FIND("vs",base[[#This Row],[Evento / Mercado]])-2)</f>
        <v>SK Sigma Olomouc</v>
      </c>
      <c r="R3865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77" t="str">
        <f>LEFT(base[[#This Row],[Evento / Mercado]],FIND("/",base[[#This Row],[Evento / Mercado]])-2)</f>
        <v>SK Sigma Olomouc vs FK Pardubice</v>
      </c>
      <c r="T3865" s="1378">
        <f>base[[#This Row],[Data de liquidação]]</f>
        <v>46257.703726851854</v>
      </c>
    </row>
    <row r="3866" spans="2:22" ht="15" customHeight="1" x14ac:dyDescent="0.25">
      <c r="B3866" s="1372" t="s">
        <v>4497</v>
      </c>
      <c r="C3866" s="860" t="s">
        <v>3515</v>
      </c>
      <c r="D3866" s="1373">
        <v>46257.726006944446</v>
      </c>
      <c r="E3866" s="1374">
        <v>-70.02</v>
      </c>
      <c r="F3866" s="584">
        <v>4.4999999999999998E-2</v>
      </c>
      <c r="G3866" s="1375">
        <f t="shared" si="144"/>
        <v>-70.02</v>
      </c>
      <c r="H3866" s="1375" t="s">
        <v>1648</v>
      </c>
      <c r="I3866" s="1376" t="s">
        <v>2919</v>
      </c>
      <c r="J3866" s="1375">
        <v>10</v>
      </c>
      <c r="K3866" s="1375">
        <v>70.02</v>
      </c>
      <c r="L3866" s="1373">
        <f>INT(base[[#This Row],[Data de liquidação]])</f>
        <v>46257</v>
      </c>
      <c r="M3866" s="1375">
        <f>base[[#This Row],[L/P Bruto]]-base[[#This Row],[L/P Líquido]]</f>
        <v>0</v>
      </c>
      <c r="N3866" s="1375">
        <f>base[[#This Row],[L/P Líquido]]/base[[#This Row],[Stake/Responsabilidade]]</f>
        <v>-1</v>
      </c>
      <c r="O3866" s="1377">
        <f>IF(base[[#This Row],[L/P Líquido]]&gt;0,1,0)</f>
        <v>0</v>
      </c>
      <c r="P3866" s="1377"/>
      <c r="Q3866" s="1377" t="str">
        <f>LEFT(base[[#This Row],[Evento / Mercado]],FIND("vs",base[[#This Row],[Evento / Mercado]])-2)</f>
        <v>CFR Cluj</v>
      </c>
      <c r="R3866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77" t="str">
        <f>LEFT(base[[#This Row],[Evento / Mercado]],FIND("/",base[[#This Row],[Evento / Mercado]])-2)</f>
        <v>CFR Cluj vs FC FCSB</v>
      </c>
      <c r="T3866" s="1378">
        <f>base[[#This Row],[Data de liquidação]]</f>
        <v>46257.726006944446</v>
      </c>
    </row>
    <row r="3867" spans="2:22" ht="15" customHeight="1" x14ac:dyDescent="0.25">
      <c r="B3867" s="1372" t="s">
        <v>4496</v>
      </c>
      <c r="C3867" s="860" t="s">
        <v>3515</v>
      </c>
      <c r="D3867" s="1373">
        <v>46257.72855324074</v>
      </c>
      <c r="E3867" s="1374">
        <v>7.64</v>
      </c>
      <c r="F3867" s="584">
        <v>4.4999999999999998E-2</v>
      </c>
      <c r="G3867" s="1375">
        <f t="shared" si="144"/>
        <v>8</v>
      </c>
      <c r="H3867" s="1375" t="s">
        <v>4253</v>
      </c>
      <c r="I3867" s="1376" t="s">
        <v>75</v>
      </c>
      <c r="J3867" s="1375">
        <v>1.4</v>
      </c>
      <c r="K3867" s="1375">
        <v>20</v>
      </c>
      <c r="L3867" s="1373">
        <f>INT(base[[#This Row],[Data de liquidação]])</f>
        <v>46257</v>
      </c>
      <c r="M3867" s="1375">
        <f>base[[#This Row],[L/P Bruto]]-base[[#This Row],[L/P Líquido]]</f>
        <v>0.36000000000000032</v>
      </c>
      <c r="N3867" s="1375">
        <f>base[[#This Row],[L/P Líquido]]/base[[#This Row],[Stake/Responsabilidade]]</f>
        <v>0.38200000000000001</v>
      </c>
      <c r="O3867" s="1377">
        <f>IF(base[[#This Row],[L/P Líquido]]&gt;0,1,0)</f>
        <v>1</v>
      </c>
      <c r="P3867" s="1377"/>
      <c r="Q3867" s="1377" t="str">
        <f>LEFT(base[[#This Row],[Evento / Mercado]],FIND("vs",base[[#This Row],[Evento / Mercado]])-2)</f>
        <v>EC Vitória</v>
      </c>
      <c r="R3867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77" t="str">
        <f>LEFT(base[[#This Row],[Evento / Mercado]],FIND("/",base[[#This Row],[Evento / Mercado]])-2)</f>
        <v>EC Vitória vs Esporte Clube Bahia</v>
      </c>
      <c r="T3867" s="1378">
        <f>base[[#This Row],[Data de liquidação]]</f>
        <v>46257.72855324074</v>
      </c>
    </row>
    <row r="3868" spans="2:22" ht="15" customHeight="1" x14ac:dyDescent="0.25">
      <c r="B3868" s="1372" t="s">
        <v>4495</v>
      </c>
      <c r="C3868" s="860" t="s">
        <v>3515</v>
      </c>
      <c r="D3868" s="1373">
        <v>46257.745694444442</v>
      </c>
      <c r="E3868" s="1374">
        <v>3.28</v>
      </c>
      <c r="F3868" s="584">
        <v>4.4999999999999998E-2</v>
      </c>
      <c r="G3868" s="1375">
        <f t="shared" si="144"/>
        <v>3.4345549738219896</v>
      </c>
      <c r="H3868" s="1375" t="s">
        <v>1648</v>
      </c>
      <c r="I3868" s="1376" t="s">
        <v>1739</v>
      </c>
      <c r="J3868" s="1375">
        <v>38</v>
      </c>
      <c r="K3868" s="1375">
        <v>126.91</v>
      </c>
      <c r="L3868" s="1373">
        <f>INT(base[[#This Row],[Data de liquidação]])</f>
        <v>46257</v>
      </c>
      <c r="M3868" s="1375">
        <f>base[[#This Row],[L/P Bruto]]-base[[#This Row],[L/P Líquido]]</f>
        <v>0.15455497382198979</v>
      </c>
      <c r="N3868" s="1375">
        <f>base[[#This Row],[L/P Líquido]]/base[[#This Row],[Stake/Responsabilidade]]</f>
        <v>2.5845087069576864E-2</v>
      </c>
      <c r="O3868" s="1377">
        <f>IF(base[[#This Row],[L/P Líquido]]&gt;0,1,0)</f>
        <v>1</v>
      </c>
      <c r="P3868" s="1377"/>
      <c r="Q3868" s="1377" t="str">
        <f>LEFT(base[[#This Row],[Evento / Mercado]],FIND("vs",base[[#This Row],[Evento / Mercado]])-2)</f>
        <v>São Bernardo FC</v>
      </c>
      <c r="R3868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77" t="str">
        <f>LEFT(base[[#This Row],[Evento / Mercado]],FIND("/",base[[#This Row],[Evento / Mercado]])-2)</f>
        <v>São Bernardo FC vs Clube Náutico Capibaribe</v>
      </c>
      <c r="T3868" s="1378">
        <f>base[[#This Row],[Data de liquidação]]</f>
        <v>46257.745694444442</v>
      </c>
    </row>
    <row r="3869" spans="2:22" ht="15" customHeight="1" x14ac:dyDescent="0.25">
      <c r="B3869" s="1372" t="s">
        <v>4494</v>
      </c>
      <c r="C3869" s="860" t="s">
        <v>3515</v>
      </c>
      <c r="D3869" s="1373">
        <v>46257.746249999997</v>
      </c>
      <c r="E3869" s="1374">
        <v>22.280149999999999</v>
      </c>
      <c r="F3869" s="584">
        <v>4.4999999999999998E-2</v>
      </c>
      <c r="G3869" s="1375">
        <f t="shared" si="144"/>
        <v>23.33</v>
      </c>
      <c r="H3869" s="1375" t="s">
        <v>150</v>
      </c>
      <c r="I3869" s="1376" t="s">
        <v>626</v>
      </c>
      <c r="J3869" s="1375">
        <v>19</v>
      </c>
      <c r="K3869" s="1375">
        <v>419.94</v>
      </c>
      <c r="L3869" s="1373">
        <f>INT(base[[#This Row],[Data de liquidação]])</f>
        <v>46257</v>
      </c>
      <c r="M3869" s="1375">
        <f>base[[#This Row],[L/P Bruto]]-base[[#This Row],[L/P Líquido]]</f>
        <v>1.0498499999999993</v>
      </c>
      <c r="N3869" s="1375">
        <f>base[[#This Row],[L/P Líquido]]/base[[#This Row],[Stake/Responsabilidade]]</f>
        <v>5.305555555555555E-2</v>
      </c>
      <c r="O3869" s="1377">
        <f>IF(base[[#This Row],[L/P Líquido]]&gt;0,1,0)</f>
        <v>1</v>
      </c>
      <c r="P3869" s="1377"/>
      <c r="Q3869" s="1377" t="str">
        <f>LEFT(base[[#This Row],[Evento / Mercado]],FIND("vs",base[[#This Row],[Evento / Mercado]])-2)</f>
        <v>Palmeiras</v>
      </c>
      <c r="R3869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77" t="str">
        <f>LEFT(base[[#This Row],[Evento / Mercado]],FIND("/",base[[#This Row],[Evento / Mercado]])-2)</f>
        <v>Palmeiras vs Vasco da Gama</v>
      </c>
      <c r="T3869" s="1378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 x14ac:dyDescent="0.25">
      <c r="B3870" s="1372" t="s">
        <v>4494</v>
      </c>
      <c r="C3870" s="860" t="s">
        <v>3515</v>
      </c>
      <c r="D3870" s="1373">
        <v>46257.746249999997</v>
      </c>
      <c r="E3870" s="1374">
        <v>23.2256</v>
      </c>
      <c r="F3870" s="584">
        <v>4.4999999999999998E-2</v>
      </c>
      <c r="G3870" s="1375">
        <f t="shared" ref="G3870" si="146">IF(E3870&gt;0,E3870/(1-F3870),E3870)</f>
        <v>24.32</v>
      </c>
      <c r="H3870" s="1375" t="s">
        <v>3234</v>
      </c>
      <c r="I3870" s="1376" t="s">
        <v>626</v>
      </c>
      <c r="J3870" s="1375">
        <v>19.5</v>
      </c>
      <c r="K3870" s="1375">
        <f>429.94+19.98</f>
        <v>449.92</v>
      </c>
      <c r="L3870" s="1373">
        <f>INT(base[[#This Row],[Data de liquidação]])</f>
        <v>46257</v>
      </c>
      <c r="M3870" s="1375">
        <f>base[[#This Row],[L/P Bruto]]-base[[#This Row],[L/P Líquido]]</f>
        <v>1.0944000000000003</v>
      </c>
      <c r="N3870" s="1375">
        <f>base[[#This Row],[L/P Líquido]]/base[[#This Row],[Stake/Responsabilidade]]</f>
        <v>5.1621621621621622E-2</v>
      </c>
      <c r="O3870" s="1377">
        <f>IF(base[[#This Row],[L/P Líquido]]&gt;0,1,0)</f>
        <v>1</v>
      </c>
      <c r="P3870" s="1377"/>
      <c r="Q3870" s="1377" t="str">
        <f>LEFT(base[[#This Row],[Evento / Mercado]],FIND("vs",base[[#This Row],[Evento / Mercado]])-2)</f>
        <v>Palmeiras</v>
      </c>
      <c r="R3870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77" t="str">
        <f>LEFT(base[[#This Row],[Evento / Mercado]],FIND("/",base[[#This Row],[Evento / Mercado]])-2)</f>
        <v>Palmeiras vs Vasco da Gama</v>
      </c>
      <c r="T3870" s="1378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 x14ac:dyDescent="0.25">
      <c r="B3871" s="1372" t="s">
        <v>4493</v>
      </c>
      <c r="C3871" s="860" t="s">
        <v>3515</v>
      </c>
      <c r="D3871" s="1373">
        <v>46257.746319444443</v>
      </c>
      <c r="E3871" s="1374">
        <v>7.43</v>
      </c>
      <c r="F3871" s="584">
        <v>4.4999999999999998E-2</v>
      </c>
      <c r="G3871" s="1375">
        <f t="shared" si="144"/>
        <v>7.7801047120418847</v>
      </c>
      <c r="H3871" s="1375" t="s">
        <v>1648</v>
      </c>
      <c r="I3871" s="1376" t="s">
        <v>2919</v>
      </c>
      <c r="J3871" s="1375">
        <v>10</v>
      </c>
      <c r="K3871" s="1375">
        <v>70.02</v>
      </c>
      <c r="L3871" s="1373">
        <f>INT(base[[#This Row],[Data de liquidação]])</f>
        <v>46257</v>
      </c>
      <c r="M3871" s="1375">
        <f>base[[#This Row],[L/P Bruto]]-base[[#This Row],[L/P Líquido]]</f>
        <v>0.35010471204188498</v>
      </c>
      <c r="N3871" s="1375">
        <f>base[[#This Row],[L/P Líquido]]/base[[#This Row],[Stake/Responsabilidade]]</f>
        <v>0.106112539274493</v>
      </c>
      <c r="O3871" s="1377">
        <f>IF(base[[#This Row],[L/P Líquido]]&gt;0,1,0)</f>
        <v>1</v>
      </c>
      <c r="P3871" s="1377"/>
      <c r="Q3871" s="1377" t="str">
        <f>LEFT(base[[#This Row],[Evento / Mercado]],FIND("vs",base[[#This Row],[Evento / Mercado]])-2)</f>
        <v>Atlética Ponte Preta</v>
      </c>
      <c r="R3871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77" t="str">
        <f>LEFT(base[[#This Row],[Evento / Mercado]],FIND("/",base[[#This Row],[Evento / Mercado]])-2)</f>
        <v>Atlética Ponte Preta vs Avaí FC</v>
      </c>
      <c r="T3871" s="1378">
        <f>base[[#This Row],[Data de liquidação]]</f>
        <v>46257.746319444443</v>
      </c>
    </row>
    <row r="3872" spans="2:22" ht="15" customHeight="1" x14ac:dyDescent="0.25">
      <c r="B3872" s="1372" t="s">
        <v>4492</v>
      </c>
      <c r="C3872" s="860" t="s">
        <v>3515</v>
      </c>
      <c r="D3872" s="1373">
        <v>46257.746412037035</v>
      </c>
      <c r="E3872" s="1374">
        <v>78.63</v>
      </c>
      <c r="F3872" s="584">
        <v>4.4999999999999998E-2</v>
      </c>
      <c r="G3872" s="1375">
        <f t="shared" si="144"/>
        <v>82.33507853403141</v>
      </c>
      <c r="H3872" s="1375" t="s">
        <v>179</v>
      </c>
      <c r="I3872" s="1376" t="s">
        <v>391</v>
      </c>
      <c r="J3872" s="1375">
        <f>(439.99*6.8+34.99*6.4)/base[[#This Row],[Stake/Responsabilidade]]</f>
        <v>6.7705334961472055</v>
      </c>
      <c r="K3872" s="1375">
        <f>439.99+34.99</f>
        <v>474.98</v>
      </c>
      <c r="L3872" s="1373">
        <f>INT(base[[#This Row],[Data de liquidação]])</f>
        <v>46257</v>
      </c>
      <c r="M3872" s="1375">
        <f>base[[#This Row],[L/P Bruto]]-base[[#This Row],[L/P Líquido]]</f>
        <v>3.705078534031415</v>
      </c>
      <c r="N3872" s="1375">
        <f>base[[#This Row],[L/P Líquido]]/base[[#This Row],[Stake/Responsabilidade]]</f>
        <v>0.16554381237104718</v>
      </c>
      <c r="O3872" s="1377">
        <f>IF(base[[#This Row],[L/P Líquido]]&gt;0,1,0)</f>
        <v>1</v>
      </c>
      <c r="P3872" s="1347" t="s">
        <v>1360</v>
      </c>
      <c r="Q3872" s="1377" t="str">
        <f>LEFT(base[[#This Row],[Evento / Mercado]],FIND("vs",base[[#This Row],[Evento / Mercado]])-2)</f>
        <v>Palmeiras</v>
      </c>
      <c r="R3872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77" t="str">
        <f>LEFT(base[[#This Row],[Evento / Mercado]],FIND("/",base[[#This Row],[Evento / Mercado]])-2)</f>
        <v>Palmeiras vs Vasco da Gama</v>
      </c>
      <c r="T3872" s="1378">
        <f>base[[#This Row],[Data de liquidação]]</f>
        <v>46257.746412037035</v>
      </c>
    </row>
    <row r="3873" spans="2:20" ht="15" customHeight="1" x14ac:dyDescent="0.25">
      <c r="B3873" s="1372" t="s">
        <v>4491</v>
      </c>
      <c r="C3873" s="860" t="s">
        <v>3515</v>
      </c>
      <c r="D3873" s="1373">
        <v>46257.748923611114</v>
      </c>
      <c r="E3873" s="1374">
        <v>6.69</v>
      </c>
      <c r="F3873" s="584">
        <v>4.4999999999999998E-2</v>
      </c>
      <c r="G3873" s="1375">
        <f t="shared" si="144"/>
        <v>7.0052356020942419</v>
      </c>
      <c r="H3873" s="1375" t="s">
        <v>4253</v>
      </c>
      <c r="I3873" s="1376" t="s">
        <v>75</v>
      </c>
      <c r="J3873" s="1375">
        <v>1.35</v>
      </c>
      <c r="K3873" s="1375">
        <v>20</v>
      </c>
      <c r="L3873" s="1373">
        <f>INT(base[[#This Row],[Data de liquidação]])</f>
        <v>46257</v>
      </c>
      <c r="M3873" s="1375">
        <f>base[[#This Row],[L/P Bruto]]-base[[#This Row],[L/P Líquido]]</f>
        <v>0.31523560209424151</v>
      </c>
      <c r="N3873" s="1375">
        <f>base[[#This Row],[L/P Líquido]]/base[[#This Row],[Stake/Responsabilidade]]</f>
        <v>0.33450000000000002</v>
      </c>
      <c r="O3873" s="1377">
        <f>IF(base[[#This Row],[L/P Líquido]]&gt;0,1,0)</f>
        <v>1</v>
      </c>
      <c r="P3873" s="1377"/>
      <c r="Q3873" s="1377" t="str">
        <f>LEFT(base[[#This Row],[Evento / Mercado]],FIND("vs",base[[#This Row],[Evento / Mercado]])-2)</f>
        <v>Red Bull Bragantino</v>
      </c>
      <c r="R3873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77" t="str">
        <f>LEFT(base[[#This Row],[Evento / Mercado]],FIND("/",base[[#This Row],[Evento / Mercado]])-2)</f>
        <v>Red Bull Bragantino vs Grêmio FBPA</v>
      </c>
      <c r="T3873" s="1378">
        <f>base[[#This Row],[Data de liquidação]]</f>
        <v>46257.748923611114</v>
      </c>
    </row>
    <row r="3874" spans="2:20" ht="15" customHeight="1" x14ac:dyDescent="0.25">
      <c r="B3874" s="1372" t="s">
        <v>4490</v>
      </c>
      <c r="C3874" s="860" t="s">
        <v>3515</v>
      </c>
      <c r="D3874" s="1373">
        <v>46257.750081018516</v>
      </c>
      <c r="E3874" s="1374">
        <v>38.72</v>
      </c>
      <c r="F3874" s="584">
        <v>4.4999999999999998E-2</v>
      </c>
      <c r="G3874" s="1375">
        <f t="shared" si="144"/>
        <v>40.544502617801051</v>
      </c>
      <c r="H3874" s="1375" t="s">
        <v>3234</v>
      </c>
      <c r="I3874" s="1376" t="s">
        <v>626</v>
      </c>
      <c r="J3874" s="1375">
        <f>(150.01*10.5+150.04*12+149.98*14.5)/base[[#This Row],[Stake/Responsabilidade]]</f>
        <v>12.333166677777038</v>
      </c>
      <c r="K3874" s="1375">
        <f>150.01+150.04+149.98</f>
        <v>450.03</v>
      </c>
      <c r="L3874" s="1373">
        <f>INT(base[[#This Row],[Data de liquidação]])</f>
        <v>46257</v>
      </c>
      <c r="M3874" s="1375">
        <f>base[[#This Row],[L/P Bruto]]-base[[#This Row],[L/P Líquido]]</f>
        <v>1.8245026178010519</v>
      </c>
      <c r="N3874" s="1375">
        <f>base[[#This Row],[L/P Líquido]]/base[[#This Row],[Stake/Responsabilidade]]</f>
        <v>8.6038708530542407E-2</v>
      </c>
      <c r="O3874" s="1377">
        <f>IF(base[[#This Row],[L/P Líquido]]&gt;0,1,0)</f>
        <v>1</v>
      </c>
      <c r="P3874" s="1377"/>
      <c r="Q3874" s="1377" t="str">
        <f>LEFT(base[[#This Row],[Evento / Mercado]],FIND("vs",base[[#This Row],[Evento / Mercado]])-2)</f>
        <v>Red Bull Bragantino</v>
      </c>
      <c r="R3874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77" t="str">
        <f>LEFT(base[[#This Row],[Evento / Mercado]],FIND("/",base[[#This Row],[Evento / Mercado]])-2)</f>
        <v>Red Bull Bragantino vs Grêmio FBPA</v>
      </c>
      <c r="T3874" s="1378">
        <f>base[[#This Row],[Data de liquidação]]</f>
        <v>46257.750081018516</v>
      </c>
    </row>
    <row r="3875" spans="2:20" ht="15" customHeight="1" x14ac:dyDescent="0.25">
      <c r="B3875" s="1372" t="s">
        <v>4489</v>
      </c>
      <c r="C3875" s="860" t="s">
        <v>3515</v>
      </c>
      <c r="D3875" s="1373">
        <v>46257.753761574073</v>
      </c>
      <c r="E3875" s="1374">
        <v>5.35</v>
      </c>
      <c r="F3875" s="584">
        <v>4.4999999999999998E-2</v>
      </c>
      <c r="G3875" s="1375">
        <f t="shared" si="144"/>
        <v>5.6020942408376966</v>
      </c>
      <c r="H3875" s="1375" t="s">
        <v>4253</v>
      </c>
      <c r="I3875" s="1376" t="s">
        <v>13</v>
      </c>
      <c r="J3875" s="1375">
        <v>1.28</v>
      </c>
      <c r="K3875" s="1375">
        <v>20</v>
      </c>
      <c r="L3875" s="1373">
        <f>INT(base[[#This Row],[Data de liquidação]])</f>
        <v>46257</v>
      </c>
      <c r="M3875" s="1375">
        <f>base[[#This Row],[L/P Bruto]]-base[[#This Row],[L/P Líquido]]</f>
        <v>0.25209424083769694</v>
      </c>
      <c r="N3875" s="1375">
        <f>base[[#This Row],[L/P Líquido]]/base[[#This Row],[Stake/Responsabilidade]]</f>
        <v>0.26749999999999996</v>
      </c>
      <c r="O3875" s="1377">
        <f>IF(base[[#This Row],[L/P Líquido]]&gt;0,1,0)</f>
        <v>1</v>
      </c>
      <c r="P3875" s="1377"/>
      <c r="Q3875" s="1377" t="str">
        <f>LEFT(base[[#This Row],[Evento / Mercado]],FIND("vs",base[[#This Row],[Evento / Mercado]])-2)</f>
        <v>Belgrano</v>
      </c>
      <c r="R3875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77" t="str">
        <f>LEFT(base[[#This Row],[Evento / Mercado]],FIND("/",base[[#This Row],[Evento / Mercado]])-2)</f>
        <v>Belgrano vs Defensa y Justicia</v>
      </c>
      <c r="T3875" s="1378">
        <f>base[[#This Row],[Data de liquidação]]</f>
        <v>46257.753761574073</v>
      </c>
    </row>
    <row r="3876" spans="2:20" ht="15" customHeight="1" x14ac:dyDescent="0.25">
      <c r="B3876" s="1372" t="s">
        <v>4488</v>
      </c>
      <c r="C3876" s="860" t="s">
        <v>3515</v>
      </c>
      <c r="D3876" s="1373">
        <v>46257.766701388886</v>
      </c>
      <c r="E3876" s="1374">
        <v>-120</v>
      </c>
      <c r="F3876" s="584">
        <v>4.4999999999999998E-2</v>
      </c>
      <c r="G3876" s="1375">
        <f t="shared" si="144"/>
        <v>-120</v>
      </c>
      <c r="H3876" s="1375" t="s">
        <v>314</v>
      </c>
      <c r="I3876" s="1376" t="s">
        <v>349</v>
      </c>
      <c r="J3876" s="1375">
        <v>1.82</v>
      </c>
      <c r="K3876" s="1375">
        <v>120</v>
      </c>
      <c r="L3876" s="1373">
        <f>INT(base[[#This Row],[Data de liquidação]])</f>
        <v>46257</v>
      </c>
      <c r="M3876" s="1375">
        <f>base[[#This Row],[L/P Bruto]]-base[[#This Row],[L/P Líquido]]</f>
        <v>0</v>
      </c>
      <c r="N3876" s="1375">
        <f>base[[#This Row],[L/P Líquido]]/base[[#This Row],[Stake/Responsabilidade]]</f>
        <v>-1</v>
      </c>
      <c r="O3876" s="1377">
        <f>IF(base[[#This Row],[L/P Líquido]]&gt;0,1,0)</f>
        <v>0</v>
      </c>
      <c r="P3876" s="1377"/>
      <c r="Q3876" s="1377" t="str">
        <f>LEFT(base[[#This Row],[Evento / Mercado]],FIND("vs",base[[#This Row],[Evento / Mercado]])-2)</f>
        <v>CD Tenerife</v>
      </c>
      <c r="R3876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77" t="str">
        <f>LEFT(base[[#This Row],[Evento / Mercado]],FIND("/",base[[#This Row],[Evento / Mercado]])-2)</f>
        <v>CD Tenerife vs UD Almería</v>
      </c>
      <c r="T3876" s="1378">
        <f>base[[#This Row],[Data de liquidação]]</f>
        <v>46257.766701388886</v>
      </c>
    </row>
    <row r="3877" spans="2:20" ht="15" customHeight="1" x14ac:dyDescent="0.25">
      <c r="B3877" s="1372" t="s">
        <v>4487</v>
      </c>
      <c r="C3877" s="860" t="s">
        <v>3515</v>
      </c>
      <c r="D3877" s="1373">
        <v>46257.76829861111</v>
      </c>
      <c r="E3877" s="1374">
        <v>34.9</v>
      </c>
      <c r="F3877" s="584">
        <v>4.4999999999999998E-2</v>
      </c>
      <c r="G3877" s="1375">
        <f t="shared" si="144"/>
        <v>36.544502617801044</v>
      </c>
      <c r="H3877" s="1375" t="s">
        <v>3370</v>
      </c>
      <c r="I3877" s="1376" t="s">
        <v>391</v>
      </c>
      <c r="J3877" s="1375">
        <v>14</v>
      </c>
      <c r="K3877" s="1375">
        <v>475.02</v>
      </c>
      <c r="L3877" s="1373">
        <f>INT(base[[#This Row],[Data de liquidação]])</f>
        <v>46257</v>
      </c>
      <c r="M3877" s="1375">
        <f>base[[#This Row],[L/P Bruto]]-base[[#This Row],[L/P Líquido]]</f>
        <v>1.6445026178010451</v>
      </c>
      <c r="N3877" s="1375">
        <f>base[[#This Row],[L/P Líquido]]/base[[#This Row],[Stake/Responsabilidade]]</f>
        <v>7.3470590711970027E-2</v>
      </c>
      <c r="O3877" s="1377">
        <f>IF(base[[#This Row],[L/P Líquido]]&gt;0,1,0)</f>
        <v>1</v>
      </c>
      <c r="P3877" s="1377" t="s">
        <v>1202</v>
      </c>
      <c r="Q3877" s="1377" t="str">
        <f>LEFT(base[[#This Row],[Evento / Mercado]],FIND("vs",base[[#This Row],[Evento / Mercado]])-2)</f>
        <v>FC Porto</v>
      </c>
      <c r="R3877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77" t="str">
        <f>LEFT(base[[#This Row],[Evento / Mercado]],FIND("/",base[[#This Row],[Evento / Mercado]])-2)</f>
        <v>FC Porto vs Futebol Clube de Arouca</v>
      </c>
      <c r="T3877" s="1378">
        <f>base[[#This Row],[Data de liquidação]]</f>
        <v>46257.76829861111</v>
      </c>
    </row>
    <row r="3878" spans="2:20" ht="15" customHeight="1" x14ac:dyDescent="0.25">
      <c r="B3878" s="1372" t="s">
        <v>4486</v>
      </c>
      <c r="C3878" s="860" t="s">
        <v>3515</v>
      </c>
      <c r="D3878" s="1373">
        <v>46257.768842592595</v>
      </c>
      <c r="E3878" s="1374">
        <v>34.880000000000003</v>
      </c>
      <c r="F3878" s="584">
        <v>4.4999999999999998E-2</v>
      </c>
      <c r="G3878" s="1375">
        <f t="shared" si="144"/>
        <v>36.52356020942409</v>
      </c>
      <c r="H3878" s="1375" t="s">
        <v>150</v>
      </c>
      <c r="I3878" s="1376" t="s">
        <v>692</v>
      </c>
      <c r="J3878" s="1375">
        <v>12.5</v>
      </c>
      <c r="K3878" s="1375">
        <v>419.98</v>
      </c>
      <c r="L3878" s="1373">
        <f>INT(base[[#This Row],[Data de liquidação]])</f>
        <v>46257</v>
      </c>
      <c r="M3878" s="1375">
        <f>base[[#This Row],[L/P Bruto]]-base[[#This Row],[L/P Líquido]]</f>
        <v>1.6435602094240878</v>
      </c>
      <c r="N3878" s="1375">
        <f>base[[#This Row],[L/P Líquido]]/base[[#This Row],[Stake/Responsabilidade]]</f>
        <v>8.3051573884470695E-2</v>
      </c>
      <c r="O3878" s="1377">
        <f>IF(base[[#This Row],[L/P Líquido]]&gt;0,1,0)</f>
        <v>1</v>
      </c>
      <c r="P3878" s="1377"/>
      <c r="Q3878" s="1377" t="str">
        <f>LEFT(base[[#This Row],[Evento / Mercado]],FIND("vs",base[[#This Row],[Evento / Mercado]])-2)</f>
        <v>Elche CF</v>
      </c>
      <c r="R3878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77" t="str">
        <f>LEFT(base[[#This Row],[Evento / Mercado]],FIND("/",base[[#This Row],[Evento / Mercado]])-2)</f>
        <v>Elche CF vs FC Barcelona</v>
      </c>
      <c r="T3878" s="1378">
        <f>base[[#This Row],[Data de liquidação]]</f>
        <v>46257.768842592595</v>
      </c>
    </row>
    <row r="3879" spans="2:20" ht="15" customHeight="1" x14ac:dyDescent="0.25">
      <c r="B3879" s="1372" t="s">
        <v>4485</v>
      </c>
      <c r="C3879" s="860" t="s">
        <v>3515</v>
      </c>
      <c r="D3879" s="1373">
        <v>46257.769050925926</v>
      </c>
      <c r="E3879" s="1374">
        <v>22.74</v>
      </c>
      <c r="F3879" s="584">
        <v>4.4999999999999998E-2</v>
      </c>
      <c r="G3879" s="1375">
        <f t="shared" si="144"/>
        <v>23.811518324607331</v>
      </c>
      <c r="H3879" s="1375" t="s">
        <v>3370</v>
      </c>
      <c r="I3879" s="1376" t="s">
        <v>390</v>
      </c>
      <c r="J3879" s="1375">
        <v>9.4</v>
      </c>
      <c r="K3879" s="1375">
        <v>200</v>
      </c>
      <c r="L3879" s="1373">
        <f>INT(base[[#This Row],[Data de liquidação]])</f>
        <v>46257</v>
      </c>
      <c r="M3879" s="1375">
        <f>base[[#This Row],[L/P Bruto]]-base[[#This Row],[L/P Líquido]]</f>
        <v>1.0715183246073323</v>
      </c>
      <c r="N3879" s="1375">
        <f>base[[#This Row],[L/P Líquido]]/base[[#This Row],[Stake/Responsabilidade]]</f>
        <v>0.1137</v>
      </c>
      <c r="O3879" s="1377">
        <f>IF(base[[#This Row],[L/P Líquido]]&gt;0,1,0)</f>
        <v>1</v>
      </c>
      <c r="P3879" s="1377" t="s">
        <v>1201</v>
      </c>
      <c r="Q3879" s="1377" t="str">
        <f>LEFT(base[[#This Row],[Evento / Mercado]],FIND("vs",base[[#This Row],[Evento / Mercado]])-2)</f>
        <v>Elche CF</v>
      </c>
      <c r="R3879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77" t="str">
        <f>LEFT(base[[#This Row],[Evento / Mercado]],FIND("/",base[[#This Row],[Evento / Mercado]])-2)</f>
        <v>Elche CF vs FC Barcelona</v>
      </c>
      <c r="T3879" s="1378">
        <f>base[[#This Row],[Data de liquidação]]</f>
        <v>46257.769050925926</v>
      </c>
    </row>
    <row r="3880" spans="2:20" ht="15" customHeight="1" x14ac:dyDescent="0.25">
      <c r="B3880" s="1372" t="s">
        <v>4484</v>
      </c>
      <c r="C3880" s="860" t="s">
        <v>3515</v>
      </c>
      <c r="D3880" s="1373">
        <v>46257.792719907404</v>
      </c>
      <c r="E3880" s="1374">
        <v>9.93</v>
      </c>
      <c r="F3880" s="584">
        <v>4.4999999999999998E-2</v>
      </c>
      <c r="G3880" s="1375">
        <f t="shared" si="144"/>
        <v>10.397905759162304</v>
      </c>
      <c r="H3880" s="1375" t="s">
        <v>1648</v>
      </c>
      <c r="I3880" s="1376" t="s">
        <v>2277</v>
      </c>
      <c r="J3880" s="1375">
        <v>1.52</v>
      </c>
      <c r="K3880" s="1375">
        <v>20</v>
      </c>
      <c r="L3880" s="1373">
        <f>INT(base[[#This Row],[Data de liquidação]])</f>
        <v>46257</v>
      </c>
      <c r="M3880" s="1375">
        <f>base[[#This Row],[L/P Bruto]]-base[[#This Row],[L/P Líquido]]</f>
        <v>0.46790575916230459</v>
      </c>
      <c r="N3880" s="1375">
        <f>base[[#This Row],[L/P Líquido]]/base[[#This Row],[Stake/Responsabilidade]]</f>
        <v>0.4965</v>
      </c>
      <c r="O3880" s="1377">
        <f>IF(base[[#This Row],[L/P Líquido]]&gt;0,1,0)</f>
        <v>1</v>
      </c>
      <c r="P3880" s="1377"/>
      <c r="Q3880" s="1377" t="str">
        <f>LEFT(base[[#This Row],[Evento / Mercado]],FIND("vs",base[[#This Row],[Evento / Mercado]])-2)</f>
        <v>Delfin SC</v>
      </c>
      <c r="R3880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77" t="str">
        <f>LEFT(base[[#This Row],[Evento / Mercado]],FIND("/",base[[#This Row],[Evento / Mercado]])-2)</f>
        <v>Delfin SC vs Aucas</v>
      </c>
      <c r="T3880" s="1378">
        <f>base[[#This Row],[Data de liquidação]]</f>
        <v>46257.792719907404</v>
      </c>
    </row>
    <row r="3881" spans="2:20" ht="15" customHeight="1" x14ac:dyDescent="0.25">
      <c r="B3881" s="1372" t="s">
        <v>4483</v>
      </c>
      <c r="C3881" s="860" t="s">
        <v>3515</v>
      </c>
      <c r="D3881" s="1373">
        <v>46257.811435185184</v>
      </c>
      <c r="E3881" s="1374">
        <v>9.2899999999999991</v>
      </c>
      <c r="F3881" s="584">
        <v>4.4999999999999998E-2</v>
      </c>
      <c r="G3881" s="1375">
        <f t="shared" si="144"/>
        <v>9.7277486910994764</v>
      </c>
      <c r="H3881" s="1375" t="s">
        <v>4253</v>
      </c>
      <c r="I3881" s="1376" t="s">
        <v>75</v>
      </c>
      <c r="J3881" s="1375">
        <v>1.49</v>
      </c>
      <c r="K3881" s="1375">
        <v>20</v>
      </c>
      <c r="L3881" s="1373">
        <f>INT(base[[#This Row],[Data de liquidação]])</f>
        <v>46257</v>
      </c>
      <c r="M3881" s="1375">
        <f>base[[#This Row],[L/P Bruto]]-base[[#This Row],[L/P Líquido]]</f>
        <v>0.43774869109947723</v>
      </c>
      <c r="N3881" s="1375">
        <f>base[[#This Row],[L/P Líquido]]/base[[#This Row],[Stake/Responsabilidade]]</f>
        <v>0.46449999999999997</v>
      </c>
      <c r="O3881" s="1377">
        <f>IF(base[[#This Row],[L/P Líquido]]&gt;0,1,0)</f>
        <v>1</v>
      </c>
      <c r="P3881" s="1377"/>
      <c r="Q3881" s="1377" t="str">
        <f>LEFT(base[[#This Row],[Evento / Mercado]],FIND("vs",base[[#This Row],[Evento / Mercado]])-2)</f>
        <v>Deportivo Pasto</v>
      </c>
      <c r="R3881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77" t="str">
        <f>LEFT(base[[#This Row],[Evento / Mercado]],FIND("/",base[[#This Row],[Evento / Mercado]])-2)</f>
        <v>Deportivo Pasto vs Llaneros FC Villavicencio</v>
      </c>
      <c r="T3881" s="1378">
        <f>base[[#This Row],[Data de liquidação]]</f>
        <v>46257.811435185184</v>
      </c>
    </row>
    <row r="3882" spans="2:20" ht="15" customHeight="1" x14ac:dyDescent="0.25">
      <c r="B3882" s="1372" t="s">
        <v>4482</v>
      </c>
      <c r="C3882" s="860" t="s">
        <v>3515</v>
      </c>
      <c r="D3882" s="1373">
        <v>46257.812835648147</v>
      </c>
      <c r="E3882" s="1374">
        <v>-20</v>
      </c>
      <c r="F3882" s="584">
        <v>4.4999999999999998E-2</v>
      </c>
      <c r="G3882" s="1375">
        <f t="shared" si="144"/>
        <v>-20</v>
      </c>
      <c r="H3882" s="1375" t="s">
        <v>4253</v>
      </c>
      <c r="I3882" s="1376" t="s">
        <v>3217</v>
      </c>
      <c r="J3882" s="1375">
        <v>1.4</v>
      </c>
      <c r="K3882" s="1375">
        <v>20</v>
      </c>
      <c r="L3882" s="1373">
        <f>INT(base[[#This Row],[Data de liquidação]])</f>
        <v>46257</v>
      </c>
      <c r="M3882" s="1375">
        <f>base[[#This Row],[L/P Bruto]]-base[[#This Row],[L/P Líquido]]</f>
        <v>0</v>
      </c>
      <c r="N3882" s="1375">
        <f>base[[#This Row],[L/P Líquido]]/base[[#This Row],[Stake/Responsabilidade]]</f>
        <v>-1</v>
      </c>
      <c r="O3882" s="1377">
        <f>IF(base[[#This Row],[L/P Líquido]]&gt;0,1,0)</f>
        <v>0</v>
      </c>
      <c r="P3882" s="1377"/>
      <c r="Q3882" s="1377" t="str">
        <f>LEFT(base[[#This Row],[Evento / Mercado]],FIND("vs",base[[#This Row],[Evento / Mercado]])-2)</f>
        <v>FBC Melgar</v>
      </c>
      <c r="R3882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77" t="str">
        <f>LEFT(base[[#This Row],[Evento / Mercado]],FIND("/",base[[#This Row],[Evento / Mercado]])-2)</f>
        <v>FBC Melgar vs Alianza Lima</v>
      </c>
      <c r="T3882" s="1378">
        <f>base[[#This Row],[Data de liquidação]]</f>
        <v>46257.812835648147</v>
      </c>
    </row>
    <row r="3883" spans="2:20" ht="15" customHeight="1" x14ac:dyDescent="0.25">
      <c r="B3883" s="1372" t="s">
        <v>4481</v>
      </c>
      <c r="C3883" s="860" t="s">
        <v>3515</v>
      </c>
      <c r="D3883" s="1373">
        <v>46257.830775462964</v>
      </c>
      <c r="E3883" s="1374">
        <v>-20</v>
      </c>
      <c r="F3883" s="584">
        <v>4.4999999999999998E-2</v>
      </c>
      <c r="G3883" s="1375">
        <f t="shared" si="144"/>
        <v>-20</v>
      </c>
      <c r="H3883" s="1375" t="s">
        <v>4253</v>
      </c>
      <c r="I3883" s="1376" t="s">
        <v>75</v>
      </c>
      <c r="J3883" s="1375">
        <v>1.45</v>
      </c>
      <c r="K3883" s="1375">
        <v>20</v>
      </c>
      <c r="L3883" s="1373">
        <f>INT(base[[#This Row],[Data de liquidação]])</f>
        <v>46257</v>
      </c>
      <c r="M3883" s="1375">
        <f>base[[#This Row],[L/P Bruto]]-base[[#This Row],[L/P Líquido]]</f>
        <v>0</v>
      </c>
      <c r="N3883" s="1375">
        <f>base[[#This Row],[L/P Líquido]]/base[[#This Row],[Stake/Responsabilidade]]</f>
        <v>-1</v>
      </c>
      <c r="O3883" s="1377">
        <f>IF(base[[#This Row],[L/P Líquido]]&gt;0,1,0)</f>
        <v>0</v>
      </c>
      <c r="P3883" s="1377"/>
      <c r="Q3883" s="1377" t="str">
        <f>LEFT(base[[#This Row],[Evento / Mercado]],FIND("vs",base[[#This Row],[Evento / Mercado]])-2)</f>
        <v>Operário Ferroviário</v>
      </c>
      <c r="R3883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77" t="str">
        <f>LEFT(base[[#This Row],[Evento / Mercado]],FIND("/",base[[#This Row],[Evento / Mercado]])-2)</f>
        <v>Operário Ferroviário vs Vila Nova FC</v>
      </c>
      <c r="T3883" s="1378">
        <f>base[[#This Row],[Data de liquidação]]</f>
        <v>46257.830775462964</v>
      </c>
    </row>
    <row r="3884" spans="2:20" ht="15" customHeight="1" x14ac:dyDescent="0.25">
      <c r="B3884" s="1372" t="s">
        <v>4480</v>
      </c>
      <c r="C3884" s="860" t="s">
        <v>3515</v>
      </c>
      <c r="D3884" s="1373">
        <v>46257.847395833334</v>
      </c>
      <c r="E3884" s="1374">
        <v>7.26</v>
      </c>
      <c r="F3884" s="584">
        <v>4.4999999999999998E-2</v>
      </c>
      <c r="G3884" s="1375">
        <f t="shared" si="144"/>
        <v>7.6020942408376966</v>
      </c>
      <c r="H3884" s="1375" t="s">
        <v>4253</v>
      </c>
      <c r="I3884" s="1376" t="s">
        <v>13</v>
      </c>
      <c r="J3884" s="1375">
        <v>1.38</v>
      </c>
      <c r="K3884" s="1375">
        <v>20</v>
      </c>
      <c r="L3884" s="1373">
        <f>INT(base[[#This Row],[Data de liquidação]])</f>
        <v>46257</v>
      </c>
      <c r="M3884" s="1375">
        <f>base[[#This Row],[L/P Bruto]]-base[[#This Row],[L/P Líquido]]</f>
        <v>0.34209424083769679</v>
      </c>
      <c r="N3884" s="1375">
        <f>base[[#This Row],[L/P Líquido]]/base[[#This Row],[Stake/Responsabilidade]]</f>
        <v>0.36299999999999999</v>
      </c>
      <c r="O3884" s="1377">
        <f>IF(base[[#This Row],[L/P Líquido]]&gt;0,1,0)</f>
        <v>1</v>
      </c>
      <c r="P3884" s="1377"/>
      <c r="Q3884" s="1377" t="str">
        <f>LEFT(base[[#This Row],[Evento / Mercado]],FIND("vs",base[[#This Row],[Evento / Mercado]])-2)</f>
        <v>Criciúma EC</v>
      </c>
      <c r="R3884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77" t="str">
        <f>LEFT(base[[#This Row],[Evento / Mercado]],FIND("/",base[[#This Row],[Evento / Mercado]])-2)</f>
        <v>Criciúma EC vs Fortaleza EC</v>
      </c>
      <c r="T3884" s="1378">
        <f>base[[#This Row],[Data de liquidação]]</f>
        <v>46257.847395833334</v>
      </c>
    </row>
    <row r="3885" spans="2:20" ht="15" customHeight="1" x14ac:dyDescent="0.25">
      <c r="B3885" s="1372" t="s">
        <v>4479</v>
      </c>
      <c r="C3885" s="860" t="s">
        <v>3515</v>
      </c>
      <c r="D3885" s="1373">
        <v>46257.922986111109</v>
      </c>
      <c r="E3885" s="1374">
        <v>21.49</v>
      </c>
      <c r="F3885" s="584">
        <v>4.4999999999999998E-2</v>
      </c>
      <c r="G3885" s="1375">
        <f t="shared" si="144"/>
        <v>22.502617801047119</v>
      </c>
      <c r="H3885" s="1375" t="s">
        <v>74</v>
      </c>
      <c r="I3885" s="1376" t="s">
        <v>626</v>
      </c>
      <c r="J3885" s="1375">
        <v>23</v>
      </c>
      <c r="K3885" s="1375">
        <v>495</v>
      </c>
      <c r="L3885" s="1373">
        <f>INT(base[[#This Row],[Data de liquidação]])</f>
        <v>46257</v>
      </c>
      <c r="M3885" s="1375">
        <f>base[[#This Row],[L/P Bruto]]-base[[#This Row],[L/P Líquido]]</f>
        <v>1.0126178010471207</v>
      </c>
      <c r="N3885" s="1375">
        <f>base[[#This Row],[L/P Líquido]]/base[[#This Row],[Stake/Responsabilidade]]</f>
        <v>4.3414141414141412E-2</v>
      </c>
      <c r="O3885" s="1377">
        <f>IF(base[[#This Row],[L/P Líquido]]&gt;0,1,0)</f>
        <v>1</v>
      </c>
      <c r="P3885" s="1377"/>
      <c r="Q3885" s="1377" t="str">
        <f>LEFT(base[[#This Row],[Evento / Mercado]],FIND("vs",base[[#This Row],[Evento / Mercado]])-2)</f>
        <v>Atlanta United FC</v>
      </c>
      <c r="R3885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77" t="str">
        <f>LEFT(base[[#This Row],[Evento / Mercado]],FIND("/",base[[#This Row],[Evento / Mercado]])-2)</f>
        <v>Atlanta United FC vs Sporting Kansas City</v>
      </c>
      <c r="T3885" s="1378">
        <f>base[[#This Row],[Data de liquidação]]</f>
        <v>46257.922986111109</v>
      </c>
    </row>
    <row r="3886" spans="2:20" ht="15" customHeight="1" x14ac:dyDescent="0.25">
      <c r="B3886" s="1372" t="s">
        <v>4478</v>
      </c>
      <c r="C3886" s="860" t="s">
        <v>3515</v>
      </c>
      <c r="D3886" s="1373">
        <v>46257.936863425923</v>
      </c>
      <c r="E3886" s="1374">
        <v>5.14</v>
      </c>
      <c r="F3886" s="584">
        <v>4.4999999999999998E-2</v>
      </c>
      <c r="G3886" s="1375">
        <f t="shared" si="144"/>
        <v>5.3821989528795813</v>
      </c>
      <c r="H3886" s="1375" t="s">
        <v>1648</v>
      </c>
      <c r="I3886" s="1376" t="s">
        <v>2919</v>
      </c>
      <c r="J3886" s="1375">
        <v>10.5</v>
      </c>
      <c r="K3886" s="1375">
        <v>51.11</v>
      </c>
      <c r="L3886" s="1373">
        <f>INT(base[[#This Row],[Data de liquidação]])</f>
        <v>46257</v>
      </c>
      <c r="M3886" s="1375">
        <f>base[[#This Row],[L/P Bruto]]-base[[#This Row],[L/P Líquido]]</f>
        <v>0.2421989528795816</v>
      </c>
      <c r="N3886" s="1375">
        <f>base[[#This Row],[L/P Líquido]]/base[[#This Row],[Stake/Responsabilidade]]</f>
        <v>0.10056740363920955</v>
      </c>
      <c r="O3886" s="1377">
        <f>IF(base[[#This Row],[L/P Líquido]]&gt;0,1,0)</f>
        <v>1</v>
      </c>
      <c r="P3886" s="1377"/>
      <c r="Q3886" s="1377" t="str">
        <f>LEFT(base[[#This Row],[Evento / Mercado]],FIND("vs",base[[#This Row],[Evento / Mercado]])-2)</f>
        <v>Real Tomayapo</v>
      </c>
      <c r="R3886" s="13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77" t="str">
        <f>LEFT(base[[#This Row],[Evento / Mercado]],FIND("/",base[[#This Row],[Evento / Mercado]])-2)</f>
        <v>Real Tomayapo vs Always Ready</v>
      </c>
      <c r="T3886" s="1378">
        <f>base[[#This Row],[Data de liquidação]]</f>
        <v>46257.936863425923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0"/>
  <sheetViews>
    <sheetView showGridLines="0" topLeftCell="A3" zoomScale="80" zoomScaleNormal="80" workbookViewId="0">
      <selection activeCell="E3" sqref="E3:F40"/>
    </sheetView>
  </sheetViews>
  <sheetFormatPr defaultRowHeight="13.2" x14ac:dyDescent="0.25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 x14ac:dyDescent="0.3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 x14ac:dyDescent="0.3">
      <c r="B3" s="917" t="s">
        <v>204</v>
      </c>
      <c r="C3" s="918" t="s">
        <v>4515</v>
      </c>
      <c r="D3" s="919">
        <v>46257.293055555558</v>
      </c>
      <c r="E3" s="919">
        <v>46257.370879629627</v>
      </c>
      <c r="F3" s="920">
        <v>7.43</v>
      </c>
      <c r="G3" s="859" t="str">
        <f>SUBSTITUTE(E3,",","")</f>
        <v>462573708796296</v>
      </c>
    </row>
    <row r="4" spans="2:7" ht="13.8" thickBot="1" x14ac:dyDescent="0.3">
      <c r="B4" s="917" t="s">
        <v>204</v>
      </c>
      <c r="C4" s="918" t="s">
        <v>4514</v>
      </c>
      <c r="D4" s="919">
        <v>46257.375</v>
      </c>
      <c r="E4" s="919">
        <v>46257.434374999997</v>
      </c>
      <c r="F4" s="920">
        <v>10.51</v>
      </c>
      <c r="G4" s="859" t="str">
        <f>SUBSTITUTE(E4,",","")</f>
        <v>46257434375</v>
      </c>
    </row>
    <row r="5" spans="2:7" ht="13.8" thickBot="1" x14ac:dyDescent="0.3">
      <c r="B5" s="917" t="s">
        <v>204</v>
      </c>
      <c r="C5" s="918" t="s">
        <v>4513</v>
      </c>
      <c r="D5" s="919">
        <v>46257.375</v>
      </c>
      <c r="E5" s="919">
        <v>46257.439733796295</v>
      </c>
      <c r="F5" s="920">
        <v>6.82</v>
      </c>
      <c r="G5" s="859" t="str">
        <f>SUBSTITUTE(E5,",","")</f>
        <v>462574397337963</v>
      </c>
    </row>
    <row r="6" spans="2:7" ht="13.8" thickBot="1" x14ac:dyDescent="0.3">
      <c r="B6" s="917" t="s">
        <v>204</v>
      </c>
      <c r="C6" s="918" t="s">
        <v>4512</v>
      </c>
      <c r="D6" s="919">
        <v>46257.375</v>
      </c>
      <c r="E6" s="919">
        <v>46257.452245370368</v>
      </c>
      <c r="F6" s="920">
        <v>4.24</v>
      </c>
      <c r="G6" s="859" t="str">
        <f>SUBSTITUTE(E6,",","")</f>
        <v>462574522453704</v>
      </c>
    </row>
    <row r="7" spans="2:7" ht="13.8" thickBot="1" x14ac:dyDescent="0.3">
      <c r="B7" s="917" t="s">
        <v>204</v>
      </c>
      <c r="C7" s="918" t="s">
        <v>4511</v>
      </c>
      <c r="D7" s="919">
        <v>46257.395833333336</v>
      </c>
      <c r="E7" s="919">
        <v>46257.475983796299</v>
      </c>
      <c r="F7" s="920">
        <v>40.11</v>
      </c>
      <c r="G7" s="859" t="str">
        <f>SUBSTITUTE(E7,",","")</f>
        <v>462574759837963</v>
      </c>
    </row>
    <row r="8" spans="2:7" ht="13.8" thickBot="1" x14ac:dyDescent="0.3">
      <c r="B8" s="917" t="s">
        <v>204</v>
      </c>
      <c r="C8" s="918" t="s">
        <v>4510</v>
      </c>
      <c r="D8" s="919">
        <v>46257.416666666664</v>
      </c>
      <c r="E8" s="919">
        <v>46257.490173611113</v>
      </c>
      <c r="F8" s="920">
        <v>80.22</v>
      </c>
      <c r="G8" s="859" t="str">
        <f>SUBSTITUTE(E8,",","")</f>
        <v>462574901736111</v>
      </c>
    </row>
    <row r="9" spans="2:7" ht="13.8" thickBot="1" x14ac:dyDescent="0.3">
      <c r="B9" s="917" t="s">
        <v>204</v>
      </c>
      <c r="C9" s="918" t="s">
        <v>4509</v>
      </c>
      <c r="D9" s="919">
        <v>46257.479166666664</v>
      </c>
      <c r="E9" s="919">
        <v>46257.556527777779</v>
      </c>
      <c r="F9" s="920">
        <v>14.35</v>
      </c>
      <c r="G9" s="859" t="str">
        <f>SUBSTITUTE(E9,",","")</f>
        <v>462575565277778</v>
      </c>
    </row>
    <row r="10" spans="2:7" ht="13.8" thickBot="1" x14ac:dyDescent="0.3">
      <c r="B10" s="917" t="s">
        <v>204</v>
      </c>
      <c r="C10" s="918" t="s">
        <v>4508</v>
      </c>
      <c r="D10" s="919">
        <v>46257.479166666664</v>
      </c>
      <c r="E10" s="919">
        <v>46257.556793981479</v>
      </c>
      <c r="F10" s="1318">
        <v>-20</v>
      </c>
      <c r="G10" s="859" t="str">
        <f>SUBSTITUTE(E10,",","")</f>
        <v>462575567939815</v>
      </c>
    </row>
    <row r="11" spans="2:7" ht="13.8" thickBot="1" x14ac:dyDescent="0.3">
      <c r="B11" s="917" t="s">
        <v>204</v>
      </c>
      <c r="C11" s="918" t="s">
        <v>4507</v>
      </c>
      <c r="D11" s="919">
        <v>46257.479166666664</v>
      </c>
      <c r="E11" s="919">
        <v>46257.557627314818</v>
      </c>
      <c r="F11" s="920">
        <v>26.53</v>
      </c>
      <c r="G11" s="859" t="str">
        <f>SUBSTITUTE(E11,",","")</f>
        <v>462575576273148</v>
      </c>
    </row>
    <row r="12" spans="2:7" ht="13.8" thickBot="1" x14ac:dyDescent="0.3">
      <c r="B12" s="917" t="s">
        <v>204</v>
      </c>
      <c r="C12" s="918" t="s">
        <v>4506</v>
      </c>
      <c r="D12" s="919">
        <v>46257.5</v>
      </c>
      <c r="E12" s="919">
        <v>46257.564016203702</v>
      </c>
      <c r="F12" s="920">
        <v>81.39</v>
      </c>
      <c r="G12" s="859" t="str">
        <f>SUBSTITUTE(E12,",","")</f>
        <v>462575640162037</v>
      </c>
    </row>
    <row r="13" spans="2:7" ht="13.8" thickBot="1" x14ac:dyDescent="0.3">
      <c r="B13" s="917" t="s">
        <v>204</v>
      </c>
      <c r="C13" s="918" t="s">
        <v>4505</v>
      </c>
      <c r="D13" s="919">
        <v>46257.500694444447</v>
      </c>
      <c r="E13" s="919">
        <v>46257.580891203703</v>
      </c>
      <c r="F13" s="1318">
        <v>-20</v>
      </c>
      <c r="G13" s="859" t="str">
        <f>SUBSTITUTE(E13,",","")</f>
        <v>462575808912037</v>
      </c>
    </row>
    <row r="14" spans="2:7" ht="13.8" thickBot="1" x14ac:dyDescent="0.3">
      <c r="B14" s="917" t="s">
        <v>204</v>
      </c>
      <c r="C14" s="918" t="s">
        <v>4504</v>
      </c>
      <c r="D14" s="919">
        <v>46257.521527777775</v>
      </c>
      <c r="E14" s="919">
        <v>46257.600289351853</v>
      </c>
      <c r="F14" s="920">
        <v>5.73</v>
      </c>
      <c r="G14" s="859" t="str">
        <f>SUBSTITUTE(E14,",","")</f>
        <v>462576002893519</v>
      </c>
    </row>
    <row r="15" spans="2:7" ht="13.8" thickBot="1" x14ac:dyDescent="0.3">
      <c r="B15" s="917" t="s">
        <v>204</v>
      </c>
      <c r="C15" s="918" t="s">
        <v>4503</v>
      </c>
      <c r="D15" s="919">
        <v>46257.5625</v>
      </c>
      <c r="E15" s="919">
        <v>46257.645208333335</v>
      </c>
      <c r="F15" s="920">
        <v>33.619999999999997</v>
      </c>
      <c r="G15" s="859" t="str">
        <f>SUBSTITUTE(E15,",","")</f>
        <v>462576452083333</v>
      </c>
    </row>
    <row r="16" spans="2:7" ht="13.8" thickBot="1" x14ac:dyDescent="0.3">
      <c r="B16" s="917" t="s">
        <v>204</v>
      </c>
      <c r="C16" s="918" t="s">
        <v>4502</v>
      </c>
      <c r="D16" s="919">
        <v>46257.583333333336</v>
      </c>
      <c r="E16" s="919">
        <v>46257.660196759258</v>
      </c>
      <c r="F16" s="920">
        <v>21.73</v>
      </c>
      <c r="G16" s="859" t="str">
        <f>SUBSTITUTE(E16,",","")</f>
        <v>462576601967593</v>
      </c>
    </row>
    <row r="17" spans="2:7" ht="13.8" thickBot="1" x14ac:dyDescent="0.3">
      <c r="B17" s="917" t="s">
        <v>204</v>
      </c>
      <c r="C17" s="918" t="s">
        <v>4501</v>
      </c>
      <c r="D17" s="919">
        <v>46257.583333333336</v>
      </c>
      <c r="E17" s="919">
        <v>46257.66300925926</v>
      </c>
      <c r="F17" s="920">
        <v>11.58</v>
      </c>
      <c r="G17" s="859" t="str">
        <f>SUBSTITUTE(E17,",","")</f>
        <v>462576630092593</v>
      </c>
    </row>
    <row r="18" spans="2:7" ht="13.8" thickBot="1" x14ac:dyDescent="0.3">
      <c r="B18" s="917" t="s">
        <v>204</v>
      </c>
      <c r="C18" s="918" t="s">
        <v>4500</v>
      </c>
      <c r="D18" s="919">
        <v>46257.585416666669</v>
      </c>
      <c r="E18" s="919">
        <v>46257.663831018515</v>
      </c>
      <c r="F18" s="1318">
        <v>-20</v>
      </c>
      <c r="G18" s="859" t="str">
        <f>SUBSTITUTE(E18,",","")</f>
        <v>462576638310185</v>
      </c>
    </row>
    <row r="19" spans="2:7" ht="13.8" thickBot="1" x14ac:dyDescent="0.3">
      <c r="B19" s="917" t="s">
        <v>204</v>
      </c>
      <c r="C19" s="918" t="s">
        <v>4499</v>
      </c>
      <c r="D19" s="919">
        <v>46257.583333333336</v>
      </c>
      <c r="E19" s="919">
        <v>46257.665243055555</v>
      </c>
      <c r="F19" s="920">
        <v>18.89</v>
      </c>
      <c r="G19" s="859" t="str">
        <f>SUBSTITUTE(E19,",","")</f>
        <v>462576652430556</v>
      </c>
    </row>
    <row r="20" spans="2:7" ht="13.8" thickBot="1" x14ac:dyDescent="0.3">
      <c r="B20" s="917" t="s">
        <v>204</v>
      </c>
      <c r="C20" s="918" t="s">
        <v>4498</v>
      </c>
      <c r="D20" s="919">
        <v>46257.625</v>
      </c>
      <c r="E20" s="919">
        <v>46257.703726851854</v>
      </c>
      <c r="F20" s="920">
        <v>19.36</v>
      </c>
      <c r="G20" s="859" t="str">
        <f>SUBSTITUTE(E20,",","")</f>
        <v>462577037268519</v>
      </c>
    </row>
    <row r="21" spans="2:7" ht="13.8" thickBot="1" x14ac:dyDescent="0.3">
      <c r="B21" s="917" t="s">
        <v>204</v>
      </c>
      <c r="C21" s="918" t="s">
        <v>4497</v>
      </c>
      <c r="D21" s="919">
        <v>46257.647916666669</v>
      </c>
      <c r="E21" s="919">
        <v>46257.726006944446</v>
      </c>
      <c r="F21" s="1318">
        <v>-70.02</v>
      </c>
      <c r="G21" s="859" t="str">
        <f>SUBSTITUTE(E21,",","")</f>
        <v>462577260069444</v>
      </c>
    </row>
    <row r="22" spans="2:7" ht="13.8" thickBot="1" x14ac:dyDescent="0.3">
      <c r="B22" s="917" t="s">
        <v>204</v>
      </c>
      <c r="C22" s="918" t="s">
        <v>4496</v>
      </c>
      <c r="D22" s="919">
        <v>46257.666666666664</v>
      </c>
      <c r="E22" s="919">
        <v>46257.72855324074</v>
      </c>
      <c r="F22" s="920">
        <v>7.64</v>
      </c>
      <c r="G22" s="859" t="str">
        <f>SUBSTITUTE(E22,",","")</f>
        <v>462577285532407</v>
      </c>
    </row>
    <row r="23" spans="2:7" ht="13.8" thickBot="1" x14ac:dyDescent="0.3">
      <c r="B23" s="917" t="s">
        <v>204</v>
      </c>
      <c r="C23" s="918" t="s">
        <v>4495</v>
      </c>
      <c r="D23" s="919">
        <v>46257.666666666664</v>
      </c>
      <c r="E23" s="919">
        <v>46257.745694444442</v>
      </c>
      <c r="F23" s="920">
        <v>3.28</v>
      </c>
      <c r="G23" s="859" t="str">
        <f>SUBSTITUTE(E23,",","")</f>
        <v>462577456944444</v>
      </c>
    </row>
    <row r="24" spans="2:7" ht="13.8" thickBot="1" x14ac:dyDescent="0.3">
      <c r="B24" s="917" t="s">
        <v>204</v>
      </c>
      <c r="C24" s="918" t="s">
        <v>4494</v>
      </c>
      <c r="D24" s="919">
        <v>46257.666666666664</v>
      </c>
      <c r="E24" s="919">
        <v>46257.746249999997</v>
      </c>
      <c r="F24" s="920">
        <v>45.51</v>
      </c>
      <c r="G24" s="859" t="str">
        <f>SUBSTITUTE(E24,",","")</f>
        <v>4625774625</v>
      </c>
    </row>
    <row r="25" spans="2:7" ht="13.8" thickBot="1" x14ac:dyDescent="0.3">
      <c r="B25" s="917" t="s">
        <v>204</v>
      </c>
      <c r="C25" s="918" t="s">
        <v>4493</v>
      </c>
      <c r="D25" s="919">
        <v>46257.666666666664</v>
      </c>
      <c r="E25" s="919">
        <v>46257.746319444443</v>
      </c>
      <c r="F25" s="920">
        <v>7.43</v>
      </c>
      <c r="G25" s="859" t="str">
        <f>SUBSTITUTE(E25,",","")</f>
        <v>462577463194444</v>
      </c>
    </row>
    <row r="26" spans="2:7" ht="13.8" thickBot="1" x14ac:dyDescent="0.3">
      <c r="B26" s="917" t="s">
        <v>204</v>
      </c>
      <c r="C26" s="918" t="s">
        <v>4492</v>
      </c>
      <c r="D26" s="919">
        <v>46257.666666666664</v>
      </c>
      <c r="E26" s="919">
        <v>46257.746412037035</v>
      </c>
      <c r="F26" s="920">
        <v>78.63</v>
      </c>
      <c r="G26" s="859" t="str">
        <f>SUBSTITUTE(E26,",","")</f>
        <v>46257746412037</v>
      </c>
    </row>
    <row r="27" spans="2:7" ht="13.8" thickBot="1" x14ac:dyDescent="0.3">
      <c r="B27" s="917" t="s">
        <v>204</v>
      </c>
      <c r="C27" s="918" t="s">
        <v>4491</v>
      </c>
      <c r="D27" s="919">
        <v>46257.666666666664</v>
      </c>
      <c r="E27" s="919">
        <v>46257.748923611114</v>
      </c>
      <c r="F27" s="920">
        <v>6.69</v>
      </c>
      <c r="G27" s="859" t="str">
        <f>SUBSTITUTE(E27,",","")</f>
        <v>462577489236111</v>
      </c>
    </row>
    <row r="28" spans="2:7" ht="13.8" thickBot="1" x14ac:dyDescent="0.3">
      <c r="B28" s="917" t="s">
        <v>204</v>
      </c>
      <c r="C28" s="918" t="s">
        <v>4490</v>
      </c>
      <c r="D28" s="919">
        <v>46257.666666666664</v>
      </c>
      <c r="E28" s="919">
        <v>46257.750081018516</v>
      </c>
      <c r="F28" s="920">
        <v>38.72</v>
      </c>
      <c r="G28" s="859" t="str">
        <f>SUBSTITUTE(E28,",","")</f>
        <v>462577500810185</v>
      </c>
    </row>
    <row r="29" spans="2:7" ht="13.8" thickBot="1" x14ac:dyDescent="0.3">
      <c r="B29" s="917" t="s">
        <v>204</v>
      </c>
      <c r="C29" s="918" t="s">
        <v>4489</v>
      </c>
      <c r="D29" s="919">
        <v>46257.707638888889</v>
      </c>
      <c r="E29" s="919">
        <v>46257.753761574073</v>
      </c>
      <c r="F29" s="920">
        <v>5.35</v>
      </c>
      <c r="G29" s="859" t="str">
        <f>SUBSTITUTE(E29,",","")</f>
        <v>462577537615741</v>
      </c>
    </row>
    <row r="30" spans="2:7" ht="13.8" thickBot="1" x14ac:dyDescent="0.3">
      <c r="B30" s="917" t="s">
        <v>204</v>
      </c>
      <c r="C30" s="918" t="s">
        <v>4488</v>
      </c>
      <c r="D30" s="919">
        <v>46257.6875</v>
      </c>
      <c r="E30" s="919">
        <v>46257.766701388886</v>
      </c>
      <c r="F30" s="1318">
        <v>-120</v>
      </c>
      <c r="G30" s="859" t="str">
        <f>SUBSTITUTE(E30,",","")</f>
        <v>462577667013889</v>
      </c>
    </row>
    <row r="31" spans="2:7" ht="13.8" thickBot="1" x14ac:dyDescent="0.3">
      <c r="B31" s="917" t="s">
        <v>204</v>
      </c>
      <c r="C31" s="918" t="s">
        <v>4487</v>
      </c>
      <c r="D31" s="919">
        <v>46257.6875</v>
      </c>
      <c r="E31" s="919">
        <v>46257.76829861111</v>
      </c>
      <c r="F31" s="920">
        <v>34.9</v>
      </c>
      <c r="G31" s="859" t="str">
        <f>SUBSTITUTE(E31,",","")</f>
        <v>462577682986111</v>
      </c>
    </row>
    <row r="32" spans="2:7" ht="13.8" thickBot="1" x14ac:dyDescent="0.3">
      <c r="B32" s="917" t="s">
        <v>204</v>
      </c>
      <c r="C32" s="918" t="s">
        <v>4486</v>
      </c>
      <c r="D32" s="919">
        <v>46257.6875</v>
      </c>
      <c r="E32" s="919">
        <v>46257.768842592595</v>
      </c>
      <c r="F32" s="920">
        <v>34.880000000000003</v>
      </c>
      <c r="G32" s="859" t="str">
        <f>SUBSTITUTE(E32,",","")</f>
        <v>462577688425926</v>
      </c>
    </row>
    <row r="33" spans="2:7" ht="13.8" thickBot="1" x14ac:dyDescent="0.3">
      <c r="B33" s="917" t="s">
        <v>204</v>
      </c>
      <c r="C33" s="918" t="s">
        <v>4485</v>
      </c>
      <c r="D33" s="919">
        <v>46257.6875</v>
      </c>
      <c r="E33" s="919">
        <v>46257.769050925926</v>
      </c>
      <c r="F33" s="920">
        <v>22.74</v>
      </c>
      <c r="G33" s="859" t="str">
        <f>SUBSTITUTE(E33,",","")</f>
        <v>462577690509259</v>
      </c>
    </row>
    <row r="34" spans="2:7" ht="13.8" thickBot="1" x14ac:dyDescent="0.3">
      <c r="B34" s="917" t="s">
        <v>204</v>
      </c>
      <c r="C34" s="918" t="s">
        <v>4484</v>
      </c>
      <c r="D34" s="919">
        <v>46257.729166666664</v>
      </c>
      <c r="E34" s="919">
        <v>46257.792719907404</v>
      </c>
      <c r="F34" s="920">
        <v>9.93</v>
      </c>
      <c r="G34" s="859" t="str">
        <f>SUBSTITUTE(E34,",","")</f>
        <v>462577927199074</v>
      </c>
    </row>
    <row r="35" spans="2:7" ht="13.8" thickBot="1" x14ac:dyDescent="0.3">
      <c r="B35" s="917" t="s">
        <v>204</v>
      </c>
      <c r="C35" s="918" t="s">
        <v>4483</v>
      </c>
      <c r="D35" s="919">
        <v>46257.753472222219</v>
      </c>
      <c r="E35" s="919">
        <v>46257.811435185184</v>
      </c>
      <c r="F35" s="920">
        <v>9.2899999999999991</v>
      </c>
      <c r="G35" s="859" t="str">
        <f>SUBSTITUTE(E35,",","")</f>
        <v>462578114351852</v>
      </c>
    </row>
    <row r="36" spans="2:7" ht="13.8" thickBot="1" x14ac:dyDescent="0.3">
      <c r="B36" s="917" t="s">
        <v>204</v>
      </c>
      <c r="C36" s="918" t="s">
        <v>4482</v>
      </c>
      <c r="D36" s="919">
        <v>46257.730555555558</v>
      </c>
      <c r="E36" s="919">
        <v>46257.812835648147</v>
      </c>
      <c r="F36" s="1318">
        <v>-20</v>
      </c>
      <c r="G36" s="859" t="str">
        <f>SUBSTITUTE(E36,",","")</f>
        <v>462578128356481</v>
      </c>
    </row>
    <row r="37" spans="2:7" ht="13.8" thickBot="1" x14ac:dyDescent="0.3">
      <c r="B37" s="917" t="s">
        <v>204</v>
      </c>
      <c r="C37" s="918" t="s">
        <v>4481</v>
      </c>
      <c r="D37" s="919">
        <v>46257.752083333333</v>
      </c>
      <c r="E37" s="919">
        <v>46257.830775462964</v>
      </c>
      <c r="F37" s="1318">
        <v>-20</v>
      </c>
      <c r="G37" s="859" t="str">
        <f>SUBSTITUTE(E37,",","")</f>
        <v>46257830775463</v>
      </c>
    </row>
    <row r="38" spans="2:7" ht="13.8" thickBot="1" x14ac:dyDescent="0.3">
      <c r="B38" s="917" t="s">
        <v>204</v>
      </c>
      <c r="C38" s="918" t="s">
        <v>4480</v>
      </c>
      <c r="D38" s="919">
        <v>46257.772916666669</v>
      </c>
      <c r="E38" s="919">
        <v>46257.847395833334</v>
      </c>
      <c r="F38" s="920">
        <v>7.26</v>
      </c>
      <c r="G38" s="859" t="str">
        <f>SUBSTITUTE(E38,",","")</f>
        <v>462578473958333</v>
      </c>
    </row>
    <row r="39" spans="2:7" ht="13.8" thickBot="1" x14ac:dyDescent="0.3">
      <c r="B39" s="917" t="s">
        <v>204</v>
      </c>
      <c r="C39" s="918" t="s">
        <v>4479</v>
      </c>
      <c r="D39" s="919">
        <v>46257.833333333336</v>
      </c>
      <c r="E39" s="919">
        <v>46257.922986111109</v>
      </c>
      <c r="F39" s="920">
        <v>21.49</v>
      </c>
      <c r="G39" s="859" t="str">
        <f>SUBSTITUTE(E39,",","")</f>
        <v>462579229861111</v>
      </c>
    </row>
    <row r="40" spans="2:7" ht="13.8" thickBot="1" x14ac:dyDescent="0.3">
      <c r="B40" s="917" t="s">
        <v>204</v>
      </c>
      <c r="C40" s="918" t="s">
        <v>4478</v>
      </c>
      <c r="D40" s="919">
        <v>46257.853472222225</v>
      </c>
      <c r="E40" s="919">
        <v>46257.936863425923</v>
      </c>
      <c r="F40" s="920">
        <v>5.14</v>
      </c>
      <c r="G40" s="859" t="str">
        <f>SUBSTITUTE(E40,",","")</f>
        <v>462579368634259</v>
      </c>
    </row>
  </sheetData>
  <autoFilter ref="B2:G2"/>
  <sortState ref="B3:G40">
    <sortCondition ref="E3:E4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 x14ac:dyDescent="0.25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 x14ac:dyDescent="0.25">
      <c r="B2" s="997" t="s">
        <v>3378</v>
      </c>
      <c r="C2" s="999">
        <v>6200</v>
      </c>
      <c r="D2" s="997"/>
      <c r="F2" s="999"/>
    </row>
    <row r="3" spans="2:21" ht="15" customHeight="1" x14ac:dyDescent="0.25">
      <c r="B3" s="997" t="s">
        <v>3881</v>
      </c>
      <c r="C3" s="998">
        <v>0.2</v>
      </c>
      <c r="D3" s="997"/>
      <c r="F3" s="999"/>
    </row>
    <row r="4" spans="2:21" ht="15" customHeight="1" x14ac:dyDescent="0.25">
      <c r="B4" s="997" t="s">
        <v>3427</v>
      </c>
      <c r="C4" s="1002">
        <f>C2*C3</f>
        <v>1240</v>
      </c>
      <c r="D4" s="997"/>
      <c r="F4" s="999"/>
    </row>
    <row r="6" spans="2:21" ht="30" customHeight="1" x14ac:dyDescent="0.25">
      <c r="B6" s="22" t="s">
        <v>3</v>
      </c>
      <c r="C6" s="22" t="s">
        <v>4077</v>
      </c>
      <c r="D6" s="22" t="s">
        <v>3885</v>
      </c>
      <c r="E6" s="22" t="s">
        <v>156</v>
      </c>
      <c r="F6" s="22" t="s">
        <v>3877</v>
      </c>
      <c r="G6" s="22" t="s">
        <v>3871</v>
      </c>
      <c r="H6" s="22" t="s">
        <v>3872</v>
      </c>
      <c r="I6" s="22" t="s">
        <v>3873</v>
      </c>
      <c r="J6" s="22" t="s">
        <v>3386</v>
      </c>
      <c r="K6" s="22" t="s">
        <v>3888</v>
      </c>
      <c r="L6" s="22" t="s">
        <v>3391</v>
      </c>
      <c r="M6" s="22" t="s">
        <v>3880</v>
      </c>
      <c r="N6" s="22" t="s">
        <v>3394</v>
      </c>
      <c r="O6" s="1032" t="s">
        <v>3882</v>
      </c>
      <c r="P6" s="22" t="s">
        <v>3874</v>
      </c>
      <c r="Q6" s="22" t="s">
        <v>3884</v>
      </c>
      <c r="R6" s="22" t="s">
        <v>3879</v>
      </c>
      <c r="S6" s="22" t="s">
        <v>3873</v>
      </c>
      <c r="T6" s="22" t="s">
        <v>3883</v>
      </c>
      <c r="U6" s="1033" t="s">
        <v>3414</v>
      </c>
    </row>
    <row r="7" spans="2:21" ht="15" customHeight="1" x14ac:dyDescent="0.25">
      <c r="B7" s="997" t="s">
        <v>3293</v>
      </c>
      <c r="C7" s="1056" t="s">
        <v>4078</v>
      </c>
      <c r="D7" s="1004" t="s">
        <v>3234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 x14ac:dyDescent="0.25">
      <c r="B8" s="997" t="s">
        <v>3296</v>
      </c>
      <c r="C8" s="997"/>
      <c r="D8" s="1004" t="s">
        <v>3887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 x14ac:dyDescent="0.25">
      <c r="B9" s="997" t="s">
        <v>3875</v>
      </c>
      <c r="C9" s="1056"/>
      <c r="D9" s="1004" t="s">
        <v>3822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 x14ac:dyDescent="0.25">
      <c r="B10" s="997" t="s">
        <v>179</v>
      </c>
      <c r="C10" s="1056" t="s">
        <v>4078</v>
      </c>
      <c r="D10" s="1004" t="s">
        <v>3513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 x14ac:dyDescent="0.25">
      <c r="B11" s="997" t="s">
        <v>3878</v>
      </c>
      <c r="C11" s="1056" t="s">
        <v>4078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 x14ac:dyDescent="0.25">
      <c r="B12" s="1004" t="s">
        <v>3172</v>
      </c>
      <c r="C12" s="1004"/>
      <c r="D12" s="1004" t="s">
        <v>3886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 x14ac:dyDescent="0.25">
      <c r="B13" s="997" t="s">
        <v>3876</v>
      </c>
      <c r="C13" s="1056"/>
      <c r="D13" s="1004" t="s">
        <v>3822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 x14ac:dyDescent="0.25">
      <c r="B14" s="997" t="s">
        <v>3870</v>
      </c>
      <c r="C14" s="997"/>
      <c r="D14" s="1004" t="s">
        <v>3234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 x14ac:dyDescent="0.25">
      <c r="B15" s="997" t="s">
        <v>3869</v>
      </c>
      <c r="C15" s="1056" t="s">
        <v>4078</v>
      </c>
      <c r="D15" s="1004" t="s">
        <v>3822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 x14ac:dyDescent="0.25">
      <c r="B16" s="997" t="s">
        <v>74</v>
      </c>
      <c r="C16" s="1056" t="s">
        <v>4078</v>
      </c>
      <c r="D16" s="1004" t="s">
        <v>3886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 x14ac:dyDescent="0.25">
      <c r="B17" s="997" t="s">
        <v>3617</v>
      </c>
      <c r="C17" s="997"/>
      <c r="D17" s="1004" t="s">
        <v>3234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 x14ac:dyDescent="0.25">
      <c r="B18" s="997" t="s">
        <v>3868</v>
      </c>
      <c r="C18" s="1056" t="s">
        <v>4078</v>
      </c>
      <c r="D18" s="1004" t="s">
        <v>3234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 x14ac:dyDescent="0.25">
      <c r="B19" s="997" t="s">
        <v>3771</v>
      </c>
      <c r="C19" s="1056"/>
      <c r="D19" s="1004" t="s">
        <v>3822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 x14ac:dyDescent="0.25">
      <c r="B20" s="1072" t="s">
        <v>4105</v>
      </c>
      <c r="C20" s="1072"/>
      <c r="D20" s="1004" t="s">
        <v>3822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 x14ac:dyDescent="0.25">
      <c r="B21" s="997" t="s">
        <v>3297</v>
      </c>
      <c r="C21" s="1056" t="s">
        <v>4078</v>
      </c>
      <c r="D21" s="1004" t="s">
        <v>3886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 x14ac:dyDescent="0.25"/>
    <row r="23" spans="2:21" ht="15" customHeight="1" x14ac:dyDescent="0.25">
      <c r="C23" s="1056"/>
      <c r="U23" s="999">
        <f>SUMIF(C7:C21,"x",U7:U21)</f>
        <v>2510.9999999999995</v>
      </c>
    </row>
    <row r="24" spans="2:21" ht="15" customHeight="1" x14ac:dyDescent="0.25">
      <c r="U24" s="998">
        <f>U23/C2</f>
        <v>0.40499999999999992</v>
      </c>
    </row>
    <row r="25" spans="2:21" ht="15" customHeight="1" x14ac:dyDescent="0.25">
      <c r="B25" s="1012"/>
      <c r="C25" s="1012"/>
      <c r="E25" s="1026"/>
    </row>
    <row r="26" spans="2:21" ht="15" customHeight="1" x14ac:dyDescent="0.25">
      <c r="B26" s="1012"/>
      <c r="C26" s="1012"/>
      <c r="E26" s="1012"/>
    </row>
    <row r="27" spans="2:21" ht="15" customHeight="1" x14ac:dyDescent="0.25">
      <c r="B27" s="1012"/>
      <c r="C27" s="1012"/>
    </row>
    <row r="28" spans="2:21" ht="15" customHeight="1" x14ac:dyDescent="0.25">
      <c r="B28" s="1012"/>
      <c r="C28" s="1012"/>
    </row>
    <row r="29" spans="2:21" ht="15" customHeight="1" x14ac:dyDescent="0.25">
      <c r="B29" s="1012"/>
      <c r="C29" s="1012"/>
    </row>
    <row r="30" spans="2:21" ht="15" customHeight="1" x14ac:dyDescent="0.25">
      <c r="B30" s="1012"/>
      <c r="C30" s="1012"/>
    </row>
    <row r="31" spans="2:21" ht="15" customHeight="1" x14ac:dyDescent="0.25">
      <c r="B31" s="1012"/>
      <c r="C31" s="1012"/>
    </row>
    <row r="32" spans="2:21" ht="15" customHeight="1" x14ac:dyDescent="0.25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388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 x14ac:dyDescent="0.25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 x14ac:dyDescent="0.25">
      <c r="B2" s="4" t="s">
        <v>0</v>
      </c>
      <c r="C2" s="4" t="s">
        <v>1</v>
      </c>
      <c r="D2" s="4" t="s">
        <v>3199</v>
      </c>
      <c r="E2" s="4" t="s">
        <v>3621</v>
      </c>
      <c r="F2" s="4" t="s">
        <v>3620</v>
      </c>
      <c r="G2" s="4" t="s">
        <v>3622</v>
      </c>
      <c r="H2" s="4" t="s">
        <v>3619</v>
      </c>
      <c r="I2" s="4" t="s">
        <v>12</v>
      </c>
      <c r="J2" s="4" t="s">
        <v>3197</v>
      </c>
      <c r="K2" s="4" t="s">
        <v>3194</v>
      </c>
      <c r="L2" s="4" t="s">
        <v>349</v>
      </c>
      <c r="M2" s="4" t="s">
        <v>263</v>
      </c>
      <c r="N2" s="4" t="s">
        <v>9</v>
      </c>
      <c r="O2" s="4" t="s">
        <v>3198</v>
      </c>
      <c r="P2" s="4" t="s">
        <v>3623</v>
      </c>
    </row>
    <row r="3" spans="2:16" ht="15" customHeight="1" x14ac:dyDescent="0.25">
      <c r="B3" s="550">
        <v>46204</v>
      </c>
      <c r="C3" s="549" t="s">
        <v>3613</v>
      </c>
      <c r="D3" s="549" t="s">
        <v>3294</v>
      </c>
      <c r="E3" s="551">
        <v>27</v>
      </c>
      <c r="F3" s="551">
        <v>32</v>
      </c>
      <c r="G3" s="889">
        <v>71</v>
      </c>
      <c r="H3" s="888" t="s">
        <v>3350</v>
      </c>
      <c r="I3" s="886" t="s">
        <v>3196</v>
      </c>
      <c r="J3" s="844" t="s">
        <v>3353</v>
      </c>
      <c r="K3" s="549" t="s">
        <v>3192</v>
      </c>
      <c r="L3" s="844" t="s">
        <v>3203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3624</v>
      </c>
    </row>
    <row r="4" spans="2:16" ht="15" customHeight="1" x14ac:dyDescent="0.25">
      <c r="B4" s="550">
        <v>46214</v>
      </c>
      <c r="C4" s="549" t="s">
        <v>3695</v>
      </c>
      <c r="D4" s="549" t="s">
        <v>3294</v>
      </c>
      <c r="E4" s="551">
        <v>60</v>
      </c>
      <c r="F4" s="551">
        <v>1000</v>
      </c>
      <c r="G4" s="889" t="s">
        <v>3723</v>
      </c>
      <c r="H4" s="888" t="s">
        <v>3217</v>
      </c>
      <c r="I4" s="886" t="s">
        <v>3196</v>
      </c>
      <c r="J4" s="844" t="s">
        <v>3353</v>
      </c>
      <c r="K4" s="549" t="s">
        <v>3192</v>
      </c>
      <c r="L4" s="844" t="s">
        <v>3203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 x14ac:dyDescent="0.25">
      <c r="B5" s="550">
        <v>46215</v>
      </c>
      <c r="C5" s="549" t="s">
        <v>3726</v>
      </c>
      <c r="D5" s="549" t="s">
        <v>3747</v>
      </c>
      <c r="E5" s="551">
        <v>7.7726672431412629</v>
      </c>
      <c r="F5" s="551">
        <v>1000</v>
      </c>
      <c r="G5" s="889" t="s">
        <v>3723</v>
      </c>
      <c r="H5" s="954" t="s">
        <v>3748</v>
      </c>
      <c r="I5" s="952" t="s">
        <v>3291</v>
      </c>
      <c r="J5" s="952" t="s">
        <v>390</v>
      </c>
      <c r="K5" s="549" t="s">
        <v>3192</v>
      </c>
      <c r="L5" s="844" t="s">
        <v>3203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 x14ac:dyDescent="0.25">
      <c r="B6" s="550">
        <v>46216</v>
      </c>
      <c r="C6" s="549" t="s">
        <v>3751</v>
      </c>
      <c r="D6" s="549" t="s">
        <v>3747</v>
      </c>
      <c r="E6" s="551">
        <v>16.458385267982791</v>
      </c>
      <c r="F6" s="551">
        <v>1000</v>
      </c>
      <c r="G6" s="889" t="s">
        <v>3723</v>
      </c>
      <c r="H6" s="954" t="s">
        <v>3638</v>
      </c>
      <c r="I6" s="952" t="s">
        <v>3196</v>
      </c>
      <c r="J6" s="952" t="s">
        <v>390</v>
      </c>
      <c r="K6" s="549" t="s">
        <v>3192</v>
      </c>
      <c r="L6" s="844" t="s">
        <v>3203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 x14ac:dyDescent="0.25">
      <c r="B7" s="550">
        <v>46221</v>
      </c>
      <c r="C7" s="549" t="s">
        <v>3831</v>
      </c>
      <c r="D7" s="549" t="s">
        <v>3722</v>
      </c>
      <c r="E7" s="551">
        <v>8.4</v>
      </c>
      <c r="F7" s="551">
        <v>4.7</v>
      </c>
      <c r="G7" s="889">
        <v>35</v>
      </c>
      <c r="H7" s="954" t="s">
        <v>3350</v>
      </c>
      <c r="I7" s="952" t="s">
        <v>3196</v>
      </c>
      <c r="J7" s="952" t="s">
        <v>390</v>
      </c>
      <c r="K7" s="549" t="s">
        <v>3192</v>
      </c>
      <c r="L7" s="844" t="s">
        <v>3203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 x14ac:dyDescent="0.25">
      <c r="B8" s="550">
        <v>46221</v>
      </c>
      <c r="C8" s="549" t="s">
        <v>3837</v>
      </c>
      <c r="D8" s="549" t="s">
        <v>3749</v>
      </c>
      <c r="E8" s="551">
        <v>30</v>
      </c>
      <c r="F8" s="551">
        <v>30</v>
      </c>
      <c r="G8" s="889" t="s">
        <v>3723</v>
      </c>
      <c r="H8" s="954" t="s">
        <v>3638</v>
      </c>
      <c r="I8" s="952" t="s">
        <v>3196</v>
      </c>
      <c r="J8" s="952" t="s">
        <v>390</v>
      </c>
      <c r="K8" s="549" t="s">
        <v>3192</v>
      </c>
      <c r="L8" s="844" t="s">
        <v>3203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 x14ac:dyDescent="0.25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 x14ac:dyDescent="0.25">
      <c r="B2" s="550" t="s">
        <v>0</v>
      </c>
      <c r="C2" s="549" t="s">
        <v>1</v>
      </c>
      <c r="D2" s="578" t="s">
        <v>3199</v>
      </c>
      <c r="E2" s="549" t="s">
        <v>3191</v>
      </c>
      <c r="F2" s="549" t="s">
        <v>12</v>
      </c>
      <c r="G2" s="586" t="s">
        <v>3197</v>
      </c>
      <c r="H2" s="549" t="s">
        <v>3194</v>
      </c>
      <c r="I2" s="549" t="s">
        <v>349</v>
      </c>
      <c r="J2" s="551" t="s">
        <v>263</v>
      </c>
      <c r="K2" s="551" t="s">
        <v>9</v>
      </c>
      <c r="L2" s="552" t="s">
        <v>3198</v>
      </c>
      <c r="M2" s="593" t="s">
        <v>3377</v>
      </c>
    </row>
    <row r="3" spans="2:13" ht="15" customHeight="1" x14ac:dyDescent="0.25">
      <c r="B3" s="550">
        <v>46179.539074074077</v>
      </c>
      <c r="C3" s="549" t="s">
        <v>3162</v>
      </c>
      <c r="D3" s="578" t="s">
        <v>3200</v>
      </c>
      <c r="E3" s="549">
        <v>7</v>
      </c>
      <c r="F3" s="549" t="s">
        <v>3196</v>
      </c>
      <c r="G3" s="586" t="s">
        <v>390</v>
      </c>
      <c r="H3" s="549" t="s">
        <v>3193</v>
      </c>
      <c r="I3" s="549" t="s">
        <v>3195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 x14ac:dyDescent="0.25">
      <c r="B4" s="550">
        <v>46180.752916666665</v>
      </c>
      <c r="C4" s="549" t="s">
        <v>3155</v>
      </c>
      <c r="D4" s="578" t="s">
        <v>3200</v>
      </c>
      <c r="E4" s="549">
        <v>8</v>
      </c>
      <c r="F4" s="549" t="s">
        <v>3196</v>
      </c>
      <c r="G4" s="586" t="s">
        <v>390</v>
      </c>
      <c r="H4" s="549" t="s">
        <v>3193</v>
      </c>
      <c r="I4" s="549" t="s">
        <v>3195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3376</v>
      </c>
    </row>
    <row r="5" spans="2:13" ht="15" customHeight="1" x14ac:dyDescent="0.25">
      <c r="B5" s="550">
        <v>46181.919953703706</v>
      </c>
      <c r="C5" s="549" t="s">
        <v>3186</v>
      </c>
      <c r="D5" s="578" t="s">
        <v>3200</v>
      </c>
      <c r="E5" s="549">
        <v>8</v>
      </c>
      <c r="F5" s="549" t="s">
        <v>3196</v>
      </c>
      <c r="G5" s="586" t="s">
        <v>390</v>
      </c>
      <c r="H5" s="549" t="s">
        <v>3193</v>
      </c>
      <c r="I5" s="549" t="s">
        <v>3195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 x14ac:dyDescent="0.25">
      <c r="B6" s="550">
        <v>46182</v>
      </c>
      <c r="C6" s="549" t="s">
        <v>3208</v>
      </c>
      <c r="D6" s="578" t="s">
        <v>3204</v>
      </c>
      <c r="E6" s="549">
        <v>8</v>
      </c>
      <c r="F6" s="549" t="s">
        <v>3205</v>
      </c>
      <c r="G6" s="586" t="s">
        <v>3205</v>
      </c>
      <c r="H6" s="549" t="s">
        <v>3192</v>
      </c>
      <c r="I6" s="549" t="s">
        <v>3203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 x14ac:dyDescent="0.25">
      <c r="B7" s="550">
        <v>46182</v>
      </c>
      <c r="C7" s="549" t="s">
        <v>3207</v>
      </c>
      <c r="D7" s="578" t="s">
        <v>3200</v>
      </c>
      <c r="E7" s="549">
        <v>7</v>
      </c>
      <c r="F7" s="549" t="s">
        <v>3196</v>
      </c>
      <c r="G7" s="586" t="s">
        <v>390</v>
      </c>
      <c r="H7" s="549" t="s">
        <v>3193</v>
      </c>
      <c r="I7" s="549" t="s">
        <v>3195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 x14ac:dyDescent="0.25">
      <c r="B8" s="550">
        <v>46185</v>
      </c>
      <c r="C8" s="549" t="s">
        <v>3235</v>
      </c>
      <c r="D8" s="578" t="s">
        <v>3294</v>
      </c>
      <c r="E8" s="549">
        <v>8</v>
      </c>
      <c r="F8" s="549" t="s">
        <v>3205</v>
      </c>
      <c r="G8" s="586" t="s">
        <v>3353</v>
      </c>
      <c r="H8" s="549" t="s">
        <v>3193</v>
      </c>
      <c r="I8" s="549" t="s">
        <v>3195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 x14ac:dyDescent="0.25">
      <c r="B9" s="550">
        <v>46185</v>
      </c>
      <c r="C9" s="549" t="s">
        <v>3283</v>
      </c>
      <c r="D9" s="578" t="s">
        <v>3290</v>
      </c>
      <c r="E9" s="549">
        <v>8</v>
      </c>
      <c r="F9" s="549" t="s">
        <v>3291</v>
      </c>
      <c r="G9" s="586" t="s">
        <v>390</v>
      </c>
      <c r="H9" s="549" t="s">
        <v>3192</v>
      </c>
      <c r="I9" s="549" t="s">
        <v>3195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 x14ac:dyDescent="0.25">
      <c r="B10" s="550">
        <v>46186</v>
      </c>
      <c r="C10" s="549" t="s">
        <v>3274</v>
      </c>
      <c r="D10" s="578" t="s">
        <v>3292</v>
      </c>
      <c r="E10" s="549">
        <v>8</v>
      </c>
      <c r="F10" s="549" t="s">
        <v>3196</v>
      </c>
      <c r="G10" s="586" t="s">
        <v>390</v>
      </c>
      <c r="H10" s="549" t="s">
        <v>3193</v>
      </c>
      <c r="I10" s="549" t="s">
        <v>3203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3374</v>
      </c>
    </row>
    <row r="11" spans="2:13" ht="15" customHeight="1" x14ac:dyDescent="0.25">
      <c r="B11" s="550">
        <v>46189</v>
      </c>
      <c r="C11" s="549" t="s">
        <v>3307</v>
      </c>
      <c r="D11" s="578" t="s">
        <v>3294</v>
      </c>
      <c r="E11" s="549">
        <v>7</v>
      </c>
      <c r="F11" s="549" t="s">
        <v>3196</v>
      </c>
      <c r="G11" s="586" t="s">
        <v>3353</v>
      </c>
      <c r="H11" s="549" t="s">
        <v>3193</v>
      </c>
      <c r="I11" s="549" t="s">
        <v>3195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 x14ac:dyDescent="0.25">
      <c r="B12" s="550">
        <v>46189.75277777778</v>
      </c>
      <c r="C12" s="549" t="s">
        <v>3337</v>
      </c>
      <c r="D12" s="578" t="s">
        <v>3294</v>
      </c>
      <c r="E12" s="549">
        <v>7</v>
      </c>
      <c r="F12" s="549" t="s">
        <v>3196</v>
      </c>
      <c r="G12" s="586" t="s">
        <v>3353</v>
      </c>
      <c r="H12" s="549" t="s">
        <v>3192</v>
      </c>
      <c r="I12" s="549" t="s">
        <v>3195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 x14ac:dyDescent="0.25">
      <c r="B13" s="550">
        <v>46190.792118055557</v>
      </c>
      <c r="C13" s="549" t="s">
        <v>3318</v>
      </c>
      <c r="D13" s="578" t="s">
        <v>3294</v>
      </c>
      <c r="E13" s="549">
        <v>8</v>
      </c>
      <c r="F13" s="549" t="s">
        <v>3196</v>
      </c>
      <c r="G13" s="586" t="s">
        <v>3353</v>
      </c>
      <c r="H13" s="549" t="s">
        <v>3193</v>
      </c>
      <c r="I13" s="549" t="s">
        <v>3195</v>
      </c>
      <c r="J13" s="551">
        <v>100</v>
      </c>
      <c r="K13" s="551">
        <v>0.2</v>
      </c>
      <c r="L13" s="552">
        <f t="shared" si="0"/>
        <v>2E-3</v>
      </c>
      <c r="M13" s="599" t="s">
        <v>3375</v>
      </c>
    </row>
    <row r="14" spans="2:13" ht="15" customHeight="1" x14ac:dyDescent="0.25">
      <c r="B14" s="550">
        <v>46191</v>
      </c>
      <c r="C14" s="549" t="s">
        <v>3364</v>
      </c>
      <c r="D14" s="578" t="s">
        <v>3294</v>
      </c>
      <c r="E14" s="549">
        <v>8</v>
      </c>
      <c r="F14" s="549" t="s">
        <v>3196</v>
      </c>
      <c r="G14" s="586" t="s">
        <v>3353</v>
      </c>
      <c r="H14" s="549" t="s">
        <v>3193</v>
      </c>
      <c r="I14" s="549" t="s">
        <v>3195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 x14ac:dyDescent="0.25">
      <c r="B15" s="550">
        <v>46191</v>
      </c>
      <c r="C15" s="549" t="s">
        <v>3361</v>
      </c>
      <c r="D15" s="578" t="s">
        <v>3294</v>
      </c>
      <c r="E15" s="549">
        <v>7</v>
      </c>
      <c r="F15" s="549" t="s">
        <v>3196</v>
      </c>
      <c r="G15" s="586" t="s">
        <v>3353</v>
      </c>
      <c r="H15" s="549" t="s">
        <v>3193</v>
      </c>
      <c r="I15" s="549" t="s">
        <v>3195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3373</v>
      </c>
    </row>
    <row r="16" spans="2:13" ht="15" customHeight="1" x14ac:dyDescent="0.25">
      <c r="B16" s="550">
        <v>46191</v>
      </c>
      <c r="C16" s="549" t="s">
        <v>3355</v>
      </c>
      <c r="D16" s="578" t="s">
        <v>3294</v>
      </c>
      <c r="E16" s="549">
        <v>8</v>
      </c>
      <c r="F16" s="549" t="s">
        <v>3196</v>
      </c>
      <c r="G16" s="586" t="s">
        <v>3353</v>
      </c>
      <c r="H16" s="549" t="s">
        <v>3193</v>
      </c>
      <c r="I16" s="549" t="s">
        <v>3195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 x14ac:dyDescent="0.25">
      <c r="B17" s="550">
        <v>46192</v>
      </c>
      <c r="C17" s="549" t="s">
        <v>3476</v>
      </c>
      <c r="D17" s="578" t="s">
        <v>3294</v>
      </c>
      <c r="E17" s="549">
        <v>8</v>
      </c>
      <c r="F17" s="549" t="s">
        <v>3196</v>
      </c>
      <c r="G17" s="586" t="s">
        <v>3353</v>
      </c>
      <c r="H17" s="549" t="s">
        <v>3193</v>
      </c>
      <c r="I17" s="549" t="s">
        <v>3195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 x14ac:dyDescent="0.25">
      <c r="B18" s="550">
        <v>46192</v>
      </c>
      <c r="C18" s="549" t="s">
        <v>3473</v>
      </c>
      <c r="D18" s="578" t="s">
        <v>3294</v>
      </c>
      <c r="E18" s="549">
        <v>7</v>
      </c>
      <c r="F18" s="549" t="s">
        <v>3196</v>
      </c>
      <c r="G18" s="586" t="s">
        <v>3353</v>
      </c>
      <c r="H18" s="549" t="s">
        <v>3193</v>
      </c>
      <c r="I18" s="549" t="s">
        <v>3195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 x14ac:dyDescent="0.25">
      <c r="B19" s="550">
        <v>46193</v>
      </c>
      <c r="C19" s="549" t="s">
        <v>3466</v>
      </c>
      <c r="D19" s="578" t="s">
        <v>3294</v>
      </c>
      <c r="E19" s="549">
        <v>8</v>
      </c>
      <c r="F19" s="549" t="s">
        <v>3196</v>
      </c>
      <c r="G19" s="586" t="s">
        <v>3353</v>
      </c>
      <c r="H19" s="549" t="s">
        <v>3192</v>
      </c>
      <c r="I19" s="645" t="s">
        <v>3203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 x14ac:dyDescent="0.25">
      <c r="B20" s="550">
        <v>46193</v>
      </c>
      <c r="C20" s="549" t="s">
        <v>3459</v>
      </c>
      <c r="D20" s="578" t="s">
        <v>3200</v>
      </c>
      <c r="E20" s="549">
        <v>8</v>
      </c>
      <c r="F20" s="549" t="s">
        <v>3205</v>
      </c>
      <c r="G20" s="549" t="s">
        <v>3205</v>
      </c>
      <c r="H20" s="645" t="s">
        <v>3193</v>
      </c>
      <c r="I20" s="645" t="s">
        <v>3203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 x14ac:dyDescent="0.25">
      <c r="B21" s="550">
        <v>46196</v>
      </c>
      <c r="C21" s="549" t="s">
        <v>3504</v>
      </c>
      <c r="D21" s="578" t="s">
        <v>3294</v>
      </c>
      <c r="E21" s="549">
        <v>7</v>
      </c>
      <c r="F21" s="549" t="s">
        <v>3196</v>
      </c>
      <c r="G21" s="549" t="s">
        <v>3353</v>
      </c>
      <c r="H21" s="645" t="s">
        <v>3193</v>
      </c>
      <c r="I21" s="645" t="s">
        <v>3195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 x14ac:dyDescent="0.25">
      <c r="B22" s="550">
        <v>46196</v>
      </c>
      <c r="C22" s="549" t="s">
        <v>3503</v>
      </c>
      <c r="D22" s="578" t="s">
        <v>3294</v>
      </c>
      <c r="E22" s="549">
        <v>7</v>
      </c>
      <c r="F22" s="549" t="s">
        <v>3196</v>
      </c>
      <c r="G22" s="549" t="s">
        <v>3353</v>
      </c>
      <c r="H22" s="645" t="s">
        <v>3193</v>
      </c>
      <c r="I22" s="645" t="s">
        <v>3195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 x14ac:dyDescent="0.25">
      <c r="B23" s="550">
        <v>46202</v>
      </c>
      <c r="C23" s="549" t="s">
        <v>3594</v>
      </c>
      <c r="D23" s="578" t="s">
        <v>3294</v>
      </c>
      <c r="E23" s="549">
        <v>9</v>
      </c>
      <c r="F23" s="549" t="s">
        <v>3196</v>
      </c>
      <c r="G23" s="549" t="s">
        <v>3353</v>
      </c>
      <c r="H23" s="645" t="s">
        <v>3193</v>
      </c>
      <c r="I23" s="645" t="s">
        <v>3195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 x14ac:dyDescent="0.25">
      <c r="B24" s="550">
        <v>46204</v>
      </c>
      <c r="C24" s="549" t="s">
        <v>3608</v>
      </c>
      <c r="D24" s="578" t="s">
        <v>3294</v>
      </c>
      <c r="E24" s="549">
        <v>9</v>
      </c>
      <c r="F24" s="549" t="s">
        <v>3196</v>
      </c>
      <c r="G24" s="549" t="s">
        <v>3353</v>
      </c>
      <c r="H24" s="645" t="s">
        <v>3193</v>
      </c>
      <c r="I24" s="645" t="s">
        <v>3195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 x14ac:dyDescent="0.25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 x14ac:dyDescent="0.25">
      <c r="B2" s="1351" t="s">
        <v>266</v>
      </c>
      <c r="C2" s="1352" t="s">
        <v>385</v>
      </c>
      <c r="E2" s="1351" t="s">
        <v>266</v>
      </c>
      <c r="F2" s="1352" t="s">
        <v>385</v>
      </c>
      <c r="G2" s="1352" t="s">
        <v>3952</v>
      </c>
      <c r="H2" s="1352" t="s">
        <v>3949</v>
      </c>
      <c r="J2" s="1351" t="s">
        <v>266</v>
      </c>
      <c r="K2" s="1352" t="s">
        <v>385</v>
      </c>
      <c r="L2" s="1352" t="s">
        <v>3949</v>
      </c>
      <c r="N2" s="1351" t="s">
        <v>266</v>
      </c>
      <c r="O2" s="1352" t="s">
        <v>385</v>
      </c>
      <c r="P2" s="1352" t="s">
        <v>3949</v>
      </c>
      <c r="R2" s="1351" t="s">
        <v>266</v>
      </c>
      <c r="S2" s="1352" t="s">
        <v>385</v>
      </c>
      <c r="T2" s="1352" t="s">
        <v>3949</v>
      </c>
    </row>
    <row r="3" spans="2:20" ht="15" customHeight="1" x14ac:dyDescent="0.25">
      <c r="B3" s="1353" t="s">
        <v>3196</v>
      </c>
      <c r="C3" s="1354">
        <v>430.91</v>
      </c>
      <c r="E3" s="1353" t="s">
        <v>3196</v>
      </c>
      <c r="F3" s="1354">
        <v>343.95</v>
      </c>
      <c r="G3" s="1354">
        <v>4.1289795918367354</v>
      </c>
      <c r="H3" s="1355">
        <v>49</v>
      </c>
      <c r="I3" s="1030"/>
      <c r="J3" s="1353" t="s">
        <v>3951</v>
      </c>
      <c r="K3" s="1354">
        <v>167.39000000000004</v>
      </c>
      <c r="L3" s="1355">
        <v>38</v>
      </c>
      <c r="M3" s="1030"/>
      <c r="N3" s="1353" t="s">
        <v>3192</v>
      </c>
      <c r="O3" s="1354">
        <v>-0.25000000000001066</v>
      </c>
      <c r="P3" s="1355">
        <v>38</v>
      </c>
      <c r="R3" s="1353" t="s">
        <v>3195</v>
      </c>
      <c r="S3" s="1354">
        <v>254.81000000000012</v>
      </c>
      <c r="T3" s="1355">
        <v>35</v>
      </c>
    </row>
    <row r="4" spans="2:20" ht="15" customHeight="1" x14ac:dyDescent="0.25">
      <c r="B4" s="1359" t="s">
        <v>3930</v>
      </c>
      <c r="C4" s="1354">
        <v>114.71</v>
      </c>
      <c r="E4" s="1353" t="s">
        <v>3291</v>
      </c>
      <c r="F4" s="1354">
        <v>-144.39999999999998</v>
      </c>
      <c r="G4" s="1354">
        <v>6.1157894736842104</v>
      </c>
      <c r="H4" s="1355">
        <v>19</v>
      </c>
      <c r="I4" s="1030"/>
      <c r="J4" s="1353" t="s">
        <v>3950</v>
      </c>
      <c r="K4" s="1354">
        <v>119.11999999999996</v>
      </c>
      <c r="L4" s="1355">
        <v>27</v>
      </c>
      <c r="M4" s="1030"/>
      <c r="N4" s="1353" t="s">
        <v>3193</v>
      </c>
      <c r="O4" s="1354">
        <v>286.7600000000001</v>
      </c>
      <c r="P4" s="1355">
        <v>27</v>
      </c>
      <c r="R4" s="1353" t="s">
        <v>3203</v>
      </c>
      <c r="S4" s="1354">
        <v>31.699999999999964</v>
      </c>
      <c r="T4" s="1355">
        <v>30</v>
      </c>
    </row>
    <row r="5" spans="2:20" ht="15" customHeight="1" x14ac:dyDescent="0.25">
      <c r="B5" s="1359" t="s">
        <v>3931</v>
      </c>
      <c r="C5" s="1354">
        <v>-86.91</v>
      </c>
      <c r="E5" s="1353" t="s">
        <v>267</v>
      </c>
      <c r="F5" s="1354">
        <v>199.55</v>
      </c>
      <c r="G5" s="1354">
        <v>4.6841176470588231</v>
      </c>
      <c r="H5" s="1355">
        <v>68</v>
      </c>
      <c r="I5" s="1030"/>
      <c r="J5" s="1353" t="s">
        <v>267</v>
      </c>
      <c r="K5" s="1354">
        <v>286.51000000000005</v>
      </c>
      <c r="L5" s="1355">
        <v>65</v>
      </c>
      <c r="M5" s="1030"/>
      <c r="N5" s="1353" t="s">
        <v>267</v>
      </c>
      <c r="O5" s="1354">
        <v>286.5100000000001</v>
      </c>
      <c r="P5" s="1355">
        <v>65</v>
      </c>
      <c r="R5" s="1353" t="s">
        <v>267</v>
      </c>
      <c r="S5" s="1354">
        <v>286.51000000000028</v>
      </c>
      <c r="T5" s="1355">
        <v>65</v>
      </c>
    </row>
    <row r="6" spans="2:20" ht="15" customHeight="1" x14ac:dyDescent="0.25">
      <c r="B6" s="1359" t="s">
        <v>3932</v>
      </c>
      <c r="C6" s="1354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 x14ac:dyDescent="0.25">
      <c r="B7" s="1359" t="s">
        <v>3933</v>
      </c>
      <c r="C7" s="1354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 x14ac:dyDescent="0.25">
      <c r="B8" s="1359" t="s">
        <v>3934</v>
      </c>
      <c r="C8" s="1354">
        <v>-148.69</v>
      </c>
      <c r="E8" s="1351" t="s">
        <v>12</v>
      </c>
      <c r="F8" s="1352" t="s">
        <v>3196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 x14ac:dyDescent="0.25">
      <c r="B9" s="1359" t="s">
        <v>3935</v>
      </c>
      <c r="C9" s="1354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 x14ac:dyDescent="0.25">
      <c r="B10" s="1359" t="s">
        <v>3936</v>
      </c>
      <c r="C10" s="1354">
        <v>76.830000000000013</v>
      </c>
      <c r="E10" s="1351" t="s">
        <v>266</v>
      </c>
      <c r="F10" s="1352" t="s">
        <v>385</v>
      </c>
      <c r="G10" s="1352" t="s">
        <v>3952</v>
      </c>
      <c r="H10" s="1352" t="s">
        <v>3949</v>
      </c>
    </row>
    <row r="11" spans="2:20" ht="15" customHeight="1" x14ac:dyDescent="0.25">
      <c r="B11" s="1359" t="s">
        <v>3937</v>
      </c>
      <c r="C11" s="1354">
        <v>50.230000000000004</v>
      </c>
      <c r="E11" s="1353" t="s">
        <v>75</v>
      </c>
      <c r="F11" s="1354">
        <v>-484.33000000000004</v>
      </c>
      <c r="G11" s="1354">
        <v>3.6079999999999997</v>
      </c>
      <c r="H11" s="1355">
        <v>5</v>
      </c>
    </row>
    <row r="12" spans="2:20" ht="15" customHeight="1" x14ac:dyDescent="0.25">
      <c r="B12" s="1359" t="s">
        <v>3938</v>
      </c>
      <c r="C12" s="1354">
        <v>26.75</v>
      </c>
      <c r="E12" s="1353" t="s">
        <v>3350</v>
      </c>
      <c r="F12" s="1354">
        <v>68.160000000000011</v>
      </c>
      <c r="G12" s="1354">
        <v>3.625</v>
      </c>
      <c r="H12" s="1355">
        <v>4</v>
      </c>
    </row>
    <row r="13" spans="2:20" ht="15" customHeight="1" x14ac:dyDescent="0.25">
      <c r="B13" s="1359" t="s">
        <v>3939</v>
      </c>
      <c r="C13" s="1354">
        <v>78.309999999999988</v>
      </c>
      <c r="E13" s="1353" t="s">
        <v>3217</v>
      </c>
      <c r="F13" s="1354">
        <v>-51.780000000000008</v>
      </c>
      <c r="G13" s="1354">
        <v>3.8920000000000003</v>
      </c>
      <c r="H13" s="1355">
        <v>5</v>
      </c>
    </row>
    <row r="14" spans="2:20" ht="15" customHeight="1" x14ac:dyDescent="0.25">
      <c r="B14" s="1359" t="s">
        <v>3940</v>
      </c>
      <c r="C14" s="1354">
        <v>27.9</v>
      </c>
      <c r="E14" s="1353" t="s">
        <v>3592</v>
      </c>
      <c r="F14" s="1354">
        <v>-56.7</v>
      </c>
      <c r="G14" s="1354">
        <v>3.9249999999999998</v>
      </c>
      <c r="H14" s="1355">
        <v>2</v>
      </c>
    </row>
    <row r="15" spans="2:20" ht="15" customHeight="1" x14ac:dyDescent="0.25">
      <c r="B15" s="1359" t="s">
        <v>3941</v>
      </c>
      <c r="C15" s="1354">
        <v>44.44</v>
      </c>
      <c r="E15" s="1353" t="s">
        <v>3586</v>
      </c>
      <c r="F15" s="1354">
        <v>595.61999999999989</v>
      </c>
      <c r="G15" s="1354">
        <v>4.2961111111111112</v>
      </c>
      <c r="H15" s="1355">
        <v>18</v>
      </c>
    </row>
    <row r="16" spans="2:20" ht="15" customHeight="1" x14ac:dyDescent="0.25">
      <c r="B16" s="1359" t="s">
        <v>3943</v>
      </c>
      <c r="C16" s="1354">
        <v>10.86</v>
      </c>
      <c r="E16" s="1353" t="s">
        <v>3638</v>
      </c>
      <c r="F16" s="1354">
        <v>19.579999999999998</v>
      </c>
      <c r="G16" s="1354">
        <v>4.4666666666666668</v>
      </c>
      <c r="H16" s="1355">
        <v>3</v>
      </c>
    </row>
    <row r="17" spans="2:8" ht="15" customHeight="1" x14ac:dyDescent="0.25">
      <c r="B17" s="1359" t="s">
        <v>3944</v>
      </c>
      <c r="C17" s="1354">
        <v>29.54</v>
      </c>
      <c r="E17" s="1353" t="s">
        <v>3585</v>
      </c>
      <c r="F17" s="1354">
        <v>44.739999999999995</v>
      </c>
      <c r="G17" s="1354">
        <v>4.3449999999999998</v>
      </c>
      <c r="H17" s="1355">
        <v>2</v>
      </c>
    </row>
    <row r="18" spans="2:8" ht="15" customHeight="1" x14ac:dyDescent="0.25">
      <c r="B18" s="1353" t="s">
        <v>3291</v>
      </c>
      <c r="C18" s="1354">
        <v>-144.39999999999998</v>
      </c>
      <c r="E18" s="1353" t="s">
        <v>3587</v>
      </c>
      <c r="F18" s="1354">
        <v>295.62</v>
      </c>
      <c r="G18" s="1354">
        <v>4.2642857142857142</v>
      </c>
      <c r="H18" s="1355">
        <v>7</v>
      </c>
    </row>
    <row r="19" spans="2:8" ht="15" customHeight="1" x14ac:dyDescent="0.25">
      <c r="B19" s="1359" t="s">
        <v>3939</v>
      </c>
      <c r="C19" s="1354">
        <v>12.41</v>
      </c>
      <c r="E19" s="1353" t="s">
        <v>267</v>
      </c>
      <c r="F19" s="1354">
        <v>430.91000000000014</v>
      </c>
      <c r="G19" s="1354">
        <v>4.1113043478260867</v>
      </c>
      <c r="H19" s="1355">
        <v>46</v>
      </c>
    </row>
    <row r="20" spans="2:8" ht="15" customHeight="1" x14ac:dyDescent="0.25">
      <c r="B20" s="1359" t="s">
        <v>3941</v>
      </c>
      <c r="C20" s="1354">
        <v>-142.26999999999998</v>
      </c>
      <c r="E20" s="1026"/>
      <c r="F20" s="1026"/>
      <c r="G20" s="1026"/>
      <c r="H20" s="1026"/>
    </row>
    <row r="21" spans="2:8" ht="15" customHeight="1" x14ac:dyDescent="0.25">
      <c r="B21" s="1359" t="s">
        <v>3942</v>
      </c>
      <c r="C21" s="1354">
        <v>50.61</v>
      </c>
      <c r="E21" s="1026"/>
      <c r="F21" s="1026"/>
      <c r="G21" s="1026"/>
      <c r="H21" s="1026"/>
    </row>
    <row r="22" spans="2:8" ht="15" customHeight="1" x14ac:dyDescent="0.25">
      <c r="B22" s="1359" t="s">
        <v>3943</v>
      </c>
      <c r="C22" s="1354">
        <v>-14.3</v>
      </c>
      <c r="E22" s="1026"/>
      <c r="F22" s="1026"/>
      <c r="G22" s="1026"/>
      <c r="H22" s="1026"/>
    </row>
    <row r="23" spans="2:8" ht="15" customHeight="1" x14ac:dyDescent="0.25">
      <c r="B23" s="1359" t="s">
        <v>3944</v>
      </c>
      <c r="C23" s="1354">
        <v>-8.36</v>
      </c>
      <c r="E23" s="1026"/>
      <c r="F23" s="1026"/>
      <c r="G23" s="1026"/>
      <c r="H23" s="1026"/>
    </row>
    <row r="24" spans="2:8" ht="15" customHeight="1" x14ac:dyDescent="0.25">
      <c r="B24" s="1359" t="s">
        <v>3945</v>
      </c>
      <c r="C24" s="1354">
        <v>-0.91000000000000014</v>
      </c>
      <c r="E24" s="1026"/>
      <c r="F24" s="1026"/>
      <c r="G24" s="1026"/>
      <c r="H24" s="1026"/>
    </row>
    <row r="25" spans="2:8" ht="15" customHeight="1" x14ac:dyDescent="0.25">
      <c r="B25" s="1359" t="s">
        <v>3946</v>
      </c>
      <c r="C25" s="1354">
        <v>-100.96</v>
      </c>
      <c r="E25" s="1026"/>
      <c r="F25" s="1026"/>
      <c r="G25" s="1026"/>
      <c r="H25" s="1026"/>
    </row>
    <row r="26" spans="2:8" ht="15" customHeight="1" x14ac:dyDescent="0.25">
      <c r="B26" s="1359" t="s">
        <v>3947</v>
      </c>
      <c r="C26" s="1354">
        <v>27.269999999999996</v>
      </c>
      <c r="E26" s="1026"/>
      <c r="F26" s="1026"/>
      <c r="G26" s="1026"/>
    </row>
    <row r="27" spans="2:8" ht="15" customHeight="1" x14ac:dyDescent="0.25">
      <c r="B27" s="1359" t="s">
        <v>3948</v>
      </c>
      <c r="C27" s="1354">
        <v>32.11</v>
      </c>
      <c r="E27" s="1026"/>
      <c r="F27" s="1026"/>
      <c r="G27" s="1026"/>
    </row>
    <row r="28" spans="2:8" ht="15" customHeight="1" x14ac:dyDescent="0.25">
      <c r="B28" s="1353" t="s">
        <v>267</v>
      </c>
      <c r="C28" s="1354">
        <v>286.51000000000005</v>
      </c>
      <c r="E28" s="1026"/>
      <c r="F28" s="1026"/>
      <c r="G28" s="1026"/>
    </row>
    <row r="29" spans="2:8" ht="15" customHeight="1" x14ac:dyDescent="0.25">
      <c r="B29" s="1026"/>
      <c r="C29" s="1026"/>
    </row>
    <row r="30" spans="2:8" ht="15" customHeight="1" x14ac:dyDescent="0.25">
      <c r="B30" s="1026"/>
      <c r="C30" s="1026"/>
    </row>
    <row r="31" spans="2:8" ht="15" customHeight="1" x14ac:dyDescent="0.25">
      <c r="B31" s="1026"/>
      <c r="C31" s="1026"/>
    </row>
    <row r="32" spans="2:8" ht="15" customHeight="1" x14ac:dyDescent="0.25">
      <c r="B32" s="1026"/>
      <c r="C32" s="1026"/>
    </row>
    <row r="33" spans="2:3" ht="15" customHeight="1" x14ac:dyDescent="0.25">
      <c r="B33" s="1026"/>
      <c r="C33" s="1026"/>
    </row>
    <row r="34" spans="2:3" ht="15" customHeight="1" x14ac:dyDescent="0.25">
      <c r="B34" s="1026"/>
      <c r="C34" s="1026"/>
    </row>
    <row r="35" spans="2:3" ht="15" customHeight="1" x14ac:dyDescent="0.25">
      <c r="B35" s="1026"/>
      <c r="C35" s="1026"/>
    </row>
    <row r="36" spans="2:3" ht="15" customHeight="1" x14ac:dyDescent="0.25">
      <c r="B36" s="1026"/>
      <c r="C36" s="1026"/>
    </row>
    <row r="37" spans="2:3" ht="15" customHeight="1" x14ac:dyDescent="0.25">
      <c r="B37" s="1026"/>
      <c r="C37" s="1026"/>
    </row>
    <row r="38" spans="2:3" ht="15" customHeight="1" x14ac:dyDescent="0.25">
      <c r="B38" s="1026"/>
      <c r="C38" s="1026"/>
    </row>
    <row r="39" spans="2:3" ht="15" customHeight="1" x14ac:dyDescent="0.25">
      <c r="B39" s="1026"/>
      <c r="C39" s="1026"/>
    </row>
    <row r="40" spans="2:3" ht="15" customHeight="1" x14ac:dyDescent="0.25">
      <c r="B40" s="1026"/>
      <c r="C40" s="1026"/>
    </row>
    <row r="41" spans="2:3" ht="15" customHeight="1" x14ac:dyDescent="0.25">
      <c r="B41" s="1026"/>
      <c r="C41" s="1026"/>
    </row>
    <row r="42" spans="2:3" ht="15" customHeight="1" x14ac:dyDescent="0.25">
      <c r="B42" s="1026"/>
      <c r="C42" s="1026"/>
    </row>
    <row r="43" spans="2:3" ht="15" customHeight="1" x14ac:dyDescent="0.25">
      <c r="B43" s="1026"/>
      <c r="C43" s="1026"/>
    </row>
    <row r="44" spans="2:3" ht="15" customHeight="1" x14ac:dyDescent="0.25">
      <c r="B44" s="1026"/>
      <c r="C44" s="1026"/>
    </row>
    <row r="45" spans="2:3" ht="15" customHeight="1" x14ac:dyDescent="0.25">
      <c r="B45" s="1026"/>
      <c r="C45" s="1026"/>
    </row>
    <row r="46" spans="2:3" ht="15" customHeight="1" x14ac:dyDescent="0.25">
      <c r="B46" s="1026"/>
      <c r="C46" s="1026"/>
    </row>
    <row r="47" spans="2:3" ht="15" customHeight="1" x14ac:dyDescent="0.25">
      <c r="B47" s="1026"/>
      <c r="C47" s="1026"/>
    </row>
    <row r="56" spans="5:6" ht="15" customHeight="1" x14ac:dyDescent="0.25">
      <c r="E56" s="1026"/>
      <c r="F56" s="1026"/>
    </row>
    <row r="57" spans="5:6" ht="15" customHeight="1" x14ac:dyDescent="0.25">
      <c r="E57" s="1026"/>
      <c r="F57" s="1026"/>
    </row>
    <row r="58" spans="5:6" ht="15" customHeight="1" x14ac:dyDescent="0.25">
      <c r="E58" s="1026"/>
      <c r="F58" s="1026"/>
    </row>
    <row r="59" spans="5:6" ht="15" customHeight="1" x14ac:dyDescent="0.25">
      <c r="E59" s="1026"/>
      <c r="F59" s="1026"/>
    </row>
    <row r="60" spans="5:6" ht="15" customHeight="1" x14ac:dyDescent="0.25">
      <c r="E60" s="1026"/>
      <c r="F60" s="1026"/>
    </row>
    <row r="61" spans="5:6" ht="15" customHeight="1" x14ac:dyDescent="0.25">
      <c r="E61" s="1026"/>
      <c r="F61" s="1026"/>
    </row>
    <row r="62" spans="5:6" ht="15" customHeight="1" x14ac:dyDescent="0.25">
      <c r="E62" s="1026"/>
      <c r="F62" s="1026"/>
    </row>
    <row r="63" spans="5:6" ht="15" customHeight="1" x14ac:dyDescent="0.25">
      <c r="E63" s="1026"/>
      <c r="F63" s="1026"/>
    </row>
    <row r="64" spans="5:6" ht="15" customHeight="1" x14ac:dyDescent="0.25">
      <c r="E64" s="1026"/>
      <c r="F64" s="1026"/>
    </row>
    <row r="65" spans="5:6" ht="15" customHeight="1" x14ac:dyDescent="0.25">
      <c r="E65" s="1026"/>
      <c r="F65" s="1026"/>
    </row>
    <row r="66" spans="5:6" ht="15" customHeight="1" x14ac:dyDescent="0.25">
      <c r="E66" s="1026"/>
      <c r="F66" s="1026"/>
    </row>
    <row r="67" spans="5:6" ht="15" customHeight="1" x14ac:dyDescent="0.25">
      <c r="E67" s="1026"/>
      <c r="F67" s="1026"/>
    </row>
    <row r="68" spans="5:6" ht="15" customHeight="1" x14ac:dyDescent="0.25">
      <c r="E68" s="1026"/>
      <c r="F68" s="1026"/>
    </row>
    <row r="69" spans="5:6" ht="15" customHeight="1" x14ac:dyDescent="0.25">
      <c r="E69" s="1026"/>
      <c r="F69" s="1026"/>
    </row>
    <row r="70" spans="5:6" ht="15" customHeight="1" x14ac:dyDescent="0.25">
      <c r="E70" s="1026"/>
      <c r="F70" s="1026"/>
    </row>
    <row r="71" spans="5:6" ht="15" customHeight="1" x14ac:dyDescent="0.25">
      <c r="E71" s="1026"/>
      <c r="F71" s="1026"/>
    </row>
    <row r="72" spans="5:6" ht="15" customHeight="1" x14ac:dyDescent="0.25">
      <c r="E72" s="1026"/>
      <c r="F72" s="1026"/>
    </row>
    <row r="73" spans="5:6" ht="15" customHeight="1" x14ac:dyDescent="0.25">
      <c r="E73" s="1026"/>
      <c r="F73" s="1026"/>
    </row>
    <row r="74" spans="5:6" ht="15" customHeight="1" x14ac:dyDescent="0.25">
      <c r="E74" s="1026"/>
      <c r="F74" s="1026"/>
    </row>
    <row r="75" spans="5:6" ht="15" customHeight="1" x14ac:dyDescent="0.25">
      <c r="E75" s="1026"/>
      <c r="F75" s="1026"/>
    </row>
    <row r="76" spans="5:6" ht="15" customHeight="1" x14ac:dyDescent="0.25">
      <c r="E76" s="1026"/>
      <c r="F76" s="1026"/>
    </row>
    <row r="77" spans="5:6" ht="15" customHeight="1" x14ac:dyDescent="0.25">
      <c r="E77" s="1026"/>
      <c r="F77" s="1026"/>
    </row>
    <row r="78" spans="5:6" ht="15" customHeight="1" x14ac:dyDescent="0.25">
      <c r="E78" s="1026"/>
      <c r="F78" s="1026"/>
    </row>
    <row r="79" spans="5:6" ht="15" customHeight="1" x14ac:dyDescent="0.25">
      <c r="E79" s="1026"/>
      <c r="F79" s="1026"/>
    </row>
    <row r="80" spans="5:6" ht="15" customHeight="1" x14ac:dyDescent="0.25">
      <c r="E80" s="1026"/>
      <c r="F80" s="1026"/>
    </row>
    <row r="81" spans="5:6" ht="15" customHeight="1" x14ac:dyDescent="0.25">
      <c r="E81" s="1026"/>
      <c r="F81" s="1026"/>
    </row>
    <row r="82" spans="5:6" ht="15" customHeight="1" x14ac:dyDescent="0.25">
      <c r="E82" s="1026"/>
      <c r="F82" s="1026"/>
    </row>
    <row r="83" spans="5:6" ht="15" customHeight="1" x14ac:dyDescent="0.25">
      <c r="E83" s="1026"/>
      <c r="F83" s="1026"/>
    </row>
    <row r="84" spans="5:6" ht="15" customHeight="1" x14ac:dyDescent="0.25">
      <c r="E84" s="1026"/>
      <c r="F84" s="1026"/>
    </row>
    <row r="85" spans="5:6" ht="15" customHeight="1" x14ac:dyDescent="0.25">
      <c r="E85" s="1026"/>
      <c r="F85" s="1026"/>
    </row>
    <row r="86" spans="5:6" ht="15" customHeight="1" x14ac:dyDescent="0.25">
      <c r="E86" s="1026"/>
      <c r="F86" s="1026"/>
    </row>
    <row r="87" spans="5:6" ht="15" customHeight="1" x14ac:dyDescent="0.25">
      <c r="E87" s="1026"/>
      <c r="F87" s="1026"/>
    </row>
    <row r="88" spans="5:6" ht="15" customHeight="1" x14ac:dyDescent="0.25">
      <c r="E88" s="1026"/>
      <c r="F88" s="1026"/>
    </row>
    <row r="89" spans="5:6" ht="15" customHeight="1" x14ac:dyDescent="0.25">
      <c r="E89" s="1026"/>
      <c r="F89" s="1026"/>
    </row>
    <row r="90" spans="5:6" ht="15" customHeight="1" x14ac:dyDescent="0.25">
      <c r="E90" s="1026"/>
      <c r="F90" s="1026"/>
    </row>
    <row r="91" spans="5:6" ht="15" customHeight="1" x14ac:dyDescent="0.25">
      <c r="E91" s="1026"/>
      <c r="F91" s="1026"/>
    </row>
    <row r="92" spans="5:6" ht="15" customHeight="1" x14ac:dyDescent="0.25">
      <c r="E92" s="1026"/>
      <c r="F92" s="1026"/>
    </row>
    <row r="93" spans="5:6" ht="15" customHeight="1" x14ac:dyDescent="0.25">
      <c r="E93" s="1026"/>
      <c r="F93" s="1026"/>
    </row>
    <row r="94" spans="5:6" ht="15" customHeight="1" x14ac:dyDescent="0.25">
      <c r="E94" s="1026"/>
      <c r="F94" s="1026"/>
    </row>
    <row r="95" spans="5:6" ht="15" customHeight="1" x14ac:dyDescent="0.25">
      <c r="E95" s="1026"/>
      <c r="F95" s="1026"/>
    </row>
    <row r="96" spans="5:6" ht="15" customHeight="1" x14ac:dyDescent="0.25">
      <c r="E96" s="1026"/>
      <c r="F96" s="1026"/>
    </row>
    <row r="97" spans="5:6" ht="15" customHeight="1" x14ac:dyDescent="0.25">
      <c r="E97" s="1026"/>
      <c r="F97" s="1026"/>
    </row>
    <row r="98" spans="5:6" ht="15" customHeight="1" x14ac:dyDescent="0.25">
      <c r="E98" s="1026"/>
      <c r="F98" s="1026"/>
    </row>
    <row r="99" spans="5:6" ht="15" customHeight="1" x14ac:dyDescent="0.25">
      <c r="E99" s="1026"/>
      <c r="F99" s="1026"/>
    </row>
    <row r="100" spans="5:6" ht="15" customHeight="1" x14ac:dyDescent="0.25">
      <c r="E100" s="1026"/>
      <c r="F100" s="1026"/>
    </row>
    <row r="101" spans="5:6" ht="15" customHeight="1" x14ac:dyDescent="0.25">
      <c r="E101" s="1026"/>
      <c r="F101" s="1026"/>
    </row>
    <row r="102" spans="5:6" ht="15" customHeight="1" x14ac:dyDescent="0.25">
      <c r="E102" s="1026"/>
      <c r="F102" s="1026"/>
    </row>
    <row r="103" spans="5:6" ht="15" customHeight="1" x14ac:dyDescent="0.25">
      <c r="E103" s="1026"/>
      <c r="F103" s="1026"/>
    </row>
    <row r="104" spans="5:6" ht="15" customHeight="1" x14ac:dyDescent="0.25">
      <c r="E104" s="1026"/>
      <c r="F104" s="1026"/>
    </row>
    <row r="105" spans="5:6" ht="15" customHeight="1" x14ac:dyDescent="0.25">
      <c r="E105" s="1026"/>
      <c r="F105" s="1026"/>
    </row>
    <row r="106" spans="5:6" ht="15" customHeight="1" x14ac:dyDescent="0.25">
      <c r="E106" s="1026"/>
      <c r="F106" s="1026"/>
    </row>
    <row r="107" spans="5:6" ht="15" customHeight="1" x14ac:dyDescent="0.25">
      <c r="E107" s="1026"/>
      <c r="F107" s="1026"/>
    </row>
    <row r="108" spans="5:6" ht="15" customHeight="1" x14ac:dyDescent="0.25">
      <c r="E108" s="1026"/>
      <c r="F108" s="1026"/>
    </row>
    <row r="109" spans="5:6" ht="15" customHeight="1" x14ac:dyDescent="0.25">
      <c r="E109" s="1026"/>
      <c r="F109" s="1026"/>
    </row>
    <row r="110" spans="5:6" ht="15" customHeight="1" x14ac:dyDescent="0.25">
      <c r="E110" s="1026"/>
      <c r="F110" s="1026"/>
    </row>
    <row r="111" spans="5:6" ht="15" customHeight="1" x14ac:dyDescent="0.25">
      <c r="E111" s="1026"/>
      <c r="F111" s="1026"/>
    </row>
    <row r="112" spans="5:6" ht="15" customHeight="1" x14ac:dyDescent="0.25">
      <c r="E112" s="1026"/>
      <c r="F112" s="1026"/>
    </row>
    <row r="113" spans="5:6" ht="15" customHeight="1" x14ac:dyDescent="0.25">
      <c r="E113" s="1026"/>
      <c r="F113" s="1026"/>
    </row>
    <row r="114" spans="5:6" ht="15" customHeight="1" x14ac:dyDescent="0.25">
      <c r="E114" s="1026"/>
      <c r="F114" s="1026"/>
    </row>
    <row r="115" spans="5:6" ht="15" customHeight="1" x14ac:dyDescent="0.25">
      <c r="E115" s="1026"/>
      <c r="F115" s="1026"/>
    </row>
    <row r="116" spans="5:6" ht="15" customHeight="1" x14ac:dyDescent="0.25">
      <c r="E116" s="1026"/>
      <c r="F116" s="1026"/>
    </row>
    <row r="117" spans="5:6" ht="15" customHeight="1" x14ac:dyDescent="0.25">
      <c r="E117" s="1026"/>
      <c r="F117" s="1026"/>
    </row>
    <row r="118" spans="5:6" ht="15" customHeight="1" x14ac:dyDescent="0.25">
      <c r="E118" s="1026"/>
      <c r="F118" s="1026"/>
    </row>
    <row r="119" spans="5:6" ht="15" customHeight="1" x14ac:dyDescent="0.25">
      <c r="E119" s="1026"/>
      <c r="F119" s="1026"/>
    </row>
    <row r="120" spans="5:6" ht="15" customHeight="1" x14ac:dyDescent="0.25">
      <c r="E120" s="1026"/>
      <c r="F120" s="1026"/>
    </row>
    <row r="121" spans="5:6" ht="15" customHeight="1" x14ac:dyDescent="0.25">
      <c r="E121" s="1026"/>
      <c r="F121" s="1026"/>
    </row>
    <row r="122" spans="5:6" ht="15" customHeight="1" x14ac:dyDescent="0.25">
      <c r="E122" s="1026"/>
      <c r="F122" s="1026"/>
    </row>
    <row r="123" spans="5:6" ht="15" customHeight="1" x14ac:dyDescent="0.25">
      <c r="E123" s="1026"/>
      <c r="F123" s="1026"/>
    </row>
    <row r="124" spans="5:6" ht="15" customHeight="1" x14ac:dyDescent="0.25">
      <c r="E124" s="1026"/>
      <c r="F124" s="1026"/>
    </row>
    <row r="125" spans="5:6" ht="15" customHeight="1" x14ac:dyDescent="0.25">
      <c r="E125" s="1026"/>
      <c r="F125" s="1026"/>
    </row>
    <row r="126" spans="5:6" ht="15" customHeight="1" x14ac:dyDescent="0.25">
      <c r="E126" s="1026"/>
      <c r="F126" s="1026"/>
    </row>
    <row r="127" spans="5:6" ht="15" customHeight="1" x14ac:dyDescent="0.25">
      <c r="E127" s="1026"/>
      <c r="F127" s="1026"/>
    </row>
    <row r="128" spans="5:6" ht="15" customHeight="1" x14ac:dyDescent="0.25">
      <c r="E128" s="1026"/>
      <c r="F128" s="1026"/>
    </row>
    <row r="129" spans="5:6" ht="15" customHeight="1" x14ac:dyDescent="0.25">
      <c r="E129" s="1026"/>
      <c r="F129" s="1026"/>
    </row>
    <row r="130" spans="5:6" ht="15" customHeight="1" x14ac:dyDescent="0.25">
      <c r="E130" s="1026"/>
      <c r="F130" s="1026"/>
    </row>
    <row r="131" spans="5:6" ht="15" customHeight="1" x14ac:dyDescent="0.25">
      <c r="E131" s="1026"/>
      <c r="F131" s="1026"/>
    </row>
    <row r="132" spans="5:6" ht="15" customHeight="1" x14ac:dyDescent="0.25">
      <c r="E132" s="1026"/>
      <c r="F132" s="1026"/>
    </row>
    <row r="133" spans="5:6" ht="15" customHeight="1" x14ac:dyDescent="0.25">
      <c r="E133" s="1026"/>
      <c r="F133" s="1026"/>
    </row>
    <row r="134" spans="5:6" ht="15" customHeight="1" x14ac:dyDescent="0.25">
      <c r="E134" s="1026"/>
      <c r="F134" s="1026"/>
    </row>
    <row r="135" spans="5:6" ht="15" customHeight="1" x14ac:dyDescent="0.25">
      <c r="E135" s="1026"/>
      <c r="F135" s="1026"/>
    </row>
    <row r="136" spans="5:6" ht="15" customHeight="1" x14ac:dyDescent="0.25">
      <c r="E136" s="1026"/>
      <c r="F136" s="1026"/>
    </row>
    <row r="137" spans="5:6" ht="15" customHeight="1" x14ac:dyDescent="0.25">
      <c r="E137" s="1026"/>
      <c r="F137" s="1026"/>
    </row>
    <row r="138" spans="5:6" ht="15" customHeight="1" x14ac:dyDescent="0.25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 x14ac:dyDescent="0.25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 x14ac:dyDescent="0.25">
      <c r="B2" s="4" t="s">
        <v>0</v>
      </c>
      <c r="C2" s="4" t="s">
        <v>1</v>
      </c>
      <c r="D2" s="4" t="s">
        <v>3199</v>
      </c>
      <c r="E2" s="4" t="s">
        <v>3202</v>
      </c>
      <c r="F2" s="4" t="s">
        <v>72</v>
      </c>
      <c r="G2" s="4" t="s">
        <v>3973</v>
      </c>
      <c r="H2" s="4" t="s">
        <v>3234</v>
      </c>
      <c r="I2" s="4" t="s">
        <v>12</v>
      </c>
      <c r="J2" s="4" t="s">
        <v>3197</v>
      </c>
      <c r="K2" s="4" t="s">
        <v>3194</v>
      </c>
      <c r="L2" s="4" t="s">
        <v>349</v>
      </c>
      <c r="M2" s="4" t="s">
        <v>263</v>
      </c>
      <c r="N2" s="4" t="s">
        <v>9</v>
      </c>
      <c r="O2" s="4" t="s">
        <v>3198</v>
      </c>
    </row>
    <row r="3" spans="2:15" ht="15" customHeight="1" x14ac:dyDescent="0.25">
      <c r="B3" s="550">
        <v>46182</v>
      </c>
      <c r="C3" s="549" t="s">
        <v>3211</v>
      </c>
      <c r="D3" s="549" t="s">
        <v>3201</v>
      </c>
      <c r="E3" s="551">
        <v>4.09</v>
      </c>
      <c r="F3" s="868" t="s">
        <v>3585</v>
      </c>
      <c r="G3" s="1039" t="s">
        <v>3234</v>
      </c>
      <c r="H3" s="1031" t="s">
        <v>3950</v>
      </c>
      <c r="I3" s="549" t="s">
        <v>3196</v>
      </c>
      <c r="J3" s="549" t="s">
        <v>390</v>
      </c>
      <c r="K3" s="549" t="s">
        <v>3192</v>
      </c>
      <c r="L3" s="549" t="s">
        <v>3203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 x14ac:dyDescent="0.25">
      <c r="B4" s="550">
        <v>46196</v>
      </c>
      <c r="C4" s="549" t="s">
        <v>3509</v>
      </c>
      <c r="D4" s="549" t="s">
        <v>3294</v>
      </c>
      <c r="E4" s="551">
        <v>5</v>
      </c>
      <c r="F4" s="868" t="s">
        <v>3587</v>
      </c>
      <c r="G4" s="1039" t="s">
        <v>3234</v>
      </c>
      <c r="H4" s="1031" t="s">
        <v>3951</v>
      </c>
      <c r="I4" s="549" t="s">
        <v>3196</v>
      </c>
      <c r="J4" s="844" t="s">
        <v>3353</v>
      </c>
      <c r="K4" s="844" t="s">
        <v>3193</v>
      </c>
      <c r="L4" s="844" t="s">
        <v>3195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 x14ac:dyDescent="0.25">
      <c r="B5" s="550">
        <v>46197</v>
      </c>
      <c r="C5" s="549" t="s">
        <v>3523</v>
      </c>
      <c r="D5" s="549" t="s">
        <v>3294</v>
      </c>
      <c r="E5" s="551">
        <v>5.4</v>
      </c>
      <c r="F5" s="868" t="s">
        <v>3586</v>
      </c>
      <c r="G5" s="1039" t="s">
        <v>3234</v>
      </c>
      <c r="H5" s="1031" t="s">
        <v>3951</v>
      </c>
      <c r="I5" s="549" t="s">
        <v>3196</v>
      </c>
      <c r="J5" s="844" t="s">
        <v>3353</v>
      </c>
      <c r="K5" s="549" t="s">
        <v>3192</v>
      </c>
      <c r="L5" s="844" t="s">
        <v>3195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 x14ac:dyDescent="0.25">
      <c r="B6" s="550">
        <v>46197</v>
      </c>
      <c r="C6" s="549" t="s">
        <v>3516</v>
      </c>
      <c r="D6" s="549" t="s">
        <v>3294</v>
      </c>
      <c r="E6" s="551">
        <v>3.8</v>
      </c>
      <c r="F6" s="868" t="s">
        <v>3587</v>
      </c>
      <c r="G6" s="1039" t="s">
        <v>3234</v>
      </c>
      <c r="H6" s="1031" t="s">
        <v>3951</v>
      </c>
      <c r="I6" s="549" t="s">
        <v>3196</v>
      </c>
      <c r="J6" s="844" t="s">
        <v>3353</v>
      </c>
      <c r="K6" s="549" t="s">
        <v>3193</v>
      </c>
      <c r="L6" s="844" t="s">
        <v>3195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 x14ac:dyDescent="0.25">
      <c r="B7" s="550">
        <v>46198</v>
      </c>
      <c r="C7" s="549" t="s">
        <v>3531</v>
      </c>
      <c r="D7" s="549" t="s">
        <v>3200</v>
      </c>
      <c r="E7" s="551">
        <v>3.4</v>
      </c>
      <c r="F7" s="868" t="s">
        <v>3350</v>
      </c>
      <c r="G7" s="1039" t="s">
        <v>3234</v>
      </c>
      <c r="H7" s="1031" t="s">
        <v>3951</v>
      </c>
      <c r="I7" s="549" t="s">
        <v>3196</v>
      </c>
      <c r="J7" s="844" t="s">
        <v>390</v>
      </c>
      <c r="K7" s="549" t="s">
        <v>3193</v>
      </c>
      <c r="L7" s="844" t="s">
        <v>3195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 x14ac:dyDescent="0.25">
      <c r="B8" s="550">
        <v>46199</v>
      </c>
      <c r="C8" s="549" t="s">
        <v>3558</v>
      </c>
      <c r="D8" s="549" t="s">
        <v>3290</v>
      </c>
      <c r="E8" s="551">
        <v>5</v>
      </c>
      <c r="F8" s="868" t="s">
        <v>3586</v>
      </c>
      <c r="G8" s="1039" t="s">
        <v>3234</v>
      </c>
      <c r="H8" s="1031" t="s">
        <v>3951</v>
      </c>
      <c r="I8" s="549" t="s">
        <v>3196</v>
      </c>
      <c r="J8" s="844" t="s">
        <v>390</v>
      </c>
      <c r="K8" s="549" t="s">
        <v>3192</v>
      </c>
      <c r="L8" s="844" t="s">
        <v>3203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 x14ac:dyDescent="0.25">
      <c r="B9" s="550">
        <v>46200</v>
      </c>
      <c r="C9" s="549" t="s">
        <v>3553</v>
      </c>
      <c r="D9" s="549" t="s">
        <v>3590</v>
      </c>
      <c r="E9" s="551">
        <v>4.5999999999999996</v>
      </c>
      <c r="F9" s="868" t="s">
        <v>3585</v>
      </c>
      <c r="G9" s="1039" t="s">
        <v>3234</v>
      </c>
      <c r="H9" s="1031" t="s">
        <v>3950</v>
      </c>
      <c r="I9" s="549" t="s">
        <v>3196</v>
      </c>
      <c r="J9" s="844" t="s">
        <v>390</v>
      </c>
      <c r="K9" s="549" t="s">
        <v>3192</v>
      </c>
      <c r="L9" s="844" t="s">
        <v>3203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 x14ac:dyDescent="0.25">
      <c r="B10" s="550">
        <v>46200</v>
      </c>
      <c r="C10" s="549" t="s">
        <v>3551</v>
      </c>
      <c r="D10" s="549" t="s">
        <v>3200</v>
      </c>
      <c r="E10" s="551">
        <v>3.6</v>
      </c>
      <c r="F10" s="868" t="s">
        <v>3587</v>
      </c>
      <c r="G10" s="1039" t="s">
        <v>3234</v>
      </c>
      <c r="H10" s="1031" t="s">
        <v>3951</v>
      </c>
      <c r="I10" s="549" t="s">
        <v>3196</v>
      </c>
      <c r="J10" s="844" t="s">
        <v>390</v>
      </c>
      <c r="K10" s="549" t="s">
        <v>3193</v>
      </c>
      <c r="L10" s="844" t="s">
        <v>3195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 x14ac:dyDescent="0.25">
      <c r="B11" s="550">
        <v>46200</v>
      </c>
      <c r="C11" s="549" t="s">
        <v>3549</v>
      </c>
      <c r="D11" s="549" t="s">
        <v>3591</v>
      </c>
      <c r="E11" s="551">
        <v>3.75</v>
      </c>
      <c r="F11" s="868" t="s">
        <v>3592</v>
      </c>
      <c r="G11" s="1039" t="s">
        <v>3234</v>
      </c>
      <c r="H11" s="1031" t="s">
        <v>3950</v>
      </c>
      <c r="I11" s="549" t="s">
        <v>3196</v>
      </c>
      <c r="J11" s="844" t="s">
        <v>390</v>
      </c>
      <c r="K11" s="549" t="s">
        <v>3192</v>
      </c>
      <c r="L11" s="844" t="s">
        <v>3203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 x14ac:dyDescent="0.25">
      <c r="B12" s="550">
        <v>46200</v>
      </c>
      <c r="C12" s="549" t="s">
        <v>3547</v>
      </c>
      <c r="D12" s="549" t="s">
        <v>3591</v>
      </c>
      <c r="E12" s="551">
        <v>3.84</v>
      </c>
      <c r="F12" s="868" t="s">
        <v>75</v>
      </c>
      <c r="G12" s="1039" t="s">
        <v>3234</v>
      </c>
      <c r="H12" s="1031" t="s">
        <v>3950</v>
      </c>
      <c r="I12" s="549" t="s">
        <v>3196</v>
      </c>
      <c r="J12" s="844" t="s">
        <v>390</v>
      </c>
      <c r="K12" s="549" t="s">
        <v>3192</v>
      </c>
      <c r="L12" s="844" t="s">
        <v>3203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 x14ac:dyDescent="0.25">
      <c r="B13" s="550">
        <v>46201</v>
      </c>
      <c r="C13" s="549" t="s">
        <v>3539</v>
      </c>
      <c r="D13" s="549" t="s">
        <v>3201</v>
      </c>
      <c r="E13" s="551">
        <v>5.2</v>
      </c>
      <c r="F13" s="868" t="s">
        <v>3587</v>
      </c>
      <c r="G13" s="1039" t="s">
        <v>3234</v>
      </c>
      <c r="H13" s="1031" t="s">
        <v>3951</v>
      </c>
      <c r="I13" s="549" t="s">
        <v>3196</v>
      </c>
      <c r="J13" s="844" t="s">
        <v>390</v>
      </c>
      <c r="K13" s="549" t="s">
        <v>3192</v>
      </c>
      <c r="L13" s="844" t="s">
        <v>3203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 x14ac:dyDescent="0.25">
      <c r="B14" s="550">
        <v>46201</v>
      </c>
      <c r="C14" s="549" t="s">
        <v>3545</v>
      </c>
      <c r="D14" s="549" t="s">
        <v>3200</v>
      </c>
      <c r="E14" s="551">
        <v>3.3</v>
      </c>
      <c r="F14" s="868" t="s">
        <v>3586</v>
      </c>
      <c r="G14" s="1039" t="s">
        <v>3234</v>
      </c>
      <c r="H14" s="1031" t="s">
        <v>3950</v>
      </c>
      <c r="I14" s="549" t="s">
        <v>3196</v>
      </c>
      <c r="J14" s="844" t="s">
        <v>390</v>
      </c>
      <c r="K14" s="549" t="s">
        <v>3193</v>
      </c>
      <c r="L14" s="844" t="s">
        <v>3195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 x14ac:dyDescent="0.25">
      <c r="B15" s="550">
        <v>46201</v>
      </c>
      <c r="C15" s="549" t="s">
        <v>3542</v>
      </c>
      <c r="D15" s="549" t="s">
        <v>3200</v>
      </c>
      <c r="E15" s="551">
        <v>5</v>
      </c>
      <c r="F15" s="868" t="s">
        <v>3586</v>
      </c>
      <c r="G15" s="1039" t="s">
        <v>3234</v>
      </c>
      <c r="H15" s="1031" t="s">
        <v>3951</v>
      </c>
      <c r="I15" s="549" t="s">
        <v>3196</v>
      </c>
      <c r="J15" s="844" t="s">
        <v>390</v>
      </c>
      <c r="K15" s="549" t="s">
        <v>3193</v>
      </c>
      <c r="L15" s="844" t="s">
        <v>3195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 x14ac:dyDescent="0.25">
      <c r="B16" s="550">
        <v>46201</v>
      </c>
      <c r="C16" s="549" t="s">
        <v>3541</v>
      </c>
      <c r="D16" s="549" t="s">
        <v>3200</v>
      </c>
      <c r="E16" s="551">
        <v>3.45</v>
      </c>
      <c r="F16" s="868" t="s">
        <v>75</v>
      </c>
      <c r="G16" s="1039" t="s">
        <v>3234</v>
      </c>
      <c r="H16" s="1031" t="s">
        <v>3950</v>
      </c>
      <c r="I16" s="549" t="s">
        <v>3196</v>
      </c>
      <c r="J16" s="844" t="s">
        <v>390</v>
      </c>
      <c r="K16" s="549" t="s">
        <v>3193</v>
      </c>
      <c r="L16" s="844" t="s">
        <v>3195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 x14ac:dyDescent="0.25">
      <c r="B17" s="550">
        <v>46202</v>
      </c>
      <c r="C17" s="549" t="s">
        <v>3595</v>
      </c>
      <c r="D17" s="549" t="s">
        <v>3294</v>
      </c>
      <c r="E17" s="551">
        <v>5.5</v>
      </c>
      <c r="F17" s="868" t="s">
        <v>3217</v>
      </c>
      <c r="G17" s="1039" t="s">
        <v>3234</v>
      </c>
      <c r="H17" s="1031" t="s">
        <v>3951</v>
      </c>
      <c r="I17" s="549" t="s">
        <v>3291</v>
      </c>
      <c r="J17" s="844" t="s">
        <v>3353</v>
      </c>
      <c r="K17" s="549" t="s">
        <v>3192</v>
      </c>
      <c r="L17" s="844" t="s">
        <v>3195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 x14ac:dyDescent="0.25">
      <c r="B18" s="550">
        <v>46203</v>
      </c>
      <c r="C18" s="549" t="s">
        <v>3603</v>
      </c>
      <c r="D18" s="549" t="s">
        <v>3294</v>
      </c>
      <c r="E18" s="551">
        <v>2.96</v>
      </c>
      <c r="F18" s="868" t="s">
        <v>3586</v>
      </c>
      <c r="G18" s="1039" t="s">
        <v>3234</v>
      </c>
      <c r="H18" s="1031" t="s">
        <v>3950</v>
      </c>
      <c r="I18" s="549" t="s">
        <v>3196</v>
      </c>
      <c r="J18" s="844" t="s">
        <v>3353</v>
      </c>
      <c r="K18" s="549" t="s">
        <v>3193</v>
      </c>
      <c r="L18" s="844" t="s">
        <v>3195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 x14ac:dyDescent="0.25">
      <c r="B19" s="550">
        <v>46204</v>
      </c>
      <c r="C19" s="549" t="s">
        <v>3610</v>
      </c>
      <c r="D19" s="549" t="s">
        <v>3294</v>
      </c>
      <c r="E19" s="551">
        <v>5.4</v>
      </c>
      <c r="F19" s="868" t="s">
        <v>3586</v>
      </c>
      <c r="G19" s="1039" t="s">
        <v>3234</v>
      </c>
      <c r="H19" s="1031" t="s">
        <v>3951</v>
      </c>
      <c r="I19" s="549" t="s">
        <v>3291</v>
      </c>
      <c r="J19" s="844" t="s">
        <v>3353</v>
      </c>
      <c r="K19" s="549" t="s">
        <v>3192</v>
      </c>
      <c r="L19" s="844" t="s">
        <v>3203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 x14ac:dyDescent="0.25">
      <c r="B20" s="550">
        <v>46205</v>
      </c>
      <c r="C20" s="549" t="s">
        <v>3628</v>
      </c>
      <c r="D20" s="549" t="s">
        <v>3200</v>
      </c>
      <c r="E20" s="551">
        <v>3.55</v>
      </c>
      <c r="F20" s="868" t="s">
        <v>75</v>
      </c>
      <c r="G20" s="1039" t="s">
        <v>3234</v>
      </c>
      <c r="H20" s="1031" t="s">
        <v>3951</v>
      </c>
      <c r="I20" s="549" t="s">
        <v>3196</v>
      </c>
      <c r="J20" s="844" t="s">
        <v>390</v>
      </c>
      <c r="K20" s="549" t="s">
        <v>3193</v>
      </c>
      <c r="L20" s="844" t="s">
        <v>3195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 x14ac:dyDescent="0.25">
      <c r="B21" s="550">
        <v>46205</v>
      </c>
      <c r="C21" s="549" t="s">
        <v>3626</v>
      </c>
      <c r="D21" s="549" t="s">
        <v>3294</v>
      </c>
      <c r="E21" s="551">
        <v>3.8</v>
      </c>
      <c r="F21" s="868" t="s">
        <v>3638</v>
      </c>
      <c r="G21" s="1039" t="s">
        <v>3234</v>
      </c>
      <c r="H21" s="1031" t="s">
        <v>3950</v>
      </c>
      <c r="I21" s="549" t="s">
        <v>3196</v>
      </c>
      <c r="J21" s="844" t="s">
        <v>3353</v>
      </c>
      <c r="K21" s="549" t="s">
        <v>3193</v>
      </c>
      <c r="L21" s="844" t="s">
        <v>3195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 x14ac:dyDescent="0.25">
      <c r="B22" s="550">
        <v>46205</v>
      </c>
      <c r="C22" s="549" t="s">
        <v>3625</v>
      </c>
      <c r="D22" s="549" t="s">
        <v>3200</v>
      </c>
      <c r="E22" s="551">
        <v>6.8</v>
      </c>
      <c r="F22" s="868" t="s">
        <v>3587</v>
      </c>
      <c r="G22" s="1039" t="s">
        <v>3234</v>
      </c>
      <c r="H22" s="1031" t="s">
        <v>3951</v>
      </c>
      <c r="I22" s="549" t="s">
        <v>3291</v>
      </c>
      <c r="J22" s="844" t="s">
        <v>390</v>
      </c>
      <c r="K22" s="549" t="s">
        <v>3192</v>
      </c>
      <c r="L22" s="844" t="s">
        <v>3195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 x14ac:dyDescent="0.25">
      <c r="B23" s="550">
        <v>46206</v>
      </c>
      <c r="C23" s="549" t="s">
        <v>3648</v>
      </c>
      <c r="D23" s="549" t="s">
        <v>3590</v>
      </c>
      <c r="E23" s="551">
        <v>5.87</v>
      </c>
      <c r="F23" s="868" t="s">
        <v>3586</v>
      </c>
      <c r="G23" s="1039" t="s">
        <v>3234</v>
      </c>
      <c r="H23" s="1031" t="s">
        <v>3950</v>
      </c>
      <c r="I23" s="549" t="s">
        <v>3196</v>
      </c>
      <c r="J23" s="844" t="s">
        <v>390</v>
      </c>
      <c r="K23" s="549" t="s">
        <v>3192</v>
      </c>
      <c r="L23" s="844" t="s">
        <v>3203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 x14ac:dyDescent="0.25">
      <c r="B24" s="550">
        <v>46206</v>
      </c>
      <c r="C24" s="549" t="s">
        <v>3672</v>
      </c>
      <c r="D24" s="549" t="s">
        <v>3294</v>
      </c>
      <c r="E24" s="551">
        <v>4.5</v>
      </c>
      <c r="F24" s="868" t="s">
        <v>3587</v>
      </c>
      <c r="G24" s="1039" t="s">
        <v>3234</v>
      </c>
      <c r="H24" s="1031" t="s">
        <v>3951</v>
      </c>
      <c r="I24" s="549" t="s">
        <v>3196</v>
      </c>
      <c r="J24" s="1025" t="s">
        <v>3353</v>
      </c>
      <c r="K24" s="1025" t="s">
        <v>3193</v>
      </c>
      <c r="L24" s="1025" t="s">
        <v>3195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 x14ac:dyDescent="0.25">
      <c r="B25" s="550">
        <v>46207</v>
      </c>
      <c r="C25" s="549" t="s">
        <v>3664</v>
      </c>
      <c r="D25" s="549" t="s">
        <v>3294</v>
      </c>
      <c r="E25" s="551">
        <v>3.45</v>
      </c>
      <c r="F25" s="868" t="s">
        <v>3350</v>
      </c>
      <c r="G25" s="1039" t="s">
        <v>3234</v>
      </c>
      <c r="H25" s="1031" t="s">
        <v>3950</v>
      </c>
      <c r="I25" s="549" t="s">
        <v>3196</v>
      </c>
      <c r="J25" s="844" t="s">
        <v>3353</v>
      </c>
      <c r="K25" s="549" t="s">
        <v>3193</v>
      </c>
      <c r="L25" s="844" t="s">
        <v>3195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 x14ac:dyDescent="0.25">
      <c r="B26" s="550">
        <v>46207</v>
      </c>
      <c r="C26" s="549" t="s">
        <v>3663</v>
      </c>
      <c r="D26" s="549" t="s">
        <v>3200</v>
      </c>
      <c r="E26" s="551">
        <v>3.45</v>
      </c>
      <c r="F26" s="868" t="s">
        <v>3586</v>
      </c>
      <c r="G26" s="1039" t="s">
        <v>3234</v>
      </c>
      <c r="H26" s="1031" t="s">
        <v>3950</v>
      </c>
      <c r="I26" s="549" t="s">
        <v>3196</v>
      </c>
      <c r="J26" s="844" t="s">
        <v>390</v>
      </c>
      <c r="K26" s="549" t="s">
        <v>3193</v>
      </c>
      <c r="L26" s="844" t="s">
        <v>3203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 x14ac:dyDescent="0.25">
      <c r="B27" s="550">
        <v>46207</v>
      </c>
      <c r="C27" s="549" t="s">
        <v>3667</v>
      </c>
      <c r="D27" s="549" t="s">
        <v>3591</v>
      </c>
      <c r="E27" s="551">
        <v>6.8</v>
      </c>
      <c r="F27" s="905" t="s">
        <v>3586</v>
      </c>
      <c r="G27" s="1039" t="s">
        <v>3234</v>
      </c>
      <c r="H27" s="1031" t="s">
        <v>3951</v>
      </c>
      <c r="I27" s="549" t="s">
        <v>3291</v>
      </c>
      <c r="J27" s="844" t="s">
        <v>390</v>
      </c>
      <c r="K27" s="549" t="s">
        <v>3192</v>
      </c>
      <c r="L27" s="844" t="s">
        <v>3195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 x14ac:dyDescent="0.25">
      <c r="B28" s="550">
        <v>46207</v>
      </c>
      <c r="C28" s="549" t="s">
        <v>3662</v>
      </c>
      <c r="D28" s="549" t="s">
        <v>3200</v>
      </c>
      <c r="E28" s="551">
        <v>3.45</v>
      </c>
      <c r="F28" s="905" t="s">
        <v>3587</v>
      </c>
      <c r="G28" s="1039" t="s">
        <v>3234</v>
      </c>
      <c r="H28" s="1031" t="s">
        <v>3950</v>
      </c>
      <c r="I28" s="549" t="s">
        <v>3196</v>
      </c>
      <c r="J28" s="844" t="s">
        <v>390</v>
      </c>
      <c r="K28" s="549" t="s">
        <v>3193</v>
      </c>
      <c r="L28" s="844" t="s">
        <v>3195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 x14ac:dyDescent="0.25">
      <c r="B29" s="550">
        <v>46209</v>
      </c>
      <c r="C29" s="549" t="s">
        <v>3679</v>
      </c>
      <c r="D29" s="549" t="s">
        <v>3200</v>
      </c>
      <c r="E29" s="551">
        <v>3.65</v>
      </c>
      <c r="F29" s="905" t="s">
        <v>3586</v>
      </c>
      <c r="G29" s="1039" t="s">
        <v>3234</v>
      </c>
      <c r="H29" s="1031" t="s">
        <v>3950</v>
      </c>
      <c r="I29" s="549" t="s">
        <v>3196</v>
      </c>
      <c r="J29" s="844" t="s">
        <v>390</v>
      </c>
      <c r="K29" s="549" t="s">
        <v>3193</v>
      </c>
      <c r="L29" s="844" t="s">
        <v>3195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 x14ac:dyDescent="0.25">
      <c r="B30" s="550">
        <v>46210</v>
      </c>
      <c r="C30" s="549" t="s">
        <v>3682</v>
      </c>
      <c r="D30" s="549" t="s">
        <v>3294</v>
      </c>
      <c r="E30" s="551">
        <v>5.0999999999999996</v>
      </c>
      <c r="F30" s="905" t="s">
        <v>3350</v>
      </c>
      <c r="G30" s="1039" t="s">
        <v>3234</v>
      </c>
      <c r="H30" s="1031" t="s">
        <v>3951</v>
      </c>
      <c r="I30" s="549" t="s">
        <v>3291</v>
      </c>
      <c r="J30" s="844" t="s">
        <v>3353</v>
      </c>
      <c r="K30" s="549" t="s">
        <v>3193</v>
      </c>
      <c r="L30" s="844" t="s">
        <v>3195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 x14ac:dyDescent="0.25">
      <c r="B31" s="550">
        <v>46212</v>
      </c>
      <c r="C31" s="549" t="s">
        <v>3690</v>
      </c>
      <c r="D31" s="549" t="s">
        <v>3294</v>
      </c>
      <c r="E31" s="551">
        <v>4</v>
      </c>
      <c r="F31" s="905" t="s">
        <v>3586</v>
      </c>
      <c r="G31" s="1039" t="s">
        <v>3234</v>
      </c>
      <c r="H31" s="1031" t="s">
        <v>3951</v>
      </c>
      <c r="I31" s="549" t="s">
        <v>3196</v>
      </c>
      <c r="J31" s="844" t="s">
        <v>3353</v>
      </c>
      <c r="K31" s="549" t="s">
        <v>3193</v>
      </c>
      <c r="L31" s="844" t="s">
        <v>3195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 x14ac:dyDescent="0.25">
      <c r="B32" s="550">
        <v>46213</v>
      </c>
      <c r="C32" s="549" t="s">
        <v>3716</v>
      </c>
      <c r="D32" s="549" t="s">
        <v>3591</v>
      </c>
      <c r="E32" s="551">
        <v>4.3</v>
      </c>
      <c r="F32" s="905" t="s">
        <v>3587</v>
      </c>
      <c r="G32" s="1039" t="s">
        <v>3234</v>
      </c>
      <c r="H32" s="1031" t="s">
        <v>3950</v>
      </c>
      <c r="I32" s="549" t="s">
        <v>3196</v>
      </c>
      <c r="J32" s="844" t="s">
        <v>390</v>
      </c>
      <c r="K32" s="549" t="s">
        <v>3192</v>
      </c>
      <c r="L32" s="844" t="s">
        <v>3203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 x14ac:dyDescent="0.25">
      <c r="B33" s="550">
        <v>46213</v>
      </c>
      <c r="C33" s="549" t="s">
        <v>3713</v>
      </c>
      <c r="D33" s="549" t="s">
        <v>3290</v>
      </c>
      <c r="E33" s="551">
        <v>4.0999999999999996</v>
      </c>
      <c r="F33" s="905" t="s">
        <v>3592</v>
      </c>
      <c r="G33" s="1039" t="s">
        <v>3234</v>
      </c>
      <c r="H33" s="1031" t="s">
        <v>3950</v>
      </c>
      <c r="I33" s="549" t="s">
        <v>3196</v>
      </c>
      <c r="J33" s="844" t="s">
        <v>390</v>
      </c>
      <c r="K33" s="549" t="s">
        <v>3192</v>
      </c>
      <c r="L33" s="844" t="s">
        <v>3203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 x14ac:dyDescent="0.25">
      <c r="B34" s="550">
        <v>46213</v>
      </c>
      <c r="C34" s="549" t="s">
        <v>3706</v>
      </c>
      <c r="D34" s="549" t="s">
        <v>3200</v>
      </c>
      <c r="E34" s="551">
        <v>3.35</v>
      </c>
      <c r="F34" s="905" t="s">
        <v>3350</v>
      </c>
      <c r="G34" s="1039" t="s">
        <v>3234</v>
      </c>
      <c r="H34" s="1031" t="s">
        <v>3950</v>
      </c>
      <c r="I34" s="549" t="s">
        <v>3196</v>
      </c>
      <c r="J34" s="844" t="s">
        <v>390</v>
      </c>
      <c r="K34" s="549" t="s">
        <v>3193</v>
      </c>
      <c r="L34" s="844" t="s">
        <v>3195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 x14ac:dyDescent="0.25">
      <c r="B35" s="550">
        <v>46214</v>
      </c>
      <c r="C35" s="549" t="s">
        <v>3701</v>
      </c>
      <c r="D35" s="549" t="s">
        <v>3591</v>
      </c>
      <c r="E35" s="551">
        <v>6.2</v>
      </c>
      <c r="F35" s="905" t="s">
        <v>3638</v>
      </c>
      <c r="G35" s="1039" t="s">
        <v>3234</v>
      </c>
      <c r="H35" s="1031" t="s">
        <v>3951</v>
      </c>
      <c r="I35" s="549" t="s">
        <v>3291</v>
      </c>
      <c r="J35" s="844" t="s">
        <v>390</v>
      </c>
      <c r="K35" s="549" t="s">
        <v>3192</v>
      </c>
      <c r="L35" s="844" t="s">
        <v>3203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 x14ac:dyDescent="0.25">
      <c r="B36" s="550">
        <v>46214</v>
      </c>
      <c r="C36" s="549" t="s">
        <v>3699</v>
      </c>
      <c r="D36" s="549" t="s">
        <v>3722</v>
      </c>
      <c r="E36" s="551">
        <v>4.2</v>
      </c>
      <c r="F36" s="905" t="s">
        <v>3586</v>
      </c>
      <c r="G36" s="1039" t="s">
        <v>3234</v>
      </c>
      <c r="H36" s="1031" t="s">
        <v>3950</v>
      </c>
      <c r="I36" s="549" t="s">
        <v>3196</v>
      </c>
      <c r="J36" s="844" t="s">
        <v>390</v>
      </c>
      <c r="K36" s="549" t="s">
        <v>3192</v>
      </c>
      <c r="L36" s="844" t="s">
        <v>3203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 x14ac:dyDescent="0.25">
      <c r="B37" s="550">
        <v>46214</v>
      </c>
      <c r="C37" s="549" t="s">
        <v>3694</v>
      </c>
      <c r="D37" s="549" t="s">
        <v>3294</v>
      </c>
      <c r="E37" s="551">
        <v>4.0999999999999996</v>
      </c>
      <c r="F37" s="905" t="s">
        <v>3217</v>
      </c>
      <c r="G37" s="1039" t="s">
        <v>3234</v>
      </c>
      <c r="H37" s="1031" t="s">
        <v>3951</v>
      </c>
      <c r="I37" s="549" t="s">
        <v>3196</v>
      </c>
      <c r="J37" s="844" t="s">
        <v>3353</v>
      </c>
      <c r="K37" s="549" t="s">
        <v>3192</v>
      </c>
      <c r="L37" s="844" t="s">
        <v>3203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 x14ac:dyDescent="0.25">
      <c r="B38" s="550">
        <v>46215</v>
      </c>
      <c r="C38" s="549" t="s">
        <v>3734</v>
      </c>
      <c r="D38" s="549" t="s">
        <v>3294</v>
      </c>
      <c r="E38" s="551">
        <v>3.61</v>
      </c>
      <c r="F38" s="905" t="s">
        <v>3217</v>
      </c>
      <c r="G38" s="1039" t="s">
        <v>3234</v>
      </c>
      <c r="H38" s="1031" t="s">
        <v>3951</v>
      </c>
      <c r="I38" s="549" t="s">
        <v>3196</v>
      </c>
      <c r="J38" s="844" t="s">
        <v>3353</v>
      </c>
      <c r="K38" s="549" t="s">
        <v>3193</v>
      </c>
      <c r="L38" s="844" t="s">
        <v>3195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 x14ac:dyDescent="0.25">
      <c r="B39" s="550">
        <v>46215</v>
      </c>
      <c r="C39" s="549" t="s">
        <v>3732</v>
      </c>
      <c r="D39" s="549" t="s">
        <v>3749</v>
      </c>
      <c r="E39" s="551">
        <v>5.6</v>
      </c>
      <c r="F39" s="905" t="s">
        <v>3586</v>
      </c>
      <c r="G39" s="1039" t="s">
        <v>3234</v>
      </c>
      <c r="H39" s="1031" t="s">
        <v>3951</v>
      </c>
      <c r="I39" s="549" t="s">
        <v>3291</v>
      </c>
      <c r="J39" s="844" t="s">
        <v>390</v>
      </c>
      <c r="K39" s="549" t="s">
        <v>3192</v>
      </c>
      <c r="L39" s="844" t="s">
        <v>3203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 x14ac:dyDescent="0.25">
      <c r="B40" s="550">
        <v>46215</v>
      </c>
      <c r="C40" s="549" t="s">
        <v>3730</v>
      </c>
      <c r="D40" s="549" t="s">
        <v>3749</v>
      </c>
      <c r="E40" s="551">
        <v>4.2</v>
      </c>
      <c r="F40" s="905" t="s">
        <v>3586</v>
      </c>
      <c r="G40" s="1039" t="s">
        <v>3234</v>
      </c>
      <c r="H40" s="1031" t="s">
        <v>3950</v>
      </c>
      <c r="I40" s="549" t="s">
        <v>3196</v>
      </c>
      <c r="J40" s="844" t="s">
        <v>390</v>
      </c>
      <c r="K40" s="549" t="s">
        <v>3192</v>
      </c>
      <c r="L40" s="844" t="s">
        <v>3203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 x14ac:dyDescent="0.25">
      <c r="B41" s="550">
        <v>46215</v>
      </c>
      <c r="C41" s="549" t="s">
        <v>3725</v>
      </c>
      <c r="D41" s="549" t="s">
        <v>3747</v>
      </c>
      <c r="E41" s="551">
        <v>5.8</v>
      </c>
      <c r="F41" s="905" t="s">
        <v>3638</v>
      </c>
      <c r="G41" s="1039" t="s">
        <v>3234</v>
      </c>
      <c r="H41" s="1031" t="s">
        <v>3950</v>
      </c>
      <c r="I41" s="549" t="s">
        <v>3291</v>
      </c>
      <c r="J41" s="844" t="s">
        <v>390</v>
      </c>
      <c r="K41" s="549" t="s">
        <v>3192</v>
      </c>
      <c r="L41" s="844" t="s">
        <v>3203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 x14ac:dyDescent="0.25">
      <c r="B42" s="550">
        <v>46216</v>
      </c>
      <c r="C42" s="549" t="s">
        <v>3753</v>
      </c>
      <c r="D42" s="549" t="s">
        <v>3747</v>
      </c>
      <c r="E42" s="551">
        <v>7.8</v>
      </c>
      <c r="F42" s="905" t="s">
        <v>3586</v>
      </c>
      <c r="G42" s="1039" t="s">
        <v>3234</v>
      </c>
      <c r="H42" s="1031" t="s">
        <v>3951</v>
      </c>
      <c r="I42" s="549" t="s">
        <v>3291</v>
      </c>
      <c r="J42" s="844" t="s">
        <v>390</v>
      </c>
      <c r="K42" s="549" t="s">
        <v>3192</v>
      </c>
      <c r="L42" s="844" t="s">
        <v>3195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 x14ac:dyDescent="0.25">
      <c r="B43" s="550">
        <v>46217</v>
      </c>
      <c r="C43" s="549" t="s">
        <v>3759</v>
      </c>
      <c r="D43" s="549" t="s">
        <v>3770</v>
      </c>
      <c r="E43" s="551">
        <v>5.5</v>
      </c>
      <c r="F43" s="905" t="s">
        <v>3586</v>
      </c>
      <c r="G43" s="1039" t="s">
        <v>3234</v>
      </c>
      <c r="H43" s="1031" t="s">
        <v>3951</v>
      </c>
      <c r="I43" s="549" t="s">
        <v>3196</v>
      </c>
      <c r="J43" s="844" t="s">
        <v>390</v>
      </c>
      <c r="K43" s="549" t="s">
        <v>3193</v>
      </c>
      <c r="L43" s="844" t="s">
        <v>3195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 x14ac:dyDescent="0.25">
      <c r="B44" s="550">
        <v>46217</v>
      </c>
      <c r="C44" s="549" t="s">
        <v>3758</v>
      </c>
      <c r="D44" s="549" t="s">
        <v>3770</v>
      </c>
      <c r="E44" s="551">
        <v>6.4</v>
      </c>
      <c r="F44" s="905" t="s">
        <v>3638</v>
      </c>
      <c r="G44" s="1039" t="s">
        <v>3234</v>
      </c>
      <c r="H44" s="1031" t="s">
        <v>3951</v>
      </c>
      <c r="I44" s="549" t="s">
        <v>3291</v>
      </c>
      <c r="J44" s="844" t="s">
        <v>390</v>
      </c>
      <c r="K44" s="549" t="s">
        <v>3192</v>
      </c>
      <c r="L44" s="844" t="s">
        <v>3195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 x14ac:dyDescent="0.25">
      <c r="B45" s="550">
        <v>46218</v>
      </c>
      <c r="C45" s="549" t="s">
        <v>3778</v>
      </c>
      <c r="D45" s="549" t="s">
        <v>3770</v>
      </c>
      <c r="E45" s="551">
        <v>6.4</v>
      </c>
      <c r="F45" s="905" t="s">
        <v>75</v>
      </c>
      <c r="G45" s="1039" t="s">
        <v>3234</v>
      </c>
      <c r="H45" s="1031" t="s">
        <v>3951</v>
      </c>
      <c r="I45" s="549" t="s">
        <v>3291</v>
      </c>
      <c r="J45" s="844" t="s">
        <v>390</v>
      </c>
      <c r="K45" s="549" t="s">
        <v>3192</v>
      </c>
      <c r="L45" s="844" t="s">
        <v>3195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 x14ac:dyDescent="0.25">
      <c r="B46" s="550">
        <v>46218</v>
      </c>
      <c r="C46" s="549" t="s">
        <v>3773</v>
      </c>
      <c r="D46" s="549" t="s">
        <v>3783</v>
      </c>
      <c r="E46" s="551">
        <v>4.2</v>
      </c>
      <c r="F46" s="905" t="s">
        <v>3217</v>
      </c>
      <c r="G46" s="1039" t="s">
        <v>3234</v>
      </c>
      <c r="H46" s="1031" t="s">
        <v>3951</v>
      </c>
      <c r="I46" s="549" t="s">
        <v>3196</v>
      </c>
      <c r="J46" s="844" t="s">
        <v>390</v>
      </c>
      <c r="K46" s="549" t="s">
        <v>3193</v>
      </c>
      <c r="L46" s="844" t="s">
        <v>3195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 x14ac:dyDescent="0.25">
      <c r="B47" s="550">
        <v>46219</v>
      </c>
      <c r="C47" s="549" t="s">
        <v>3795</v>
      </c>
      <c r="D47" s="549" t="s">
        <v>3800</v>
      </c>
      <c r="E47" s="551">
        <v>5</v>
      </c>
      <c r="F47" s="905" t="s">
        <v>3586</v>
      </c>
      <c r="G47" s="1039" t="s">
        <v>3234</v>
      </c>
      <c r="H47" s="1031" t="s">
        <v>3951</v>
      </c>
      <c r="I47" s="549" t="s">
        <v>3291</v>
      </c>
      <c r="J47" s="844" t="s">
        <v>390</v>
      </c>
      <c r="K47" s="549" t="s">
        <v>3192</v>
      </c>
      <c r="L47" s="844" t="s">
        <v>3195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 x14ac:dyDescent="0.25">
      <c r="B48" s="550">
        <v>46219</v>
      </c>
      <c r="C48" s="549" t="s">
        <v>3792</v>
      </c>
      <c r="D48" s="549" t="s">
        <v>1217</v>
      </c>
      <c r="E48" s="551">
        <v>6</v>
      </c>
      <c r="F48" s="905" t="s">
        <v>3586</v>
      </c>
      <c r="G48" s="1039" t="s">
        <v>3234</v>
      </c>
      <c r="H48" s="1031" t="s">
        <v>3951</v>
      </c>
      <c r="I48" s="549" t="s">
        <v>3196</v>
      </c>
      <c r="J48" s="844" t="s">
        <v>390</v>
      </c>
      <c r="K48" s="549" t="s">
        <v>3192</v>
      </c>
      <c r="L48" s="844" t="s">
        <v>3203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 x14ac:dyDescent="0.25">
      <c r="B49" s="550">
        <v>46220</v>
      </c>
      <c r="C49" s="549" t="s">
        <v>3813</v>
      </c>
      <c r="D49" s="549" t="s">
        <v>3821</v>
      </c>
      <c r="E49" s="551">
        <v>6</v>
      </c>
      <c r="F49" s="905" t="s">
        <v>3217</v>
      </c>
      <c r="G49" s="1039" t="s">
        <v>3234</v>
      </c>
      <c r="H49" s="1031" t="s">
        <v>3951</v>
      </c>
      <c r="I49" s="549" t="s">
        <v>3291</v>
      </c>
      <c r="J49" s="844" t="s">
        <v>390</v>
      </c>
      <c r="K49" s="549" t="s">
        <v>3192</v>
      </c>
      <c r="L49" s="844" t="s">
        <v>3203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 x14ac:dyDescent="0.25">
      <c r="B50" s="550">
        <v>46220</v>
      </c>
      <c r="C50" s="549" t="s">
        <v>3806</v>
      </c>
      <c r="D50" s="549" t="s">
        <v>3200</v>
      </c>
      <c r="E50" s="551">
        <v>3.05</v>
      </c>
      <c r="F50" s="905" t="s">
        <v>3586</v>
      </c>
      <c r="G50" s="1039" t="s">
        <v>3234</v>
      </c>
      <c r="H50" s="1031" t="s">
        <v>3950</v>
      </c>
      <c r="I50" s="549" t="s">
        <v>3196</v>
      </c>
      <c r="J50" s="844" t="s">
        <v>390</v>
      </c>
      <c r="K50" s="549" t="s">
        <v>3193</v>
      </c>
      <c r="L50" s="844" t="s">
        <v>3195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 x14ac:dyDescent="0.25">
      <c r="B51" s="550">
        <v>46220</v>
      </c>
      <c r="C51" s="549" t="s">
        <v>3802</v>
      </c>
      <c r="D51" s="549" t="s">
        <v>3844</v>
      </c>
      <c r="E51" s="551">
        <v>3.65</v>
      </c>
      <c r="F51" s="905" t="s">
        <v>3217</v>
      </c>
      <c r="G51" s="1039" t="s">
        <v>3234</v>
      </c>
      <c r="H51" s="1031" t="s">
        <v>3950</v>
      </c>
      <c r="I51" s="549" t="s">
        <v>3196</v>
      </c>
      <c r="J51" s="844" t="s">
        <v>390</v>
      </c>
      <c r="K51" s="549" t="s">
        <v>3193</v>
      </c>
      <c r="L51" s="844" t="s">
        <v>3203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 x14ac:dyDescent="0.25">
      <c r="B52" s="550">
        <v>46221</v>
      </c>
      <c r="C52" s="549" t="s">
        <v>3839</v>
      </c>
      <c r="D52" s="549" t="s">
        <v>3821</v>
      </c>
      <c r="E52" s="551">
        <v>5.4</v>
      </c>
      <c r="F52" s="905" t="s">
        <v>75</v>
      </c>
      <c r="G52" s="1039" t="s">
        <v>3234</v>
      </c>
      <c r="H52" s="1031" t="s">
        <v>3951</v>
      </c>
      <c r="I52" s="549" t="s">
        <v>3291</v>
      </c>
      <c r="J52" s="844" t="s">
        <v>390</v>
      </c>
      <c r="K52" s="549" t="s">
        <v>3192</v>
      </c>
      <c r="L52" s="844" t="s">
        <v>3203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 x14ac:dyDescent="0.25">
      <c r="B53" s="550">
        <v>46221</v>
      </c>
      <c r="C53" s="549" t="s">
        <v>3836</v>
      </c>
      <c r="D53" s="549" t="s">
        <v>3749</v>
      </c>
      <c r="E53" s="551">
        <v>4.4000000000000004</v>
      </c>
      <c r="F53" s="905" t="s">
        <v>3638</v>
      </c>
      <c r="G53" s="1039" t="s">
        <v>3234</v>
      </c>
      <c r="H53" s="1031" t="s">
        <v>3950</v>
      </c>
      <c r="I53" s="549" t="s">
        <v>3196</v>
      </c>
      <c r="J53" s="844" t="s">
        <v>390</v>
      </c>
      <c r="K53" s="549" t="s">
        <v>3192</v>
      </c>
      <c r="L53" s="844" t="s">
        <v>3203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 x14ac:dyDescent="0.25">
      <c r="B54" s="550">
        <v>46221</v>
      </c>
      <c r="C54" s="549" t="s">
        <v>3832</v>
      </c>
      <c r="D54" s="549" t="s">
        <v>3722</v>
      </c>
      <c r="E54" s="551">
        <v>6.8</v>
      </c>
      <c r="F54" s="905" t="s">
        <v>3638</v>
      </c>
      <c r="G54" s="1039" t="s">
        <v>3234</v>
      </c>
      <c r="H54" s="1031" t="s">
        <v>3951</v>
      </c>
      <c r="I54" s="549" t="s">
        <v>3291</v>
      </c>
      <c r="J54" s="844" t="s">
        <v>390</v>
      </c>
      <c r="K54" s="549" t="s">
        <v>3192</v>
      </c>
      <c r="L54" s="844" t="s">
        <v>3203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 x14ac:dyDescent="0.25">
      <c r="B55" s="550">
        <v>46221</v>
      </c>
      <c r="C55" s="549" t="s">
        <v>3830</v>
      </c>
      <c r="D55" s="549" t="s">
        <v>3722</v>
      </c>
      <c r="E55" s="551">
        <v>4.3</v>
      </c>
      <c r="F55" s="905" t="s">
        <v>3350</v>
      </c>
      <c r="G55" s="1039" t="s">
        <v>3234</v>
      </c>
      <c r="H55" s="1031" t="s">
        <v>3950</v>
      </c>
      <c r="I55" s="549" t="s">
        <v>3196</v>
      </c>
      <c r="J55" s="844" t="s">
        <v>390</v>
      </c>
      <c r="K55" s="549" t="s">
        <v>3192</v>
      </c>
      <c r="L55" s="844" t="s">
        <v>3203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 x14ac:dyDescent="0.25">
      <c r="B56" s="550">
        <v>46221</v>
      </c>
      <c r="C56" s="549" t="s">
        <v>3827</v>
      </c>
      <c r="D56" s="549" t="s">
        <v>3200</v>
      </c>
      <c r="E56" s="551">
        <v>3.4</v>
      </c>
      <c r="F56" s="905" t="s">
        <v>3586</v>
      </c>
      <c r="G56" s="1039" t="s">
        <v>3234</v>
      </c>
      <c r="H56" s="1031" t="s">
        <v>3951</v>
      </c>
      <c r="I56" s="549" t="s">
        <v>3196</v>
      </c>
      <c r="J56" s="844" t="s">
        <v>390</v>
      </c>
      <c r="K56" s="549" t="s">
        <v>3193</v>
      </c>
      <c r="L56" s="844" t="s">
        <v>3195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 x14ac:dyDescent="0.25">
      <c r="B57" s="550">
        <v>46221</v>
      </c>
      <c r="C57" s="549" t="s">
        <v>3825</v>
      </c>
      <c r="D57" s="549" t="s">
        <v>3200</v>
      </c>
      <c r="E57" s="551">
        <v>3.25</v>
      </c>
      <c r="F57" s="905" t="s">
        <v>75</v>
      </c>
      <c r="G57" s="1039" t="s">
        <v>3234</v>
      </c>
      <c r="H57" s="1031" t="s">
        <v>3950</v>
      </c>
      <c r="I57" s="549" t="s">
        <v>3196</v>
      </c>
      <c r="J57" s="844" t="s">
        <v>390</v>
      </c>
      <c r="K57" s="549" t="s">
        <v>3193</v>
      </c>
      <c r="L57" s="844" t="s">
        <v>3195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 x14ac:dyDescent="0.25">
      <c r="B58" s="550">
        <v>46222</v>
      </c>
      <c r="C58" s="549" t="s">
        <v>3846</v>
      </c>
      <c r="D58" s="549" t="s">
        <v>3749</v>
      </c>
      <c r="E58" s="551">
        <v>7.8</v>
      </c>
      <c r="F58" s="905" t="s">
        <v>3586</v>
      </c>
      <c r="G58" s="1039" t="s">
        <v>3234</v>
      </c>
      <c r="H58" s="1031" t="s">
        <v>3951</v>
      </c>
      <c r="I58" s="549" t="s">
        <v>3291</v>
      </c>
      <c r="J58" s="844" t="s">
        <v>390</v>
      </c>
      <c r="K58" s="549" t="s">
        <v>3192</v>
      </c>
      <c r="L58" s="844" t="s">
        <v>3195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 x14ac:dyDescent="0.25">
      <c r="B59" s="550">
        <v>46222</v>
      </c>
      <c r="C59" s="549" t="s">
        <v>3845</v>
      </c>
      <c r="D59" s="549" t="s">
        <v>3865</v>
      </c>
      <c r="E59" s="551">
        <v>5.2</v>
      </c>
      <c r="F59" s="905" t="s">
        <v>3638</v>
      </c>
      <c r="G59" s="1039" t="s">
        <v>3234</v>
      </c>
      <c r="H59" s="1031" t="s">
        <v>3951</v>
      </c>
      <c r="I59" s="549" t="s">
        <v>3196</v>
      </c>
      <c r="J59" s="844" t="s">
        <v>390</v>
      </c>
      <c r="K59" s="549" t="s">
        <v>3192</v>
      </c>
      <c r="L59" s="844" t="s">
        <v>3195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 x14ac:dyDescent="0.25">
      <c r="B60" s="550">
        <v>46222</v>
      </c>
      <c r="C60" s="549" t="s">
        <v>3847</v>
      </c>
      <c r="D60" s="549" t="s">
        <v>3866</v>
      </c>
      <c r="E60" s="551">
        <v>5.7</v>
      </c>
      <c r="F60" s="905" t="s">
        <v>16</v>
      </c>
      <c r="G60" s="1039" t="s">
        <v>3234</v>
      </c>
      <c r="H60" s="1031" t="s">
        <v>3951</v>
      </c>
      <c r="I60" s="549" t="s">
        <v>3291</v>
      </c>
      <c r="J60" s="844" t="s">
        <v>390</v>
      </c>
      <c r="K60" s="549" t="s">
        <v>3192</v>
      </c>
      <c r="L60" s="844" t="s">
        <v>3203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 x14ac:dyDescent="0.25">
      <c r="B61" s="550">
        <v>46222</v>
      </c>
      <c r="C61" s="549" t="s">
        <v>3852</v>
      </c>
      <c r="D61" s="549" t="s">
        <v>3867</v>
      </c>
      <c r="E61" s="551">
        <v>3.9</v>
      </c>
      <c r="F61" s="905" t="s">
        <v>3217</v>
      </c>
      <c r="G61" s="1039" t="s">
        <v>3234</v>
      </c>
      <c r="H61" s="1031" t="s">
        <v>3951</v>
      </c>
      <c r="I61" s="549" t="s">
        <v>3196</v>
      </c>
      <c r="J61" s="844" t="s">
        <v>390</v>
      </c>
      <c r="K61" s="549" t="s">
        <v>3193</v>
      </c>
      <c r="L61" s="844" t="s">
        <v>3195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 x14ac:dyDescent="0.25">
      <c r="B62" s="550">
        <v>46222</v>
      </c>
      <c r="C62" s="549" t="s">
        <v>3851</v>
      </c>
      <c r="D62" s="549" t="s">
        <v>3749</v>
      </c>
      <c r="E62" s="551">
        <v>5</v>
      </c>
      <c r="F62" s="905" t="s">
        <v>3586</v>
      </c>
      <c r="G62" s="1039" t="s">
        <v>3234</v>
      </c>
      <c r="H62" s="1031" t="s">
        <v>3951</v>
      </c>
      <c r="I62" s="549" t="s">
        <v>3196</v>
      </c>
      <c r="J62" s="844" t="s">
        <v>390</v>
      </c>
      <c r="K62" s="549" t="s">
        <v>3192</v>
      </c>
      <c r="L62" s="844" t="s">
        <v>3203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 x14ac:dyDescent="0.25">
      <c r="B63" s="550">
        <v>46222</v>
      </c>
      <c r="C63" s="549" t="s">
        <v>3861</v>
      </c>
      <c r="D63" s="549" t="s">
        <v>3749</v>
      </c>
      <c r="E63" s="551">
        <v>3.6</v>
      </c>
      <c r="F63" s="905" t="s">
        <v>3586</v>
      </c>
      <c r="G63" s="1039" t="s">
        <v>3234</v>
      </c>
      <c r="H63" s="1031" t="s">
        <v>3950</v>
      </c>
      <c r="I63" s="549" t="s">
        <v>3196</v>
      </c>
      <c r="J63" s="844" t="s">
        <v>390</v>
      </c>
      <c r="K63" s="549" t="s">
        <v>3192</v>
      </c>
      <c r="L63" s="844" t="s">
        <v>3203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 x14ac:dyDescent="0.25">
      <c r="B64" s="550">
        <v>46224</v>
      </c>
      <c r="C64" s="549" t="s">
        <v>3906</v>
      </c>
      <c r="D64" s="549" t="s">
        <v>3907</v>
      </c>
      <c r="E64" s="551">
        <v>6.2</v>
      </c>
      <c r="F64" s="905" t="s">
        <v>3638</v>
      </c>
      <c r="G64" s="1039" t="s">
        <v>3234</v>
      </c>
      <c r="H64" s="1031" t="s">
        <v>3951</v>
      </c>
      <c r="I64" s="549" t="s">
        <v>3291</v>
      </c>
      <c r="J64" s="844" t="s">
        <v>390</v>
      </c>
      <c r="K64" s="549" t="s">
        <v>3192</v>
      </c>
      <c r="L64" s="844" t="s">
        <v>3203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 x14ac:dyDescent="0.25">
      <c r="B65" s="550">
        <v>46225</v>
      </c>
      <c r="C65" s="549" t="s">
        <v>3923</v>
      </c>
      <c r="D65" s="549" t="s">
        <v>3200</v>
      </c>
      <c r="E65" s="551">
        <v>5.5</v>
      </c>
      <c r="F65" s="905" t="s">
        <v>3592</v>
      </c>
      <c r="G65" s="1039" t="s">
        <v>3234</v>
      </c>
      <c r="H65" s="1031" t="s">
        <v>3951</v>
      </c>
      <c r="I65" s="549" t="s">
        <v>3291</v>
      </c>
      <c r="J65" s="844" t="s">
        <v>390</v>
      </c>
      <c r="K65" s="549" t="s">
        <v>3193</v>
      </c>
      <c r="L65" s="844" t="s">
        <v>3195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 x14ac:dyDescent="0.25">
      <c r="B66" s="550">
        <v>46225</v>
      </c>
      <c r="C66" s="549" t="s">
        <v>3921</v>
      </c>
      <c r="D66" s="549" t="s">
        <v>3928</v>
      </c>
      <c r="E66" s="551">
        <v>3.95</v>
      </c>
      <c r="F66" s="905" t="s">
        <v>75</v>
      </c>
      <c r="G66" s="1039" t="s">
        <v>3234</v>
      </c>
      <c r="H66" s="1031" t="s">
        <v>3950</v>
      </c>
      <c r="I66" s="549" t="s">
        <v>3196</v>
      </c>
      <c r="J66" s="844" t="s">
        <v>390</v>
      </c>
      <c r="K66" s="549" t="s">
        <v>3192</v>
      </c>
      <c r="L66" s="844" t="s">
        <v>3203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 x14ac:dyDescent="0.25">
      <c r="B67" s="550">
        <v>46225</v>
      </c>
      <c r="C67" s="549" t="s">
        <v>3912</v>
      </c>
      <c r="D67" s="549" t="s">
        <v>3928</v>
      </c>
      <c r="E67" s="551">
        <v>3.75</v>
      </c>
      <c r="F67" s="905" t="s">
        <v>3586</v>
      </c>
      <c r="G67" s="1039" t="s">
        <v>3234</v>
      </c>
      <c r="H67" s="1031" t="s">
        <v>3950</v>
      </c>
      <c r="I67" s="549" t="s">
        <v>3196</v>
      </c>
      <c r="J67" s="844" t="s">
        <v>390</v>
      </c>
      <c r="K67" s="549" t="s">
        <v>3192</v>
      </c>
      <c r="L67" s="844" t="s">
        <v>3203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 x14ac:dyDescent="0.25">
      <c r="B68" s="550">
        <v>46226</v>
      </c>
      <c r="C68" s="549" t="s">
        <v>3968</v>
      </c>
      <c r="D68" s="549" t="s">
        <v>3928</v>
      </c>
      <c r="E68" s="551">
        <v>4.9000000000000004</v>
      </c>
      <c r="F68" s="905" t="s">
        <v>3350</v>
      </c>
      <c r="G68" s="1039" t="s">
        <v>3234</v>
      </c>
      <c r="H68" s="1031" t="s">
        <v>3951</v>
      </c>
      <c r="I68" s="549" t="s">
        <v>3196</v>
      </c>
      <c r="J68" s="844" t="s">
        <v>390</v>
      </c>
      <c r="K68" s="549" t="s">
        <v>3192</v>
      </c>
      <c r="L68" s="844" t="s">
        <v>3203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 x14ac:dyDescent="0.25">
      <c r="B69" s="550">
        <v>46226</v>
      </c>
      <c r="C69" s="549" t="s">
        <v>3965</v>
      </c>
      <c r="D69" s="549" t="s">
        <v>3844</v>
      </c>
      <c r="E69" s="551">
        <v>4.4000000000000004</v>
      </c>
      <c r="F69" s="905" t="s">
        <v>3586</v>
      </c>
      <c r="G69" s="1039" t="s">
        <v>3234</v>
      </c>
      <c r="H69" s="1031" t="s">
        <v>3951</v>
      </c>
      <c r="I69" s="549" t="s">
        <v>3196</v>
      </c>
      <c r="J69" s="844" t="s">
        <v>390</v>
      </c>
      <c r="K69" s="549" t="s">
        <v>3193</v>
      </c>
      <c r="L69" s="844" t="s">
        <v>3195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 x14ac:dyDescent="0.25">
      <c r="B70" s="550">
        <v>46226</v>
      </c>
      <c r="C70" s="549" t="s">
        <v>3961</v>
      </c>
      <c r="D70" s="549" t="s">
        <v>3844</v>
      </c>
      <c r="E70" s="551">
        <v>3.9</v>
      </c>
      <c r="F70" s="905" t="s">
        <v>75</v>
      </c>
      <c r="G70" s="1040" t="s">
        <v>3976</v>
      </c>
      <c r="H70" s="1031" t="s">
        <v>3950</v>
      </c>
      <c r="I70" s="549" t="s">
        <v>3196</v>
      </c>
      <c r="J70" s="844" t="s">
        <v>390</v>
      </c>
      <c r="K70" s="549" t="s">
        <v>3192</v>
      </c>
      <c r="L70" s="844" t="s">
        <v>3203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 x14ac:dyDescent="0.25">
      <c r="B71" s="550">
        <v>46226</v>
      </c>
      <c r="C71" s="549" t="s">
        <v>3956</v>
      </c>
      <c r="D71" s="549" t="s">
        <v>3783</v>
      </c>
      <c r="E71" s="551">
        <v>3.7</v>
      </c>
      <c r="F71" s="905" t="s">
        <v>3217</v>
      </c>
      <c r="G71" s="1039" t="s">
        <v>3974</v>
      </c>
      <c r="H71" s="1031"/>
      <c r="I71" s="549" t="s">
        <v>3196</v>
      </c>
      <c r="J71" s="844" t="s">
        <v>390</v>
      </c>
      <c r="K71" s="549" t="s">
        <v>3193</v>
      </c>
      <c r="L71" s="844" t="s">
        <v>3203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 x14ac:dyDescent="0.25">
      <c r="B72" s="550">
        <v>46227</v>
      </c>
      <c r="C72" s="549" t="s">
        <v>3982</v>
      </c>
      <c r="D72" s="549" t="s">
        <v>3994</v>
      </c>
      <c r="E72" s="551">
        <v>3.1</v>
      </c>
      <c r="F72" s="905" t="s">
        <v>16</v>
      </c>
      <c r="G72" s="1039" t="s">
        <v>3974</v>
      </c>
      <c r="H72" s="1031"/>
      <c r="I72" s="549" t="s">
        <v>3196</v>
      </c>
      <c r="J72" s="844" t="s">
        <v>390</v>
      </c>
      <c r="K72" s="549" t="s">
        <v>3193</v>
      </c>
      <c r="L72" s="844" t="s">
        <v>3195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 x14ac:dyDescent="0.25">
      <c r="B73" s="550">
        <v>46227</v>
      </c>
      <c r="C73" s="549" t="s">
        <v>3993</v>
      </c>
      <c r="D73" s="549" t="s">
        <v>3292</v>
      </c>
      <c r="E73" s="551">
        <v>4.8</v>
      </c>
      <c r="F73" s="905" t="s">
        <v>3586</v>
      </c>
      <c r="G73" s="1039" t="s">
        <v>3974</v>
      </c>
      <c r="H73" s="1031"/>
      <c r="I73" s="549" t="s">
        <v>3196</v>
      </c>
      <c r="J73" s="844" t="s">
        <v>390</v>
      </c>
      <c r="K73" s="549" t="s">
        <v>3192</v>
      </c>
      <c r="L73" s="844" t="s">
        <v>3203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 x14ac:dyDescent="0.25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 x14ac:dyDescent="0.25">
      <c r="D2" s="490" t="s">
        <v>2999</v>
      </c>
      <c r="E2" s="493">
        <v>1500</v>
      </c>
      <c r="G2" s="490" t="s">
        <v>3001</v>
      </c>
      <c r="H2" s="397">
        <f>E2*E3</f>
        <v>22.5</v>
      </c>
      <c r="J2" s="490" t="s">
        <v>3006</v>
      </c>
      <c r="K2" s="395">
        <f>COUNTA(betflow[Data])</f>
        <v>241</v>
      </c>
    </row>
    <row r="3" spans="2:16" ht="19.95" customHeight="1" x14ac:dyDescent="0.25">
      <c r="D3" s="490" t="s">
        <v>3000</v>
      </c>
      <c r="E3" s="491">
        <v>1.4999999999999999E-2</v>
      </c>
      <c r="G3" s="490" t="s">
        <v>3002</v>
      </c>
      <c r="H3" s="397">
        <f>H2*E5</f>
        <v>13.684329984249661</v>
      </c>
      <c r="J3" s="490" t="s">
        <v>3005</v>
      </c>
      <c r="K3" s="395">
        <f ca="1">_xlfn.DAYS(TODAY()-1,B8)</f>
        <v>117</v>
      </c>
    </row>
    <row r="4" spans="2:16" ht="19.95" customHeight="1" x14ac:dyDescent="0.25">
      <c r="D4" s="490" t="s">
        <v>81</v>
      </c>
      <c r="E4" s="494">
        <v>0.01</v>
      </c>
      <c r="G4" s="490" t="s">
        <v>3004</v>
      </c>
      <c r="H4" s="397">
        <f>SUM(H2:H3)</f>
        <v>36.184329984249658</v>
      </c>
      <c r="J4" s="490" t="s">
        <v>3007</v>
      </c>
      <c r="K4" s="397">
        <f ca="1">K2/K3</f>
        <v>2.0598290598290596</v>
      </c>
    </row>
    <row r="5" spans="2:16" ht="19.95" customHeight="1" x14ac:dyDescent="0.25">
      <c r="D5" s="490" t="s">
        <v>3003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3008</v>
      </c>
      <c r="K5" s="397">
        <f ca="1">K4*30*H5</f>
        <v>22.360060323600429</v>
      </c>
    </row>
    <row r="7" spans="2:16" ht="30" customHeight="1" x14ac:dyDescent="0.25">
      <c r="B7" s="400" t="s">
        <v>0</v>
      </c>
      <c r="C7" s="400" t="s">
        <v>1</v>
      </c>
      <c r="D7" s="400" t="s">
        <v>1798</v>
      </c>
      <c r="E7" s="400" t="s">
        <v>1799</v>
      </c>
      <c r="F7" s="400" t="s">
        <v>79</v>
      </c>
      <c r="G7" s="400" t="s">
        <v>1796</v>
      </c>
      <c r="H7" s="400" t="s">
        <v>1801</v>
      </c>
      <c r="I7" s="400" t="s">
        <v>1797</v>
      </c>
      <c r="J7" s="400" t="s">
        <v>1802</v>
      </c>
      <c r="K7" s="400" t="s">
        <v>1803</v>
      </c>
      <c r="L7" s="400" t="s">
        <v>1804</v>
      </c>
      <c r="M7" s="400" t="s">
        <v>1806</v>
      </c>
      <c r="N7" s="400" t="s">
        <v>262</v>
      </c>
      <c r="O7" s="400" t="s">
        <v>81</v>
      </c>
      <c r="P7" s="400" t="s">
        <v>1805</v>
      </c>
    </row>
    <row r="8" spans="2:16" ht="19.95" customHeight="1" x14ac:dyDescent="0.25">
      <c r="B8" s="396">
        <v>46140</v>
      </c>
      <c r="C8" s="395" t="s">
        <v>1794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1795</v>
      </c>
      <c r="I8" s="395" t="s">
        <v>1800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 x14ac:dyDescent="0.25">
      <c r="B9" s="396">
        <v>46141</v>
      </c>
      <c r="C9" s="395" t="s">
        <v>1792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1793</v>
      </c>
      <c r="I9" s="395" t="s">
        <v>1800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 x14ac:dyDescent="0.25">
      <c r="B10" s="396">
        <v>46142</v>
      </c>
      <c r="C10" s="395" t="s">
        <v>1824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1795</v>
      </c>
      <c r="I10" s="395" t="s">
        <v>1800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 x14ac:dyDescent="0.25">
      <c r="B11" s="396">
        <v>46142</v>
      </c>
      <c r="C11" s="395" t="s">
        <v>1825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1795</v>
      </c>
      <c r="I11" s="395" t="s">
        <v>1800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 x14ac:dyDescent="0.25">
      <c r="B12" s="396">
        <v>46142</v>
      </c>
      <c r="C12" s="395" t="s">
        <v>1826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1793</v>
      </c>
      <c r="I12" s="395" t="s">
        <v>1800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 x14ac:dyDescent="0.25">
      <c r="B13" s="396">
        <v>46143</v>
      </c>
      <c r="C13" s="395" t="s">
        <v>1827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1795</v>
      </c>
      <c r="I13" s="395" t="s">
        <v>1800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 x14ac:dyDescent="0.25">
      <c r="B14" s="396">
        <v>46143</v>
      </c>
      <c r="C14" s="395" t="s">
        <v>1828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1793</v>
      </c>
      <c r="I14" s="395" t="s">
        <v>1800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 x14ac:dyDescent="0.25">
      <c r="B15" s="396">
        <v>46143</v>
      </c>
      <c r="C15" s="395" t="s">
        <v>1829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1795</v>
      </c>
      <c r="I15" s="395" t="s">
        <v>1800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 x14ac:dyDescent="0.25">
      <c r="B16" s="396">
        <v>46143</v>
      </c>
      <c r="C16" s="395" t="s">
        <v>1828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1795</v>
      </c>
      <c r="I16" s="395" t="s">
        <v>1800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 x14ac:dyDescent="0.25">
      <c r="B17" s="396">
        <v>46143</v>
      </c>
      <c r="C17" s="395" t="s">
        <v>1830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1795</v>
      </c>
      <c r="I17" s="395" t="s">
        <v>1800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 x14ac:dyDescent="0.25">
      <c r="B18" s="396">
        <v>46143</v>
      </c>
      <c r="C18" s="395" t="s">
        <v>1831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1795</v>
      </c>
      <c r="I18" s="395" t="s">
        <v>1800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 x14ac:dyDescent="0.25">
      <c r="B19" s="396">
        <v>46143</v>
      </c>
      <c r="C19" s="395" t="s">
        <v>1832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1793</v>
      </c>
      <c r="I19" s="395" t="s">
        <v>1800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 x14ac:dyDescent="0.25">
      <c r="B20" s="396">
        <v>46144</v>
      </c>
      <c r="C20" s="395" t="s">
        <v>1833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1795</v>
      </c>
      <c r="I20" s="395" t="s">
        <v>1800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 x14ac:dyDescent="0.25">
      <c r="B21" s="396">
        <v>46144</v>
      </c>
      <c r="C21" s="395" t="s">
        <v>1834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1795</v>
      </c>
      <c r="I21" s="395" t="s">
        <v>1800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 x14ac:dyDescent="0.25">
      <c r="B22" s="396">
        <v>46144</v>
      </c>
      <c r="C22" s="395" t="s">
        <v>1835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1795</v>
      </c>
      <c r="I22" s="395" t="s">
        <v>1800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 x14ac:dyDescent="0.25">
      <c r="B23" s="396">
        <v>46144</v>
      </c>
      <c r="C23" s="395" t="s">
        <v>1833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1795</v>
      </c>
      <c r="I23" s="395" t="s">
        <v>1800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 x14ac:dyDescent="0.25">
      <c r="B24" s="396">
        <v>46144</v>
      </c>
      <c r="C24" s="395" t="s">
        <v>1836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1793</v>
      </c>
      <c r="I24" s="395" t="s">
        <v>1800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 x14ac:dyDescent="0.25">
      <c r="B25" s="396">
        <v>46144</v>
      </c>
      <c r="C25" s="395" t="s">
        <v>1836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1795</v>
      </c>
      <c r="I25" s="395" t="s">
        <v>1800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 x14ac:dyDescent="0.25">
      <c r="B26" s="396">
        <v>46144</v>
      </c>
      <c r="C26" s="395" t="s">
        <v>1837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1793</v>
      </c>
      <c r="I26" s="395" t="s">
        <v>1800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 x14ac:dyDescent="0.25">
      <c r="B27" s="396">
        <v>46144</v>
      </c>
      <c r="C27" s="395" t="s">
        <v>1838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1795</v>
      </c>
      <c r="I27" s="395" t="s">
        <v>1800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 x14ac:dyDescent="0.25">
      <c r="B28" s="396">
        <v>46144</v>
      </c>
      <c r="C28" s="395" t="s">
        <v>1839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1793</v>
      </c>
      <c r="I28" s="395" t="s">
        <v>1800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 x14ac:dyDescent="0.25">
      <c r="B29" s="396">
        <v>46144</v>
      </c>
      <c r="C29" s="395" t="s">
        <v>1840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1793</v>
      </c>
      <c r="I29" s="395" t="s">
        <v>1800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 x14ac:dyDescent="0.25">
      <c r="B30" s="396">
        <v>46144</v>
      </c>
      <c r="C30" s="395" t="s">
        <v>1839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1795</v>
      </c>
      <c r="I30" s="395" t="s">
        <v>1800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 x14ac:dyDescent="0.25">
      <c r="B31" s="396">
        <v>46144</v>
      </c>
      <c r="C31" s="395" t="s">
        <v>1841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1793</v>
      </c>
      <c r="I31" s="395" t="s">
        <v>1800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 x14ac:dyDescent="0.25">
      <c r="B32" s="396">
        <v>46144</v>
      </c>
      <c r="C32" s="395" t="s">
        <v>1842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1793</v>
      </c>
      <c r="I32" s="395" t="s">
        <v>1800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 x14ac:dyDescent="0.25">
      <c r="B33" s="396">
        <v>46144</v>
      </c>
      <c r="C33" s="395" t="s">
        <v>1843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1793</v>
      </c>
      <c r="I33" s="395" t="s">
        <v>1800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 x14ac:dyDescent="0.25">
      <c r="B34" s="396">
        <v>46145</v>
      </c>
      <c r="C34" s="395" t="s">
        <v>1844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1793</v>
      </c>
      <c r="I34" s="395" t="s">
        <v>1800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 x14ac:dyDescent="0.25">
      <c r="B35" s="396">
        <v>46145</v>
      </c>
      <c r="C35" s="395" t="s">
        <v>1845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1795</v>
      </c>
      <c r="I35" s="395" t="s">
        <v>1800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 x14ac:dyDescent="0.25">
      <c r="B36" s="396">
        <v>46145</v>
      </c>
      <c r="C36" s="395" t="s">
        <v>1846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1795</v>
      </c>
      <c r="I36" s="395" t="s">
        <v>1800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 x14ac:dyDescent="0.25">
      <c r="B37" s="396">
        <v>46145</v>
      </c>
      <c r="C37" s="395" t="s">
        <v>1847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1793</v>
      </c>
      <c r="I37" s="395" t="s">
        <v>1800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 x14ac:dyDescent="0.25">
      <c r="B38" s="396">
        <v>46145</v>
      </c>
      <c r="C38" s="395" t="s">
        <v>1848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1793</v>
      </c>
      <c r="I38" s="395" t="s">
        <v>1800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 x14ac:dyDescent="0.25">
      <c r="B39" s="396">
        <v>46145</v>
      </c>
      <c r="C39" s="395" t="s">
        <v>1849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1793</v>
      </c>
      <c r="I39" s="395" t="s">
        <v>1800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 x14ac:dyDescent="0.25">
      <c r="B40" s="396">
        <v>46145</v>
      </c>
      <c r="C40" s="395" t="s">
        <v>1850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1795</v>
      </c>
      <c r="I40" s="395" t="s">
        <v>1800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 x14ac:dyDescent="0.25">
      <c r="B41" s="396">
        <v>46145</v>
      </c>
      <c r="C41" s="395" t="s">
        <v>1851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1795</v>
      </c>
      <c r="I41" s="395" t="s">
        <v>1800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 x14ac:dyDescent="0.25">
      <c r="B42" s="396">
        <v>46146</v>
      </c>
      <c r="C42" s="395" t="s">
        <v>1852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1793</v>
      </c>
      <c r="I42" s="395" t="s">
        <v>1800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 x14ac:dyDescent="0.25">
      <c r="B43" s="396">
        <v>46146</v>
      </c>
      <c r="C43" s="395" t="s">
        <v>1853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1795</v>
      </c>
      <c r="I43" s="395" t="s">
        <v>1800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 x14ac:dyDescent="0.25">
      <c r="B44" s="396">
        <v>46146</v>
      </c>
      <c r="C44" s="395" t="s">
        <v>1908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1795</v>
      </c>
      <c r="I44" s="395" t="s">
        <v>1800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 x14ac:dyDescent="0.25">
      <c r="B45" s="396">
        <v>46146</v>
      </c>
      <c r="C45" s="395" t="s">
        <v>1907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1793</v>
      </c>
      <c r="I45" s="395" t="s">
        <v>1800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 x14ac:dyDescent="0.25">
      <c r="B46" s="396">
        <v>46146</v>
      </c>
      <c r="C46" s="395" t="s">
        <v>1906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1795</v>
      </c>
      <c r="I46" s="395" t="s">
        <v>1800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 x14ac:dyDescent="0.25">
      <c r="B47" s="396">
        <v>46147</v>
      </c>
      <c r="C47" s="395" t="s">
        <v>1905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1793</v>
      </c>
      <c r="I47" s="395" t="s">
        <v>1800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 x14ac:dyDescent="0.25">
      <c r="B48" s="396">
        <v>46147</v>
      </c>
      <c r="C48" s="395" t="s">
        <v>1904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1793</v>
      </c>
      <c r="I48" s="395" t="s">
        <v>1800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 x14ac:dyDescent="0.25">
      <c r="B49" s="396">
        <v>46147</v>
      </c>
      <c r="C49" s="395" t="s">
        <v>1903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1793</v>
      </c>
      <c r="I49" s="395" t="s">
        <v>1800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 x14ac:dyDescent="0.25">
      <c r="B50" s="396">
        <v>46147</v>
      </c>
      <c r="C50" s="395" t="s">
        <v>1902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1795</v>
      </c>
      <c r="I50" s="395" t="s">
        <v>1800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 x14ac:dyDescent="0.25">
      <c r="B51" s="396">
        <v>46147</v>
      </c>
      <c r="C51" s="395" t="s">
        <v>1901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1795</v>
      </c>
      <c r="I51" s="395" t="s">
        <v>1800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 x14ac:dyDescent="0.25">
      <c r="B52" s="396">
        <v>46147</v>
      </c>
      <c r="C52" s="395" t="s">
        <v>1900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1795</v>
      </c>
      <c r="I52" s="395" t="s">
        <v>1800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 x14ac:dyDescent="0.25">
      <c r="B53" s="396">
        <v>46148</v>
      </c>
      <c r="C53" s="395" t="s">
        <v>1899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1793</v>
      </c>
      <c r="I53" s="395" t="s">
        <v>1800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 x14ac:dyDescent="0.25">
      <c r="B54" s="396">
        <v>46148</v>
      </c>
      <c r="C54" s="395" t="s">
        <v>1898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1795</v>
      </c>
      <c r="I54" s="395" t="s">
        <v>1800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 x14ac:dyDescent="0.25">
      <c r="B55" s="396">
        <v>46148</v>
      </c>
      <c r="C55" s="395" t="s">
        <v>1897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1795</v>
      </c>
      <c r="I55" s="395" t="s">
        <v>1800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 x14ac:dyDescent="0.25">
      <c r="B56" s="396">
        <v>46148</v>
      </c>
      <c r="C56" s="395" t="s">
        <v>1896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1795</v>
      </c>
      <c r="I56" s="395" t="s">
        <v>1800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 x14ac:dyDescent="0.25">
      <c r="B57" s="396">
        <v>46148</v>
      </c>
      <c r="C57" s="395" t="s">
        <v>1895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1795</v>
      </c>
      <c r="I57" s="395" t="s">
        <v>1800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 x14ac:dyDescent="0.25">
      <c r="B58" s="396">
        <v>46148</v>
      </c>
      <c r="C58" s="395" t="s">
        <v>1894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1795</v>
      </c>
      <c r="I58" s="395" t="s">
        <v>1800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 x14ac:dyDescent="0.25">
      <c r="B59" s="396">
        <v>46149</v>
      </c>
      <c r="C59" s="395" t="s">
        <v>1893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1795</v>
      </c>
      <c r="I59" s="395" t="s">
        <v>1800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 x14ac:dyDescent="0.25">
      <c r="B60" s="396">
        <v>46149</v>
      </c>
      <c r="C60" s="395" t="s">
        <v>1892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1795</v>
      </c>
      <c r="I60" s="395" t="s">
        <v>1800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 x14ac:dyDescent="0.25">
      <c r="B61" s="396">
        <v>46149</v>
      </c>
      <c r="C61" s="395" t="s">
        <v>1891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1795</v>
      </c>
      <c r="I61" s="395" t="s">
        <v>1800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 x14ac:dyDescent="0.25">
      <c r="B62" s="396">
        <v>46149</v>
      </c>
      <c r="C62" s="395" t="s">
        <v>1890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1793</v>
      </c>
      <c r="I62" s="395" t="s">
        <v>1800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 x14ac:dyDescent="0.25">
      <c r="B63" s="396">
        <v>46150</v>
      </c>
      <c r="C63" s="395" t="s">
        <v>1889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1793</v>
      </c>
      <c r="I63" s="395" t="s">
        <v>1800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 x14ac:dyDescent="0.25">
      <c r="B64" s="396">
        <v>46150</v>
      </c>
      <c r="C64" s="395" t="s">
        <v>1888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1795</v>
      </c>
      <c r="I64" s="395" t="s">
        <v>1800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 x14ac:dyDescent="0.25">
      <c r="B65" s="396">
        <v>46150</v>
      </c>
      <c r="C65" s="395" t="s">
        <v>1852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1793</v>
      </c>
      <c r="I65" s="395" t="s">
        <v>1800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 x14ac:dyDescent="0.25">
      <c r="B66" s="396">
        <v>46150</v>
      </c>
      <c r="C66" s="395" t="s">
        <v>1887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1795</v>
      </c>
      <c r="I66" s="395" t="s">
        <v>1800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 x14ac:dyDescent="0.25">
      <c r="B67" s="396">
        <v>46150</v>
      </c>
      <c r="C67" s="395" t="s">
        <v>1886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1795</v>
      </c>
      <c r="I67" s="395" t="s">
        <v>1800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 x14ac:dyDescent="0.25">
      <c r="B68" s="396">
        <v>46150</v>
      </c>
      <c r="C68" s="395" t="s">
        <v>1885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1793</v>
      </c>
      <c r="I68" s="395" t="s">
        <v>1800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 x14ac:dyDescent="0.25">
      <c r="B69" s="396">
        <v>46150</v>
      </c>
      <c r="C69" s="395" t="s">
        <v>1884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1795</v>
      </c>
      <c r="I69" s="395" t="s">
        <v>1800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 x14ac:dyDescent="0.25">
      <c r="B70" s="396">
        <v>46150</v>
      </c>
      <c r="C70" s="395" t="s">
        <v>1883</v>
      </c>
      <c r="D70" s="398"/>
      <c r="E70" s="397"/>
      <c r="F70" s="397"/>
      <c r="H70" s="407"/>
      <c r="I70" s="395" t="s">
        <v>1800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 x14ac:dyDescent="0.25">
      <c r="B71" s="396">
        <v>46150</v>
      </c>
      <c r="C71" s="395" t="s">
        <v>1882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1795</v>
      </c>
      <c r="I71" s="395" t="s">
        <v>1800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 x14ac:dyDescent="0.25">
      <c r="B72" s="396">
        <v>46150</v>
      </c>
      <c r="C72" s="395" t="s">
        <v>1881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1795</v>
      </c>
      <c r="I72" s="395" t="s">
        <v>1800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 x14ac:dyDescent="0.25">
      <c r="B73" s="396">
        <v>46150</v>
      </c>
      <c r="C73" s="395" t="s">
        <v>1880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1795</v>
      </c>
      <c r="I73" s="395" t="s">
        <v>1800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 x14ac:dyDescent="0.25">
      <c r="B74" s="396">
        <v>46150</v>
      </c>
      <c r="C74" s="395" t="s">
        <v>1879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1793</v>
      </c>
      <c r="I74" s="395" t="s">
        <v>1800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 x14ac:dyDescent="0.25">
      <c r="B75" s="396">
        <v>46150</v>
      </c>
      <c r="C75" s="395" t="s">
        <v>1878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1795</v>
      </c>
      <c r="I75" s="395" t="s">
        <v>1800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 x14ac:dyDescent="0.25">
      <c r="B76" s="396">
        <v>46150</v>
      </c>
      <c r="C76" s="395" t="s">
        <v>1877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1795</v>
      </c>
      <c r="I76" s="395" t="s">
        <v>1800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 x14ac:dyDescent="0.25">
      <c r="B77" s="396">
        <v>46150</v>
      </c>
      <c r="C77" s="395" t="s">
        <v>1876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1795</v>
      </c>
      <c r="I77" s="395" t="s">
        <v>1800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 x14ac:dyDescent="0.25">
      <c r="B78" s="396">
        <v>46151</v>
      </c>
      <c r="C78" s="395" t="s">
        <v>1875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1793</v>
      </c>
      <c r="I78" s="395" t="s">
        <v>1800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 x14ac:dyDescent="0.25">
      <c r="B79" s="396">
        <v>46151</v>
      </c>
      <c r="C79" s="395" t="s">
        <v>1874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1795</v>
      </c>
      <c r="I79" s="395" t="s">
        <v>1800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 x14ac:dyDescent="0.25">
      <c r="B80" s="396">
        <v>46151</v>
      </c>
      <c r="C80" s="395" t="s">
        <v>1873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1795</v>
      </c>
      <c r="I80" s="395" t="s">
        <v>1800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 x14ac:dyDescent="0.25">
      <c r="B81" s="396">
        <v>46151</v>
      </c>
      <c r="C81" s="395" t="s">
        <v>1872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1793</v>
      </c>
      <c r="I81" s="395" t="s">
        <v>1800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 x14ac:dyDescent="0.25">
      <c r="B82" s="396">
        <v>46151</v>
      </c>
      <c r="C82" s="395" t="s">
        <v>1871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1795</v>
      </c>
      <c r="I82" s="395" t="s">
        <v>1800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 x14ac:dyDescent="0.25">
      <c r="B83" s="396">
        <v>46152</v>
      </c>
      <c r="C83" s="395" t="s">
        <v>1870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1793</v>
      </c>
      <c r="I83" s="395" t="s">
        <v>1800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 x14ac:dyDescent="0.25">
      <c r="B84" s="396">
        <v>46152</v>
      </c>
      <c r="C84" s="395" t="s">
        <v>1869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1793</v>
      </c>
      <c r="I84" s="395" t="s">
        <v>1800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 x14ac:dyDescent="0.25">
      <c r="B85" s="396">
        <v>46152</v>
      </c>
      <c r="C85" s="395" t="s">
        <v>1868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1795</v>
      </c>
      <c r="I85" s="395" t="s">
        <v>1800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 x14ac:dyDescent="0.25">
      <c r="B86" s="396">
        <v>46152</v>
      </c>
      <c r="C86" s="395" t="s">
        <v>1867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1793</v>
      </c>
      <c r="I86" s="395" t="s">
        <v>1800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 x14ac:dyDescent="0.25">
      <c r="B87" s="396">
        <v>46152</v>
      </c>
      <c r="C87" s="395" t="s">
        <v>1866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1795</v>
      </c>
      <c r="I87" s="395" t="s">
        <v>1800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 x14ac:dyDescent="0.25">
      <c r="B88" s="396">
        <v>46152</v>
      </c>
      <c r="C88" s="395" t="s">
        <v>1865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1793</v>
      </c>
      <c r="I88" s="395" t="s">
        <v>1800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 x14ac:dyDescent="0.25">
      <c r="B89" s="396">
        <v>46152</v>
      </c>
      <c r="C89" s="395" t="s">
        <v>1864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1795</v>
      </c>
      <c r="I89" s="395" t="s">
        <v>1800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 x14ac:dyDescent="0.25">
      <c r="B90" s="396">
        <v>46152</v>
      </c>
      <c r="C90" s="395" t="s">
        <v>1863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1795</v>
      </c>
      <c r="I90" s="395" t="s">
        <v>1800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 x14ac:dyDescent="0.25">
      <c r="B91" s="396">
        <v>46152</v>
      </c>
      <c r="C91" s="395" t="s">
        <v>1862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1795</v>
      </c>
      <c r="I91" s="395" t="s">
        <v>1800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 x14ac:dyDescent="0.25">
      <c r="B92" s="396">
        <v>46152</v>
      </c>
      <c r="C92" s="395" t="s">
        <v>1861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1795</v>
      </c>
      <c r="I92" s="395" t="s">
        <v>1800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 x14ac:dyDescent="0.25">
      <c r="B93" s="396">
        <v>46152</v>
      </c>
      <c r="C93" s="395" t="s">
        <v>1860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1793</v>
      </c>
      <c r="I93" s="395" t="s">
        <v>1800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 x14ac:dyDescent="0.25">
      <c r="B94" s="396">
        <v>46152</v>
      </c>
      <c r="C94" s="395" t="s">
        <v>1859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1793</v>
      </c>
      <c r="I94" s="395" t="s">
        <v>1800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 x14ac:dyDescent="0.25">
      <c r="B95" s="396">
        <v>46152</v>
      </c>
      <c r="C95" s="395" t="s">
        <v>1858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1793</v>
      </c>
      <c r="I95" s="395" t="s">
        <v>1800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 x14ac:dyDescent="0.25">
      <c r="B96" s="396">
        <v>46152</v>
      </c>
      <c r="C96" s="395" t="s">
        <v>1857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1793</v>
      </c>
      <c r="I96" s="395" t="s">
        <v>1800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 x14ac:dyDescent="0.25">
      <c r="B97" s="396">
        <v>46152</v>
      </c>
      <c r="C97" s="395" t="s">
        <v>1856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1795</v>
      </c>
      <c r="I97" s="395" t="s">
        <v>1800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 x14ac:dyDescent="0.25">
      <c r="B98" s="396">
        <v>46152</v>
      </c>
      <c r="C98" s="395" t="s">
        <v>1855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1793</v>
      </c>
      <c r="I98" s="395" t="s">
        <v>1800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 x14ac:dyDescent="0.25">
      <c r="B99" s="396">
        <v>46152</v>
      </c>
      <c r="C99" s="395" t="s">
        <v>1854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1793</v>
      </c>
      <c r="I99" s="395" t="s">
        <v>1800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 x14ac:dyDescent="0.25">
      <c r="B100" s="396">
        <v>46153</v>
      </c>
      <c r="C100" s="395" t="s">
        <v>2301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1795</v>
      </c>
      <c r="I100" s="395" t="s">
        <v>1800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 x14ac:dyDescent="0.25">
      <c r="B101" s="396">
        <v>46153</v>
      </c>
      <c r="C101" s="395" t="s">
        <v>2284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1793</v>
      </c>
      <c r="I101" s="395" t="s">
        <v>1800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 x14ac:dyDescent="0.25">
      <c r="B102" s="396">
        <v>46153</v>
      </c>
      <c r="C102" s="395" t="s">
        <v>2310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1793</v>
      </c>
      <c r="I102" s="395" t="s">
        <v>1800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 x14ac:dyDescent="0.25">
      <c r="B103" s="396">
        <v>46153</v>
      </c>
      <c r="C103" s="395" t="s">
        <v>2309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1793</v>
      </c>
      <c r="I103" s="395" t="s">
        <v>1800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 x14ac:dyDescent="0.25">
      <c r="B104" s="396">
        <v>46153</v>
      </c>
      <c r="C104" s="395" t="s">
        <v>2279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1793</v>
      </c>
      <c r="I104" s="395" t="s">
        <v>1800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 x14ac:dyDescent="0.25">
      <c r="B105" s="396">
        <v>46153</v>
      </c>
      <c r="C105" s="395" t="s">
        <v>2308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1795</v>
      </c>
      <c r="I105" s="395" t="s">
        <v>1800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 x14ac:dyDescent="0.25">
      <c r="B106" s="396">
        <v>46154</v>
      </c>
      <c r="C106" s="395" t="s">
        <v>2345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1795</v>
      </c>
      <c r="I106" s="395" t="s">
        <v>1800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 x14ac:dyDescent="0.25">
      <c r="B107" s="396">
        <v>46154</v>
      </c>
      <c r="C107" s="395" t="s">
        <v>2336</v>
      </c>
      <c r="D107" s="398"/>
      <c r="E107" s="397"/>
      <c r="F107" s="397"/>
      <c r="G107" s="397"/>
      <c r="H107" s="413" t="s">
        <v>1795</v>
      </c>
      <c r="I107" s="395" t="s">
        <v>1800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 x14ac:dyDescent="0.25">
      <c r="B108" s="396">
        <v>46154</v>
      </c>
      <c r="C108" s="395" t="s">
        <v>2344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1795</v>
      </c>
      <c r="I108" s="395" t="s">
        <v>1800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 x14ac:dyDescent="0.25">
      <c r="B109" s="396">
        <v>46154</v>
      </c>
      <c r="C109" s="395" t="s">
        <v>2343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1793</v>
      </c>
      <c r="I109" s="395" t="s">
        <v>1800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 x14ac:dyDescent="0.25">
      <c r="B110" s="396">
        <v>46154</v>
      </c>
      <c r="C110" s="395" t="s">
        <v>2342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1795</v>
      </c>
      <c r="I110" s="395" t="s">
        <v>1800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 x14ac:dyDescent="0.25">
      <c r="B111" s="396">
        <v>46154</v>
      </c>
      <c r="C111" s="395" t="s">
        <v>2341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1793</v>
      </c>
      <c r="I111" s="395" t="s">
        <v>1800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 x14ac:dyDescent="0.25">
      <c r="B112" s="396">
        <v>46154</v>
      </c>
      <c r="C112" s="395" t="s">
        <v>2340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1793</v>
      </c>
      <c r="I112" s="395" t="s">
        <v>1800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 x14ac:dyDescent="0.25">
      <c r="B113" s="396">
        <v>46154</v>
      </c>
      <c r="C113" s="395" t="s">
        <v>2339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1793</v>
      </c>
      <c r="I113" s="395" t="s">
        <v>1800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 x14ac:dyDescent="0.25">
      <c r="B114" s="396">
        <v>46155</v>
      </c>
      <c r="C114" s="395" t="s">
        <v>2408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1795</v>
      </c>
      <c r="I114" s="395" t="s">
        <v>1800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 x14ac:dyDescent="0.25">
      <c r="B115" s="396">
        <v>46155</v>
      </c>
      <c r="C115" s="395" t="s">
        <v>2407</v>
      </c>
      <c r="D115" s="398"/>
      <c r="E115" s="397"/>
      <c r="F115" s="397"/>
      <c r="G115" s="397"/>
      <c r="H115" s="420" t="s">
        <v>1793</v>
      </c>
      <c r="I115" s="395" t="s">
        <v>1800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 x14ac:dyDescent="0.25">
      <c r="B116" s="396">
        <v>46155</v>
      </c>
      <c r="C116" s="395" t="s">
        <v>2381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1793</v>
      </c>
      <c r="I116" s="395" t="s">
        <v>1800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 x14ac:dyDescent="0.25">
      <c r="B117" s="396">
        <v>46155</v>
      </c>
      <c r="C117" s="395" t="s">
        <v>2406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1793</v>
      </c>
      <c r="I117" s="395" t="s">
        <v>1800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 x14ac:dyDescent="0.25">
      <c r="B118" s="396">
        <v>46155</v>
      </c>
      <c r="C118" s="395" t="s">
        <v>2405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1793</v>
      </c>
      <c r="I118" s="395" t="s">
        <v>1800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 x14ac:dyDescent="0.25">
      <c r="B119" s="396">
        <v>46155</v>
      </c>
      <c r="C119" s="395" t="s">
        <v>2404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1795</v>
      </c>
      <c r="I119" s="395" t="s">
        <v>1800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 x14ac:dyDescent="0.25">
      <c r="B120" s="396">
        <v>46155</v>
      </c>
      <c r="C120" s="395" t="s">
        <v>2403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1793</v>
      </c>
      <c r="I120" s="395" t="s">
        <v>1800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 x14ac:dyDescent="0.25">
      <c r="B121" s="396">
        <v>46155</v>
      </c>
      <c r="C121" s="395" t="s">
        <v>2402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1793</v>
      </c>
      <c r="I121" s="395" t="s">
        <v>1800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 x14ac:dyDescent="0.25">
      <c r="B122" s="396">
        <v>46155</v>
      </c>
      <c r="C122" s="395" t="s">
        <v>2401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1795</v>
      </c>
      <c r="I122" s="395" t="s">
        <v>1800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 x14ac:dyDescent="0.25">
      <c r="B123" s="396">
        <v>46156</v>
      </c>
      <c r="C123" s="395" t="s">
        <v>2428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1795</v>
      </c>
      <c r="I123" s="395" t="s">
        <v>1800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 x14ac:dyDescent="0.25">
      <c r="B124" s="396">
        <v>46156</v>
      </c>
      <c r="C124" s="395" t="s">
        <v>2427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1793</v>
      </c>
      <c r="I124" s="395" t="s">
        <v>1800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 x14ac:dyDescent="0.25">
      <c r="B125" s="396">
        <v>46156</v>
      </c>
      <c r="C125" s="395" t="s">
        <v>2426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1793</v>
      </c>
      <c r="I125" s="395" t="s">
        <v>1800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 x14ac:dyDescent="0.25">
      <c r="B126" s="396">
        <v>46157</v>
      </c>
      <c r="C126" s="395" t="s">
        <v>2455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1795</v>
      </c>
      <c r="I126" s="395" t="s">
        <v>1800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 x14ac:dyDescent="0.25">
      <c r="B127" s="396">
        <v>46157</v>
      </c>
      <c r="C127" s="395" t="s">
        <v>2454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1793</v>
      </c>
      <c r="I127" s="395" t="s">
        <v>1800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 x14ac:dyDescent="0.25">
      <c r="B128" s="396">
        <v>46157</v>
      </c>
      <c r="C128" s="395" t="s">
        <v>2453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1793</v>
      </c>
      <c r="I128" s="395" t="s">
        <v>1800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 x14ac:dyDescent="0.25">
      <c r="B129" s="396">
        <v>46157</v>
      </c>
      <c r="C129" s="395" t="s">
        <v>2452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1795</v>
      </c>
      <c r="I129" s="395" t="s">
        <v>1800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 x14ac:dyDescent="0.25">
      <c r="B130" s="396">
        <v>46158</v>
      </c>
      <c r="C130" s="395" t="s">
        <v>2558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1793</v>
      </c>
      <c r="I130" s="395" t="s">
        <v>1800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 x14ac:dyDescent="0.25">
      <c r="B131" s="396">
        <v>46158</v>
      </c>
      <c r="C131" s="395" t="s">
        <v>2557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1793</v>
      </c>
      <c r="I131" s="395" t="s">
        <v>1800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 x14ac:dyDescent="0.25">
      <c r="B132" s="396">
        <v>46158</v>
      </c>
      <c r="C132" s="395" t="s">
        <v>2556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1793</v>
      </c>
      <c r="I132" s="395" t="s">
        <v>1800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 x14ac:dyDescent="0.25">
      <c r="B133" s="396">
        <v>46158</v>
      </c>
      <c r="C133" s="395" t="s">
        <v>2514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1793</v>
      </c>
      <c r="I133" s="395" t="s">
        <v>1800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 x14ac:dyDescent="0.25">
      <c r="B134" s="396">
        <v>46158</v>
      </c>
      <c r="C134" s="395" t="s">
        <v>2555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1793</v>
      </c>
      <c r="I134" s="395" t="s">
        <v>1800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 x14ac:dyDescent="0.25">
      <c r="B135" s="396">
        <v>46158</v>
      </c>
      <c r="C135" s="395" t="s">
        <v>2554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1793</v>
      </c>
      <c r="I135" s="395" t="s">
        <v>1800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 x14ac:dyDescent="0.25">
      <c r="B136" s="396">
        <v>46158</v>
      </c>
      <c r="C136" s="395" t="s">
        <v>2553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1795</v>
      </c>
      <c r="I136" s="395" t="s">
        <v>1800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 x14ac:dyDescent="0.25">
      <c r="B137" s="396">
        <v>46158</v>
      </c>
      <c r="C137" s="395" t="s">
        <v>2552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1795</v>
      </c>
      <c r="I137" s="395" t="s">
        <v>1800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 x14ac:dyDescent="0.25">
      <c r="B138" s="396">
        <v>46158</v>
      </c>
      <c r="C138" s="395" t="s">
        <v>2551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1795</v>
      </c>
      <c r="I138" s="395" t="s">
        <v>1800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 x14ac:dyDescent="0.25">
      <c r="B139" s="396">
        <v>46158</v>
      </c>
      <c r="C139" s="395" t="s">
        <v>2550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1793</v>
      </c>
      <c r="I139" s="395" t="s">
        <v>1800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 x14ac:dyDescent="0.25">
      <c r="B140" s="396">
        <v>46158</v>
      </c>
      <c r="C140" s="395" t="s">
        <v>2549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1793</v>
      </c>
      <c r="I140" s="395" t="s">
        <v>1800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 x14ac:dyDescent="0.25">
      <c r="B141" s="396">
        <v>46158</v>
      </c>
      <c r="C141" s="395" t="s">
        <v>2548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1793</v>
      </c>
      <c r="I141" s="395" t="s">
        <v>1800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 x14ac:dyDescent="0.25">
      <c r="B142" s="396">
        <v>46158</v>
      </c>
      <c r="C142" s="395" t="s">
        <v>2547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1795</v>
      </c>
      <c r="I142" s="395" t="s">
        <v>1800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 x14ac:dyDescent="0.25">
      <c r="B143" s="396">
        <v>46158</v>
      </c>
      <c r="C143" s="395" t="s">
        <v>2546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1795</v>
      </c>
      <c r="I143" s="395" t="s">
        <v>1800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 x14ac:dyDescent="0.25">
      <c r="B144" s="396">
        <v>46158</v>
      </c>
      <c r="C144" s="395" t="s">
        <v>2545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1795</v>
      </c>
      <c r="I144" s="395" t="s">
        <v>1800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 x14ac:dyDescent="0.25">
      <c r="B145" s="396">
        <v>46158</v>
      </c>
      <c r="C145" s="395" t="s">
        <v>2544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1795</v>
      </c>
      <c r="I145" s="395" t="s">
        <v>1800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 x14ac:dyDescent="0.25">
      <c r="B146" s="396">
        <v>46158</v>
      </c>
      <c r="C146" s="395" t="s">
        <v>2543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1793</v>
      </c>
      <c r="I146" s="395" t="s">
        <v>1800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 x14ac:dyDescent="0.25">
      <c r="B147" s="396">
        <v>46158</v>
      </c>
      <c r="C147" s="395" t="s">
        <v>2542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1793</v>
      </c>
      <c r="I147" s="395" t="s">
        <v>1800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 x14ac:dyDescent="0.25">
      <c r="B148" s="396">
        <v>46158</v>
      </c>
      <c r="C148" s="395" t="s">
        <v>2541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1795</v>
      </c>
      <c r="I148" s="395" t="s">
        <v>1800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 x14ac:dyDescent="0.25">
      <c r="B149" s="396">
        <v>46158</v>
      </c>
      <c r="C149" s="395" t="s">
        <v>2540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1793</v>
      </c>
      <c r="I149" s="395" t="s">
        <v>1800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 x14ac:dyDescent="0.25">
      <c r="B150" s="396">
        <v>46158</v>
      </c>
      <c r="C150" s="395" t="s">
        <v>2539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1793</v>
      </c>
      <c r="I150" s="395" t="s">
        <v>1800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 x14ac:dyDescent="0.25">
      <c r="B151" s="396">
        <v>46158</v>
      </c>
      <c r="C151" s="395" t="s">
        <v>2478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1793</v>
      </c>
      <c r="I151" s="395" t="s">
        <v>1800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 x14ac:dyDescent="0.25">
      <c r="B152" s="396">
        <v>46159</v>
      </c>
      <c r="C152" s="395" t="s">
        <v>2627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1795</v>
      </c>
      <c r="I152" s="395" t="s">
        <v>1800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 x14ac:dyDescent="0.25">
      <c r="B153" s="396">
        <v>46159</v>
      </c>
      <c r="C153" s="395" t="s">
        <v>2626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1793</v>
      </c>
      <c r="I153" s="395" t="s">
        <v>1800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 x14ac:dyDescent="0.25">
      <c r="B154" s="396">
        <v>46159</v>
      </c>
      <c r="C154" s="395" t="s">
        <v>2625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1795</v>
      </c>
      <c r="I154" s="395" t="s">
        <v>1800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 x14ac:dyDescent="0.25">
      <c r="B155" s="396">
        <v>46161</v>
      </c>
      <c r="C155" s="395" t="s">
        <v>2701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1793</v>
      </c>
      <c r="I155" s="395" t="s">
        <v>1800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 x14ac:dyDescent="0.25">
      <c r="B156" s="396">
        <v>46161</v>
      </c>
      <c r="C156" s="395" t="s">
        <v>2700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1793</v>
      </c>
      <c r="I156" s="395" t="s">
        <v>1800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 x14ac:dyDescent="0.25">
      <c r="B157" s="396">
        <v>46161</v>
      </c>
      <c r="C157" s="395" t="s">
        <v>2699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1793</v>
      </c>
      <c r="I157" s="395" t="s">
        <v>1800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 x14ac:dyDescent="0.25">
      <c r="B158" s="396">
        <v>46161</v>
      </c>
      <c r="C158" s="395" t="s">
        <v>2698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1795</v>
      </c>
      <c r="I158" s="395" t="s">
        <v>1800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 x14ac:dyDescent="0.25">
      <c r="B159" s="396">
        <v>46161</v>
      </c>
      <c r="C159" s="395" t="s">
        <v>2697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1793</v>
      </c>
      <c r="I159" s="395" t="s">
        <v>1800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 x14ac:dyDescent="0.25">
      <c r="B160" s="396">
        <v>46162</v>
      </c>
      <c r="C160" s="395" t="s">
        <v>2791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1793</v>
      </c>
      <c r="I160" s="395" t="s">
        <v>1800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 x14ac:dyDescent="0.25">
      <c r="B161" s="396">
        <v>46164</v>
      </c>
      <c r="C161" s="395" t="s">
        <v>2859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1795</v>
      </c>
      <c r="I161" s="395" t="s">
        <v>1800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 x14ac:dyDescent="0.25">
      <c r="B162" s="396">
        <v>46164</v>
      </c>
      <c r="C162" s="395" t="s">
        <v>2858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1795</v>
      </c>
      <c r="I162" s="395" t="s">
        <v>1800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 x14ac:dyDescent="0.25">
      <c r="B163" s="396">
        <v>46164</v>
      </c>
      <c r="C163" s="395" t="s">
        <v>2857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1795</v>
      </c>
      <c r="I163" s="395" t="s">
        <v>1800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 x14ac:dyDescent="0.25">
      <c r="B164" s="396">
        <v>46164</v>
      </c>
      <c r="C164" s="395" t="s">
        <v>2856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1795</v>
      </c>
      <c r="I164" s="395" t="s">
        <v>1800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 x14ac:dyDescent="0.25">
      <c r="B165" s="396">
        <v>46164</v>
      </c>
      <c r="C165" s="395" t="s">
        <v>2855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1795</v>
      </c>
      <c r="I165" s="395" t="s">
        <v>1800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 x14ac:dyDescent="0.25">
      <c r="B166" s="396">
        <v>46164</v>
      </c>
      <c r="C166" s="395" t="s">
        <v>2846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1795</v>
      </c>
      <c r="I166" s="395" t="s">
        <v>1800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 x14ac:dyDescent="0.25">
      <c r="B167" s="396">
        <v>46165</v>
      </c>
      <c r="C167" s="395" t="s">
        <v>2932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1793</v>
      </c>
      <c r="I167" s="395" t="s">
        <v>1800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 x14ac:dyDescent="0.25">
      <c r="B168" s="396">
        <v>46165</v>
      </c>
      <c r="C168" s="395" t="s">
        <v>2931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1793</v>
      </c>
      <c r="I168" s="395" t="s">
        <v>1800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 x14ac:dyDescent="0.25">
      <c r="B169" s="396">
        <v>46165</v>
      </c>
      <c r="C169" s="395" t="s">
        <v>2930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1795</v>
      </c>
      <c r="I169" s="395" t="s">
        <v>1800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 x14ac:dyDescent="0.25">
      <c r="B170" s="396">
        <v>46165</v>
      </c>
      <c r="C170" s="395" t="s">
        <v>2929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1793</v>
      </c>
      <c r="I170" s="395" t="s">
        <v>1800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 x14ac:dyDescent="0.25">
      <c r="B171" s="396">
        <v>46165</v>
      </c>
      <c r="C171" s="395" t="s">
        <v>2903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1795</v>
      </c>
      <c r="I171" s="395" t="s">
        <v>1800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 x14ac:dyDescent="0.25">
      <c r="B172" s="396">
        <v>46165</v>
      </c>
      <c r="C172" s="395" t="s">
        <v>2928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1795</v>
      </c>
      <c r="I172" s="395" t="s">
        <v>1800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 x14ac:dyDescent="0.25">
      <c r="B173" s="396">
        <v>46165</v>
      </c>
      <c r="C173" s="395" t="s">
        <v>2927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1795</v>
      </c>
      <c r="I173" s="395" t="s">
        <v>1800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 x14ac:dyDescent="0.25">
      <c r="B174" s="396">
        <v>46165</v>
      </c>
      <c r="C174" s="395" t="s">
        <v>2926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1795</v>
      </c>
      <c r="I174" s="395" t="s">
        <v>1800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 x14ac:dyDescent="0.25">
      <c r="B175" s="396">
        <v>46165</v>
      </c>
      <c r="C175" s="395" t="s">
        <v>2925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1795</v>
      </c>
      <c r="I175" s="395" t="s">
        <v>1800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 x14ac:dyDescent="0.25">
      <c r="B176" s="396">
        <v>46166</v>
      </c>
      <c r="C176" s="395" t="s">
        <v>2992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1795</v>
      </c>
      <c r="I176" s="395" t="s">
        <v>1800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 x14ac:dyDescent="0.25">
      <c r="B177" s="396">
        <v>46166</v>
      </c>
      <c r="C177" s="395" t="s">
        <v>2991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1795</v>
      </c>
      <c r="I177" s="395" t="s">
        <v>1800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 x14ac:dyDescent="0.25">
      <c r="B178" s="396">
        <v>46166</v>
      </c>
      <c r="C178" s="395" t="s">
        <v>2966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1795</v>
      </c>
      <c r="I178" s="395" t="s">
        <v>1800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 x14ac:dyDescent="0.25">
      <c r="B179" s="396">
        <v>46166</v>
      </c>
      <c r="C179" s="395" t="s">
        <v>2990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1795</v>
      </c>
      <c r="I179" s="395" t="s">
        <v>1800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 x14ac:dyDescent="0.25">
      <c r="B180" s="498">
        <v>46167</v>
      </c>
      <c r="C180" s="499" t="s">
        <v>3028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1795</v>
      </c>
      <c r="I180" s="395" t="s">
        <v>1800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 x14ac:dyDescent="0.25">
      <c r="B181" s="498">
        <v>46167</v>
      </c>
      <c r="C181" s="499" t="s">
        <v>3027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1795</v>
      </c>
      <c r="I181" s="395" t="s">
        <v>1800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 x14ac:dyDescent="0.25">
      <c r="B182" s="505">
        <v>46168</v>
      </c>
      <c r="C182" s="506" t="s">
        <v>3036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1795</v>
      </c>
      <c r="I182" s="395" t="s">
        <v>1800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 x14ac:dyDescent="0.25">
      <c r="B183" s="505">
        <v>46168</v>
      </c>
      <c r="C183" s="506" t="s">
        <v>3035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1795</v>
      </c>
      <c r="I183" s="395" t="s">
        <v>1800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 x14ac:dyDescent="0.25">
      <c r="B184" s="513">
        <v>46169</v>
      </c>
      <c r="C184" s="514" t="s">
        <v>3044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1795</v>
      </c>
      <c r="I184" s="395" t="s">
        <v>1800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 x14ac:dyDescent="0.25">
      <c r="B185" s="513">
        <v>46169</v>
      </c>
      <c r="C185" s="514" t="s">
        <v>3043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1795</v>
      </c>
      <c r="I185" s="395" t="s">
        <v>1800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 x14ac:dyDescent="0.25">
      <c r="B186" s="513">
        <v>46169</v>
      </c>
      <c r="C186" s="514" t="s">
        <v>3042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1795</v>
      </c>
      <c r="I186" s="395" t="s">
        <v>1800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 x14ac:dyDescent="0.25">
      <c r="B187" s="513">
        <v>46170</v>
      </c>
      <c r="C187" s="514" t="s">
        <v>3041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1795</v>
      </c>
      <c r="I187" s="395" t="s">
        <v>1800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 x14ac:dyDescent="0.25">
      <c r="B188" s="513">
        <v>46170</v>
      </c>
      <c r="C188" s="514" t="s">
        <v>3040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1793</v>
      </c>
      <c r="I188" s="395" t="s">
        <v>1800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 x14ac:dyDescent="0.25">
      <c r="B189" s="513">
        <v>46170</v>
      </c>
      <c r="C189" s="514" t="s">
        <v>3039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1795</v>
      </c>
      <c r="I189" s="395" t="s">
        <v>1800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 x14ac:dyDescent="0.25">
      <c r="B190" s="522">
        <v>46171</v>
      </c>
      <c r="C190" s="523" t="s">
        <v>3054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1793</v>
      </c>
      <c r="I190" s="395" t="s">
        <v>1800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 x14ac:dyDescent="0.25">
      <c r="B191" s="522">
        <v>46171</v>
      </c>
      <c r="C191" s="523" t="s">
        <v>3049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1795</v>
      </c>
      <c r="I191" s="395" t="s">
        <v>1800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 x14ac:dyDescent="0.25">
      <c r="B192" s="522">
        <v>46171</v>
      </c>
      <c r="C192" s="523" t="s">
        <v>3053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1795</v>
      </c>
      <c r="I192" s="395" t="s">
        <v>1800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 x14ac:dyDescent="0.25">
      <c r="B193" s="522">
        <v>46172</v>
      </c>
      <c r="C193" s="523" t="s">
        <v>3095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1795</v>
      </c>
      <c r="I193" s="395" t="s">
        <v>1800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 x14ac:dyDescent="0.25">
      <c r="B194" s="522">
        <v>46172</v>
      </c>
      <c r="C194" s="523" t="s">
        <v>3094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1795</v>
      </c>
      <c r="I194" s="395" t="s">
        <v>1800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 x14ac:dyDescent="0.25">
      <c r="B195" s="522">
        <v>46172</v>
      </c>
      <c r="C195" s="523" t="s">
        <v>3093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1795</v>
      </c>
      <c r="I195" s="395" t="s">
        <v>1800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 x14ac:dyDescent="0.25">
      <c r="B196" s="522">
        <v>46172</v>
      </c>
      <c r="C196" s="523" t="s">
        <v>3081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1795</v>
      </c>
      <c r="I196" s="395" t="s">
        <v>1800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 x14ac:dyDescent="0.25">
      <c r="B197" s="522">
        <v>46172</v>
      </c>
      <c r="C197" s="523" t="s">
        <v>3092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1793</v>
      </c>
      <c r="I197" s="395" t="s">
        <v>1800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 x14ac:dyDescent="0.25">
      <c r="B198" s="522">
        <v>46172</v>
      </c>
      <c r="C198" s="523" t="s">
        <v>3091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1795</v>
      </c>
      <c r="I198" s="395" t="s">
        <v>1800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 x14ac:dyDescent="0.25">
      <c r="B199" s="522">
        <v>46173</v>
      </c>
      <c r="C199" s="523" t="s">
        <v>3140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1795</v>
      </c>
      <c r="I199" s="395" t="s">
        <v>1800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 x14ac:dyDescent="0.25">
      <c r="B200" s="522">
        <v>46173</v>
      </c>
      <c r="C200" s="523" t="s">
        <v>3139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1795</v>
      </c>
      <c r="I200" s="395" t="s">
        <v>1800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 x14ac:dyDescent="0.25">
      <c r="B201" s="522">
        <v>46173</v>
      </c>
      <c r="C201" s="523" t="s">
        <v>3138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1793</v>
      </c>
      <c r="I201" s="395" t="s">
        <v>1800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 x14ac:dyDescent="0.25">
      <c r="B202" s="522">
        <v>46173</v>
      </c>
      <c r="C202" s="523" t="s">
        <v>3137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1795</v>
      </c>
      <c r="I202" s="395" t="s">
        <v>1800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 x14ac:dyDescent="0.25">
      <c r="B203" s="522">
        <v>46173</v>
      </c>
      <c r="C203" s="523" t="s">
        <v>3136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1795</v>
      </c>
      <c r="I203" s="395" t="s">
        <v>1800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 x14ac:dyDescent="0.25">
      <c r="B204" s="522">
        <v>46173</v>
      </c>
      <c r="C204" s="523" t="s">
        <v>3135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1795</v>
      </c>
      <c r="I204" s="395" t="s">
        <v>1800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 x14ac:dyDescent="0.25">
      <c r="B205" s="522">
        <v>46173</v>
      </c>
      <c r="C205" s="523" t="s">
        <v>3134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1793</v>
      </c>
      <c r="I205" s="395" t="s">
        <v>1800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 x14ac:dyDescent="0.25">
      <c r="B206" s="522">
        <v>46173</v>
      </c>
      <c r="C206" s="523" t="s">
        <v>3133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1795</v>
      </c>
      <c r="I206" s="395" t="s">
        <v>1800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 x14ac:dyDescent="0.25">
      <c r="B207" s="530">
        <v>46174</v>
      </c>
      <c r="C207" s="531" t="s">
        <v>3147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1795</v>
      </c>
      <c r="I207" s="395" t="s">
        <v>1800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 x14ac:dyDescent="0.25">
      <c r="B208" s="530">
        <v>46174</v>
      </c>
      <c r="C208" s="531" t="s">
        <v>3146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1793</v>
      </c>
      <c r="I208" s="395" t="s">
        <v>1800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 x14ac:dyDescent="0.25">
      <c r="B209" s="530">
        <v>46174</v>
      </c>
      <c r="C209" s="531" t="s">
        <v>3145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1793</v>
      </c>
      <c r="I209" s="395" t="s">
        <v>1800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 x14ac:dyDescent="0.25">
      <c r="B210" s="541">
        <v>46176</v>
      </c>
      <c r="C210" s="542" t="s">
        <v>3185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1793</v>
      </c>
      <c r="I210" s="395" t="s">
        <v>1800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 x14ac:dyDescent="0.25">
      <c r="B211" s="541">
        <v>46178</v>
      </c>
      <c r="C211" s="542" t="s">
        <v>3184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1795</v>
      </c>
      <c r="I211" s="395" t="s">
        <v>1800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 x14ac:dyDescent="0.25">
      <c r="B212" s="541">
        <v>46178</v>
      </c>
      <c r="C212" s="542" t="s">
        <v>3183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1795</v>
      </c>
      <c r="I212" s="395" t="s">
        <v>1800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 x14ac:dyDescent="0.25">
      <c r="B213" s="541">
        <v>46179</v>
      </c>
      <c r="C213" s="542" t="s">
        <v>3182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1793</v>
      </c>
      <c r="I213" s="395" t="s">
        <v>1800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 x14ac:dyDescent="0.25">
      <c r="B214" s="541">
        <v>46179</v>
      </c>
      <c r="C214" s="542" t="s">
        <v>3181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1793</v>
      </c>
      <c r="I214" s="395" t="s">
        <v>1800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 x14ac:dyDescent="0.25">
      <c r="B215" s="541">
        <v>46179</v>
      </c>
      <c r="C215" s="542" t="s">
        <v>3180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1795</v>
      </c>
      <c r="I215" s="395" t="s">
        <v>1800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 x14ac:dyDescent="0.25">
      <c r="B216" s="541">
        <v>46180</v>
      </c>
      <c r="C216" s="542" t="s">
        <v>3179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1795</v>
      </c>
      <c r="I216" s="395" t="s">
        <v>1800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 x14ac:dyDescent="0.25">
      <c r="B217" s="541">
        <v>46180</v>
      </c>
      <c r="C217" s="542" t="s">
        <v>3178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1795</v>
      </c>
      <c r="I217" s="395" t="s">
        <v>1800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 x14ac:dyDescent="0.25">
      <c r="B218" s="541">
        <v>46180</v>
      </c>
      <c r="C218" s="542" t="s">
        <v>3177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1795</v>
      </c>
      <c r="I218" s="395" t="s">
        <v>1800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 x14ac:dyDescent="0.25">
      <c r="B219" s="541">
        <v>46180</v>
      </c>
      <c r="C219" s="542" t="s">
        <v>3176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1795</v>
      </c>
      <c r="I219" s="395" t="s">
        <v>1800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 x14ac:dyDescent="0.25">
      <c r="B220" s="541">
        <v>46180</v>
      </c>
      <c r="C220" s="542" t="s">
        <v>3175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1795</v>
      </c>
      <c r="I220" s="395" t="s">
        <v>1800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 x14ac:dyDescent="0.25">
      <c r="B221" s="541">
        <v>46182</v>
      </c>
      <c r="C221" s="542" t="s">
        <v>3218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1795</v>
      </c>
      <c r="I221" s="395" t="s">
        <v>1800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 x14ac:dyDescent="0.25">
      <c r="B222" s="559">
        <v>46183</v>
      </c>
      <c r="C222" s="560" t="s">
        <v>3233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1793</v>
      </c>
      <c r="I222" s="395" t="s">
        <v>1800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 x14ac:dyDescent="0.25">
      <c r="B223" s="559">
        <v>46183</v>
      </c>
      <c r="C223" s="560" t="s">
        <v>3230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1795</v>
      </c>
      <c r="I223" s="395" t="s">
        <v>1800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 x14ac:dyDescent="0.25">
      <c r="B224" s="559">
        <v>46183</v>
      </c>
      <c r="C224" s="560" t="s">
        <v>3227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1795</v>
      </c>
      <c r="I224" s="395" t="s">
        <v>1800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 x14ac:dyDescent="0.25">
      <c r="B225" s="559">
        <v>46183</v>
      </c>
      <c r="C225" s="560" t="s">
        <v>3232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1795</v>
      </c>
      <c r="I225" s="395" t="s">
        <v>1800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 x14ac:dyDescent="0.25">
      <c r="B226" s="570">
        <v>46187</v>
      </c>
      <c r="C226" s="571" t="s">
        <v>3299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1795</v>
      </c>
      <c r="I226" s="395" t="s">
        <v>1800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 x14ac:dyDescent="0.25">
      <c r="B227" s="570">
        <v>46187</v>
      </c>
      <c r="C227" s="571" t="s">
        <v>3298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1795</v>
      </c>
      <c r="I227" s="395" t="s">
        <v>1800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 x14ac:dyDescent="0.25">
      <c r="B228" s="570">
        <v>46188</v>
      </c>
      <c r="C228" s="571" t="s">
        <v>3311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1795</v>
      </c>
      <c r="I228" s="395" t="s">
        <v>1800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 x14ac:dyDescent="0.25">
      <c r="B229" s="592">
        <v>46191</v>
      </c>
      <c r="C229" s="593" t="s">
        <v>3369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1795</v>
      </c>
      <c r="I229" s="395" t="s">
        <v>1800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 x14ac:dyDescent="0.25">
      <c r="B230" s="592">
        <v>46191</v>
      </c>
      <c r="C230" s="593" t="s">
        <v>3368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1795</v>
      </c>
      <c r="I230" s="395" t="s">
        <v>1800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 x14ac:dyDescent="0.25">
      <c r="B231" s="592">
        <v>46191</v>
      </c>
      <c r="C231" s="593" t="s">
        <v>3359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1795</v>
      </c>
      <c r="I231" s="395" t="s">
        <v>1800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 x14ac:dyDescent="0.25">
      <c r="B232" s="865">
        <v>46199</v>
      </c>
      <c r="C232" s="866" t="s">
        <v>3560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1795</v>
      </c>
      <c r="I232" s="395" t="s">
        <v>1800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 x14ac:dyDescent="0.25">
      <c r="B233" s="927">
        <v>46212</v>
      </c>
      <c r="C233" s="926" t="s">
        <v>3693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1795</v>
      </c>
      <c r="I233" s="395" t="s">
        <v>1800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 x14ac:dyDescent="0.25">
      <c r="B234" s="943">
        <v>46214</v>
      </c>
      <c r="C234" s="941" t="s">
        <v>3721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1795</v>
      </c>
      <c r="I234" s="395" t="s">
        <v>1800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 x14ac:dyDescent="0.25">
      <c r="B235" s="951">
        <v>46215</v>
      </c>
      <c r="C235" s="952" t="s">
        <v>3729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1795</v>
      </c>
      <c r="I235" s="395" t="s">
        <v>1800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 x14ac:dyDescent="0.25">
      <c r="B236" s="951">
        <v>46215</v>
      </c>
      <c r="C236" s="952" t="s">
        <v>3727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1793</v>
      </c>
      <c r="I236" s="395" t="s">
        <v>1800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 x14ac:dyDescent="0.25">
      <c r="B237" s="951">
        <v>46215</v>
      </c>
      <c r="C237" s="952" t="s">
        <v>3728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1795</v>
      </c>
      <c r="I237" s="395" t="s">
        <v>1800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 x14ac:dyDescent="0.25">
      <c r="B238" s="951">
        <v>46215</v>
      </c>
      <c r="C238" s="952" t="s">
        <v>3724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1795</v>
      </c>
      <c r="I238" s="395" t="s">
        <v>1800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 x14ac:dyDescent="0.25">
      <c r="B239" s="966">
        <v>46217</v>
      </c>
      <c r="C239" s="967" t="s">
        <v>3768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1795</v>
      </c>
      <c r="I239" s="395" t="s">
        <v>1800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 x14ac:dyDescent="0.25">
      <c r="B240" s="966">
        <v>46217</v>
      </c>
      <c r="C240" s="967" t="s">
        <v>3769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1795</v>
      </c>
      <c r="I240" s="395" t="s">
        <v>1800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 x14ac:dyDescent="0.25">
      <c r="B241" s="966">
        <v>46217</v>
      </c>
      <c r="C241" s="967" t="s">
        <v>3767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1795</v>
      </c>
      <c r="I241" s="395" t="s">
        <v>1800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 x14ac:dyDescent="0.25">
      <c r="B242" s="966">
        <v>46217</v>
      </c>
      <c r="C242" s="967" t="s">
        <v>3764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1795</v>
      </c>
      <c r="I242" s="395" t="s">
        <v>1800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 x14ac:dyDescent="0.25">
      <c r="B243" s="966">
        <v>46217</v>
      </c>
      <c r="C243" s="967" t="s">
        <v>3766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1795</v>
      </c>
      <c r="I243" s="395" t="s">
        <v>1800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 x14ac:dyDescent="0.25">
      <c r="B244" s="966">
        <v>46217</v>
      </c>
      <c r="C244" s="967" t="s">
        <v>3763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1795</v>
      </c>
      <c r="I244" s="395" t="s">
        <v>1800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 x14ac:dyDescent="0.25">
      <c r="B245" s="966">
        <v>46217</v>
      </c>
      <c r="C245" s="967" t="s">
        <v>3762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1793</v>
      </c>
      <c r="I245" s="395" t="s">
        <v>1800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 x14ac:dyDescent="0.25">
      <c r="B246" s="971">
        <v>46218</v>
      </c>
      <c r="C246" s="975" t="s">
        <v>3776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1795</v>
      </c>
      <c r="I246" s="395" t="s">
        <v>1800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 x14ac:dyDescent="0.25">
      <c r="B247" s="971">
        <v>46218</v>
      </c>
      <c r="C247" s="975" t="s">
        <v>3775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1795</v>
      </c>
      <c r="I247" s="395" t="s">
        <v>1800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 x14ac:dyDescent="0.25">
      <c r="B248" s="971">
        <v>46218</v>
      </c>
      <c r="C248" s="975" t="s">
        <v>3774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1795</v>
      </c>
      <c r="I248" s="395" t="s">
        <v>1800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 x14ac:dyDescent="0.25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 x14ac:dyDescent="0.25">
      <c r="B2" s="601" t="s">
        <v>3378</v>
      </c>
      <c r="C2" s="602">
        <v>5000</v>
      </c>
      <c r="E2" s="623" t="s">
        <v>3417</v>
      </c>
      <c r="F2" s="604">
        <f>SUM(C21,F21,I21,L21,O21,C39,F39,I39,L39,O39)</f>
        <v>3134.9206349206352</v>
      </c>
    </row>
    <row r="3" spans="2:15" x14ac:dyDescent="0.25">
      <c r="B3" s="601" t="s">
        <v>3393</v>
      </c>
      <c r="C3" s="603">
        <v>0.2</v>
      </c>
      <c r="E3" s="623" t="s">
        <v>3418</v>
      </c>
      <c r="F3" s="630">
        <f>F2/C2</f>
        <v>0.62698412698412709</v>
      </c>
    </row>
    <row r="4" spans="2:15" x14ac:dyDescent="0.25">
      <c r="B4" s="632" t="s">
        <v>3427</v>
      </c>
      <c r="C4" s="610">
        <f>C3*C2</f>
        <v>1000</v>
      </c>
      <c r="E4" s="623"/>
      <c r="F4" s="630"/>
    </row>
    <row r="5" spans="2:15" ht="13.8" thickBot="1" x14ac:dyDescent="0.3">
      <c r="B5" s="632"/>
      <c r="C5" s="610"/>
      <c r="E5" s="623"/>
      <c r="F5" s="630"/>
      <c r="K5" s="601" t="s">
        <v>3409</v>
      </c>
    </row>
    <row r="6" spans="2:15" ht="13.8" thickBot="1" x14ac:dyDescent="0.3">
      <c r="B6" s="1360" t="s">
        <v>3609</v>
      </c>
      <c r="C6" s="1361"/>
      <c r="E6" s="1360" t="s">
        <v>3502</v>
      </c>
      <c r="F6" s="1361"/>
      <c r="H6" s="1360" t="s">
        <v>3408</v>
      </c>
      <c r="I6" s="1361"/>
      <c r="K6" s="1360" t="s">
        <v>3528</v>
      </c>
      <c r="L6" s="1361"/>
      <c r="N6" s="1360" t="s">
        <v>3529</v>
      </c>
      <c r="O6" s="1361"/>
    </row>
    <row r="7" spans="2:15" x14ac:dyDescent="0.25">
      <c r="B7" s="601" t="s">
        <v>3390</v>
      </c>
      <c r="C7" s="609">
        <v>50</v>
      </c>
      <c r="E7" s="601" t="s">
        <v>3390</v>
      </c>
      <c r="F7" s="609">
        <v>120</v>
      </c>
      <c r="H7" s="601" t="s">
        <v>3390</v>
      </c>
      <c r="I7" s="609">
        <v>120</v>
      </c>
      <c r="K7" s="601" t="s">
        <v>3390</v>
      </c>
      <c r="L7" s="609">
        <v>120</v>
      </c>
      <c r="N7" s="601" t="s">
        <v>3390</v>
      </c>
      <c r="O7" s="609">
        <v>120</v>
      </c>
    </row>
    <row r="8" spans="2:15" x14ac:dyDescent="0.25">
      <c r="B8" s="601" t="s">
        <v>3391</v>
      </c>
      <c r="C8" s="601">
        <f>C7*12</f>
        <v>600</v>
      </c>
      <c r="E8" s="601" t="s">
        <v>3391</v>
      </c>
      <c r="F8" s="601">
        <f>F7*12</f>
        <v>1440</v>
      </c>
      <c r="H8" s="601" t="s">
        <v>3391</v>
      </c>
      <c r="I8" s="601">
        <f>I7*12</f>
        <v>1440</v>
      </c>
      <c r="K8" s="848" t="s">
        <v>3391</v>
      </c>
      <c r="L8" s="601">
        <f>L7*12</f>
        <v>1440</v>
      </c>
      <c r="N8" s="601" t="s">
        <v>3391</v>
      </c>
      <c r="O8" s="601">
        <f>O7*12</f>
        <v>1440</v>
      </c>
    </row>
    <row r="9" spans="2:15" x14ac:dyDescent="0.2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 x14ac:dyDescent="0.25">
      <c r="B10" s="632" t="s">
        <v>3420</v>
      </c>
      <c r="C10" s="635">
        <v>7.0000000000000007E-2</v>
      </c>
      <c r="E10" s="632" t="s">
        <v>3420</v>
      </c>
      <c r="F10" s="635">
        <v>0.25</v>
      </c>
      <c r="H10" s="632" t="s">
        <v>3420</v>
      </c>
      <c r="I10" s="635">
        <v>1</v>
      </c>
      <c r="K10" s="632" t="s">
        <v>3420</v>
      </c>
      <c r="L10" s="635">
        <v>1</v>
      </c>
      <c r="N10" s="632" t="s">
        <v>3420</v>
      </c>
      <c r="O10" s="635">
        <v>1</v>
      </c>
    </row>
    <row r="11" spans="2:15" x14ac:dyDescent="0.25">
      <c r="B11" s="632" t="s">
        <v>3421</v>
      </c>
      <c r="C11" s="635">
        <v>3.3000000000000002E-2</v>
      </c>
      <c r="E11" s="632" t="s">
        <v>3421</v>
      </c>
      <c r="F11" s="635">
        <v>0.1</v>
      </c>
      <c r="H11" s="632" t="s">
        <v>3421</v>
      </c>
      <c r="I11" s="635">
        <v>0.21</v>
      </c>
      <c r="K11" s="632" t="s">
        <v>3421</v>
      </c>
      <c r="L11" s="635">
        <f>1/19</f>
        <v>5.2631578947368418E-2</v>
      </c>
      <c r="N11" s="632" t="s">
        <v>3421</v>
      </c>
      <c r="O11" s="635">
        <f>1/25</f>
        <v>0.04</v>
      </c>
    </row>
    <row r="12" spans="2:15" x14ac:dyDescent="0.25">
      <c r="B12" s="632" t="s">
        <v>3428</v>
      </c>
      <c r="C12" s="635">
        <v>0.5</v>
      </c>
      <c r="E12" s="632" t="s">
        <v>3428</v>
      </c>
      <c r="F12" s="635">
        <v>0.45</v>
      </c>
      <c r="H12" s="632" t="s">
        <v>3428</v>
      </c>
      <c r="I12" s="635">
        <v>1</v>
      </c>
      <c r="K12" s="632" t="s">
        <v>3428</v>
      </c>
      <c r="L12" s="635">
        <v>1</v>
      </c>
      <c r="N12" s="632" t="s">
        <v>3428</v>
      </c>
      <c r="O12" s="635">
        <v>1</v>
      </c>
    </row>
    <row r="13" spans="2:15" x14ac:dyDescent="0.25">
      <c r="B13" s="601" t="s">
        <v>3386</v>
      </c>
      <c r="C13" s="608">
        <f>((C9*C11)-((1-C9)*C10))</f>
        <v>1.2400000000000005E-2</v>
      </c>
      <c r="E13" s="601" t="s">
        <v>3386</v>
      </c>
      <c r="F13" s="608">
        <f>((F9*F11)-((1-F9)*F10))</f>
        <v>1.2500000000000011E-2</v>
      </c>
      <c r="H13" s="601" t="s">
        <v>3386</v>
      </c>
      <c r="I13" s="608">
        <f>((I9*I11)-((1-I9)*I10))</f>
        <v>2.849999999999997E-2</v>
      </c>
      <c r="K13" s="601" t="s">
        <v>3386</v>
      </c>
      <c r="L13" s="608">
        <f>((L9*L11)-((1-L9)*L10))</f>
        <v>2.1052631578947337E-2</v>
      </c>
      <c r="N13" s="601" t="s">
        <v>3386</v>
      </c>
      <c r="O13" s="608">
        <f>((O9*O11)-((1-O9)*O10))</f>
        <v>8.7999999999999745E-3</v>
      </c>
    </row>
    <row r="14" spans="2:15" x14ac:dyDescent="0.25">
      <c r="B14" s="601" t="s">
        <v>3407</v>
      </c>
      <c r="C14" s="609">
        <v>2</v>
      </c>
      <c r="E14" s="601" t="s">
        <v>3407</v>
      </c>
      <c r="F14" s="609">
        <v>2</v>
      </c>
      <c r="H14" s="601" t="s">
        <v>3407</v>
      </c>
      <c r="I14" s="609">
        <v>2</v>
      </c>
      <c r="K14" s="601" t="s">
        <v>3407</v>
      </c>
      <c r="L14" s="609">
        <v>0</v>
      </c>
      <c r="N14" s="601" t="s">
        <v>3407</v>
      </c>
      <c r="O14" s="609">
        <v>0</v>
      </c>
    </row>
    <row r="15" spans="2:15" ht="13.8" thickBot="1" x14ac:dyDescent="0.3">
      <c r="B15" s="632" t="s">
        <v>3392</v>
      </c>
      <c r="C15" s="601">
        <f>ROUNDUP(LN(C8)/LN(1/(1-C9))+C14,0)</f>
        <v>6</v>
      </c>
      <c r="E15" s="632" t="s">
        <v>3392</v>
      </c>
      <c r="F15" s="601">
        <f>ROUNDUP(LN(F8)/LN(1/(1-F9))+F14,0)</f>
        <v>8</v>
      </c>
      <c r="H15" s="632" t="s">
        <v>3392</v>
      </c>
      <c r="I15" s="601">
        <f>ROUNDUP(LN(I8)/LN(1/(1-I9))+I14,0)</f>
        <v>6</v>
      </c>
      <c r="K15" s="632" t="s">
        <v>3392</v>
      </c>
      <c r="L15" s="601">
        <f>ROUNDUP(LN(L8)/LN(1/(1-L9))+L14,0)</f>
        <v>3</v>
      </c>
      <c r="N15" s="632" t="s">
        <v>3392</v>
      </c>
      <c r="O15" s="601">
        <f>ROUNDUP(LN(O8)/LN(1/(1-O9))+O14,0)</f>
        <v>3</v>
      </c>
    </row>
    <row r="16" spans="2:15" ht="13.8" thickBot="1" x14ac:dyDescent="0.3">
      <c r="B16" s="616" t="s">
        <v>3394</v>
      </c>
      <c r="C16" s="617">
        <f>1-(1-(1-C9)^C15)^C8</f>
        <v>3.7673249836660649E-2</v>
      </c>
      <c r="E16" s="616" t="s">
        <v>3394</v>
      </c>
      <c r="F16" s="617">
        <f>1-(1-(1-F9)^F15)^F8</f>
        <v>2.1733179823088866E-2</v>
      </c>
      <c r="H16" s="616" t="s">
        <v>3394</v>
      </c>
      <c r="I16" s="617">
        <f>1-(1-(1-I9)^I15)^I8</f>
        <v>1.6268803382633146E-2</v>
      </c>
      <c r="K16" s="616" t="s">
        <v>3394</v>
      </c>
      <c r="L16" s="617">
        <f>1-(1-(1-L9)^L15)^L8</f>
        <v>3.8134378716907835E-2</v>
      </c>
      <c r="N16" s="616" t="s">
        <v>3394</v>
      </c>
      <c r="O16" s="617">
        <f>1-(1-(1-O9)^O15)^O8</f>
        <v>3.8134378716907835E-2</v>
      </c>
    </row>
    <row r="17" spans="2:15" x14ac:dyDescent="0.25">
      <c r="B17" s="632" t="s">
        <v>3424</v>
      </c>
      <c r="C17" s="634">
        <f>$C$4/C15</f>
        <v>166.66666666666666</v>
      </c>
      <c r="E17" s="632" t="s">
        <v>3424</v>
      </c>
      <c r="F17" s="634">
        <f>$C$4/F15</f>
        <v>125</v>
      </c>
      <c r="H17" s="632" t="s">
        <v>3424</v>
      </c>
      <c r="I17" s="634">
        <f>$C$4/I15</f>
        <v>166.66666666666666</v>
      </c>
      <c r="K17" s="632" t="s">
        <v>3424</v>
      </c>
      <c r="L17" s="634">
        <f>$C$4/L15</f>
        <v>333.33333333333331</v>
      </c>
      <c r="N17" s="632" t="s">
        <v>3424</v>
      </c>
      <c r="O17" s="634">
        <f>$C$4/O15</f>
        <v>333.33333333333331</v>
      </c>
    </row>
    <row r="18" spans="2:15" x14ac:dyDescent="0.25">
      <c r="B18" s="632" t="s">
        <v>3425</v>
      </c>
      <c r="C18" s="604">
        <f>C17/C10</f>
        <v>2380.9523809523807</v>
      </c>
      <c r="E18" s="632" t="s">
        <v>3425</v>
      </c>
      <c r="F18" s="604">
        <f>F17/F12</f>
        <v>277.77777777777777</v>
      </c>
      <c r="H18" s="632" t="s">
        <v>3425</v>
      </c>
      <c r="I18" s="604">
        <f>I17/I10</f>
        <v>166.66666666666666</v>
      </c>
      <c r="K18" s="632" t="s">
        <v>3425</v>
      </c>
      <c r="L18" s="604">
        <f>L17/L10</f>
        <v>333.33333333333331</v>
      </c>
      <c r="N18" s="632" t="s">
        <v>3425</v>
      </c>
      <c r="O18" s="604">
        <f>O17/O10</f>
        <v>333.33333333333331</v>
      </c>
    </row>
    <row r="19" spans="2:15" ht="13.8" thickBot="1" x14ac:dyDescent="0.3">
      <c r="B19" s="632" t="s">
        <v>3426</v>
      </c>
      <c r="C19" s="630">
        <f>C18/$C$2</f>
        <v>0.47619047619047616</v>
      </c>
      <c r="E19" s="632" t="s">
        <v>3426</v>
      </c>
      <c r="F19" s="630">
        <f>F18/$C$2</f>
        <v>5.5555555555555552E-2</v>
      </c>
      <c r="H19" s="632" t="s">
        <v>3426</v>
      </c>
      <c r="I19" s="630">
        <f>I18/$C$2</f>
        <v>3.3333333333333333E-2</v>
      </c>
      <c r="K19" s="632" t="s">
        <v>3426</v>
      </c>
      <c r="L19" s="630">
        <f>L18/$C$2</f>
        <v>6.6666666666666666E-2</v>
      </c>
      <c r="N19" s="632" t="s">
        <v>3426</v>
      </c>
      <c r="O19" s="630">
        <f>O18/$C$2</f>
        <v>6.6666666666666666E-2</v>
      </c>
    </row>
    <row r="20" spans="2:15" x14ac:dyDescent="0.25">
      <c r="B20" s="625" t="s">
        <v>3413</v>
      </c>
      <c r="C20" s="624">
        <v>0.5</v>
      </c>
      <c r="E20" s="625" t="s">
        <v>3413</v>
      </c>
      <c r="F20" s="624">
        <v>1</v>
      </c>
      <c r="H20" s="625" t="s">
        <v>3413</v>
      </c>
      <c r="I20" s="624">
        <v>1</v>
      </c>
      <c r="K20" s="625" t="s">
        <v>3413</v>
      </c>
      <c r="L20" s="624">
        <v>1</v>
      </c>
      <c r="N20" s="625" t="s">
        <v>3413</v>
      </c>
      <c r="O20" s="624">
        <v>1</v>
      </c>
    </row>
    <row r="21" spans="2:15" ht="13.8" thickBot="1" x14ac:dyDescent="0.3">
      <c r="B21" s="626" t="s">
        <v>3414</v>
      </c>
      <c r="C21" s="629">
        <f>C20*C18</f>
        <v>1190.4761904761904</v>
      </c>
      <c r="E21" s="626" t="s">
        <v>3414</v>
      </c>
      <c r="F21" s="629">
        <f>F20*F18</f>
        <v>277.77777777777777</v>
      </c>
      <c r="H21" s="626" t="s">
        <v>3414</v>
      </c>
      <c r="I21" s="629">
        <f>I20*I18</f>
        <v>166.66666666666666</v>
      </c>
      <c r="K21" s="626" t="s">
        <v>3414</v>
      </c>
      <c r="L21" s="629">
        <f>IFERROR(L20*L18,0)</f>
        <v>333.33333333333331</v>
      </c>
      <c r="N21" s="626" t="s">
        <v>3414</v>
      </c>
      <c r="O21" s="629">
        <f>IFERROR(O20*O18,0)</f>
        <v>333.33333333333331</v>
      </c>
    </row>
    <row r="22" spans="2:15" x14ac:dyDescent="0.2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 x14ac:dyDescent="0.3"/>
    <row r="24" spans="2:15" ht="14.4" customHeight="1" thickBot="1" x14ac:dyDescent="0.3">
      <c r="B24" s="1360" t="s">
        <v>3416</v>
      </c>
      <c r="C24" s="1361"/>
      <c r="E24" s="1360" t="s">
        <v>3415</v>
      </c>
      <c r="F24" s="1361"/>
      <c r="H24" s="1360" t="s">
        <v>3405</v>
      </c>
      <c r="I24" s="1361"/>
      <c r="K24" s="1360" t="s">
        <v>3404</v>
      </c>
      <c r="L24" s="1361"/>
      <c r="N24" s="1360" t="s">
        <v>3530</v>
      </c>
      <c r="O24" s="1361"/>
    </row>
    <row r="25" spans="2:15" x14ac:dyDescent="0.25">
      <c r="B25" s="601" t="s">
        <v>3390</v>
      </c>
      <c r="C25" s="609">
        <v>4</v>
      </c>
      <c r="E25" s="601" t="s">
        <v>3390</v>
      </c>
      <c r="F25" s="609">
        <v>4</v>
      </c>
      <c r="H25" s="601" t="s">
        <v>3390</v>
      </c>
      <c r="I25" s="609">
        <v>60</v>
      </c>
      <c r="K25" s="601" t="s">
        <v>3390</v>
      </c>
      <c r="L25" s="609"/>
      <c r="N25" s="601" t="s">
        <v>3390</v>
      </c>
      <c r="O25" s="609"/>
    </row>
    <row r="26" spans="2:15" x14ac:dyDescent="0.25">
      <c r="B26" s="601" t="s">
        <v>3391</v>
      </c>
      <c r="C26" s="601">
        <f>C25*12</f>
        <v>48</v>
      </c>
      <c r="E26" s="601" t="s">
        <v>3391</v>
      </c>
      <c r="F26" s="601">
        <f>F25*12</f>
        <v>48</v>
      </c>
      <c r="H26" s="601" t="s">
        <v>3391</v>
      </c>
      <c r="I26" s="601">
        <f>I25*12</f>
        <v>720</v>
      </c>
      <c r="K26" s="601" t="s">
        <v>3391</v>
      </c>
      <c r="L26" s="601">
        <f>L25*12</f>
        <v>0</v>
      </c>
      <c r="N26" s="601" t="s">
        <v>3391</v>
      </c>
      <c r="O26" s="601">
        <f>O25*12</f>
        <v>0</v>
      </c>
    </row>
    <row r="27" spans="2:15" x14ac:dyDescent="0.2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 x14ac:dyDescent="0.25">
      <c r="B28" s="632" t="s">
        <v>3420</v>
      </c>
      <c r="C28" s="635">
        <v>1</v>
      </c>
      <c r="E28" s="632" t="s">
        <v>3420</v>
      </c>
      <c r="F28" s="635">
        <v>1</v>
      </c>
      <c r="H28" s="632" t="s">
        <v>3420</v>
      </c>
      <c r="I28" s="635">
        <v>1</v>
      </c>
      <c r="K28" s="632" t="s">
        <v>3420</v>
      </c>
      <c r="L28" s="635"/>
      <c r="N28" s="632" t="s">
        <v>3420</v>
      </c>
      <c r="O28" s="635"/>
    </row>
    <row r="29" spans="2:15" x14ac:dyDescent="0.25">
      <c r="B29" s="632" t="s">
        <v>3421</v>
      </c>
      <c r="C29" s="603">
        <f>1/19</f>
        <v>5.2631578947368418E-2</v>
      </c>
      <c r="E29" s="632" t="s">
        <v>3421</v>
      </c>
      <c r="F29" s="603">
        <f>1/14</f>
        <v>7.1428571428571425E-2</v>
      </c>
      <c r="H29" s="632" t="s">
        <v>3421</v>
      </c>
      <c r="I29" s="603">
        <v>9.2999999999999999E-2</v>
      </c>
      <c r="K29" s="632" t="s">
        <v>3421</v>
      </c>
      <c r="L29" s="603"/>
      <c r="N29" s="632" t="s">
        <v>3421</v>
      </c>
      <c r="O29" s="635"/>
    </row>
    <row r="30" spans="2:15" x14ac:dyDescent="0.25">
      <c r="B30" s="632" t="s">
        <v>3428</v>
      </c>
      <c r="C30" s="603">
        <v>1</v>
      </c>
      <c r="E30" s="632" t="s">
        <v>3428</v>
      </c>
      <c r="F30" s="603">
        <v>1</v>
      </c>
      <c r="H30" s="632" t="s">
        <v>3428</v>
      </c>
      <c r="I30" s="603">
        <v>1</v>
      </c>
      <c r="K30" s="632" t="s">
        <v>3428</v>
      </c>
      <c r="L30" s="603"/>
      <c r="N30" s="632" t="s">
        <v>3428</v>
      </c>
      <c r="O30" s="635"/>
    </row>
    <row r="31" spans="2:15" x14ac:dyDescent="0.25">
      <c r="B31" s="601" t="s">
        <v>3386</v>
      </c>
      <c r="C31" s="608">
        <f>((C27*C29)-((1-C27)*C28))</f>
        <v>1.0526315789473641E-2</v>
      </c>
      <c r="E31" s="601" t="s">
        <v>3386</v>
      </c>
      <c r="F31" s="608">
        <f>((F27*F29)-((1-F27)*F28))</f>
        <v>3.9285714285714257E-2</v>
      </c>
      <c r="H31" s="601" t="s">
        <v>3386</v>
      </c>
      <c r="I31" s="608">
        <f>((I27*I29)-((1-I27)*I28))</f>
        <v>2.5233999999999937E-2</v>
      </c>
      <c r="K31" s="601" t="s">
        <v>3386</v>
      </c>
      <c r="L31" s="608">
        <f>((L27*L29)-((1-L27)*L28))</f>
        <v>0</v>
      </c>
      <c r="N31" s="601" t="s">
        <v>3386</v>
      </c>
      <c r="O31" s="608">
        <f>((O27*O29)-((1-O27)*O28))</f>
        <v>0</v>
      </c>
    </row>
    <row r="32" spans="2:15" x14ac:dyDescent="0.25">
      <c r="B32" s="601" t="s">
        <v>3407</v>
      </c>
      <c r="C32" s="609">
        <v>1</v>
      </c>
      <c r="E32" s="601" t="s">
        <v>3407</v>
      </c>
      <c r="F32" s="609">
        <v>0</v>
      </c>
      <c r="H32" s="601" t="s">
        <v>3407</v>
      </c>
      <c r="I32" s="609">
        <v>1</v>
      </c>
      <c r="K32" s="601" t="s">
        <v>3407</v>
      </c>
      <c r="L32" s="609"/>
      <c r="N32" s="601" t="s">
        <v>3407</v>
      </c>
      <c r="O32" s="609"/>
    </row>
    <row r="33" spans="2:15" ht="13.8" thickBot="1" x14ac:dyDescent="0.3">
      <c r="B33" s="632" t="s">
        <v>3392</v>
      </c>
      <c r="C33" s="601">
        <f>ROUNDUP(LN(C26)/LN(1/(1-C27))+C32,0)</f>
        <v>3</v>
      </c>
      <c r="E33" s="632" t="s">
        <v>3392</v>
      </c>
      <c r="F33" s="601">
        <f>ROUNDUP(LN(F26)/LN(1/(1-F27))+F32,0)</f>
        <v>2</v>
      </c>
      <c r="H33" s="632" t="s">
        <v>3392</v>
      </c>
      <c r="I33" s="601">
        <f>ROUNDUP(LN(I26)/LN(1/(1-I27))+I32,0)</f>
        <v>4</v>
      </c>
      <c r="K33" s="632" t="s">
        <v>3392</v>
      </c>
      <c r="L33" s="601" t="e">
        <f>ROUNDUP(LN(L26)/LN(1/(1-L27))+L32,0)</f>
        <v>#NUM!</v>
      </c>
      <c r="N33" s="632" t="s">
        <v>3392</v>
      </c>
      <c r="O33" s="601" t="e">
        <f>ROUNDUP(LN(O26)/LN(1/(1-O27))+O32,0)</f>
        <v>#NUM!</v>
      </c>
    </row>
    <row r="34" spans="2:15" ht="13.8" thickBot="1" x14ac:dyDescent="0.3">
      <c r="B34" s="616" t="s">
        <v>3394</v>
      </c>
      <c r="C34" s="617">
        <f>1-(1-(1-C27)^C33)^C26</f>
        <v>3.0673842427780817E-3</v>
      </c>
      <c r="E34" s="616" t="s">
        <v>3394</v>
      </c>
      <c r="F34" s="617">
        <f>1-(1-(1-F27)^F33)^F26</f>
        <v>4.2298802124675072E-2</v>
      </c>
      <c r="H34" s="616" t="s">
        <v>3394</v>
      </c>
      <c r="I34" s="617">
        <f>1-(1-(1-I27)^I33)^I26</f>
        <v>1.0582646102934801E-2</v>
      </c>
      <c r="K34" s="616" t="s">
        <v>3394</v>
      </c>
      <c r="L34" s="617" t="e">
        <f>1-(1-(1-L27)^L33)^L26</f>
        <v>#NUM!</v>
      </c>
      <c r="N34" s="616" t="s">
        <v>3394</v>
      </c>
      <c r="O34" s="617" t="e">
        <f>1-(1-(1-O27)^O33)^O26</f>
        <v>#NUM!</v>
      </c>
    </row>
    <row r="35" spans="2:15" x14ac:dyDescent="0.25">
      <c r="B35" s="632" t="s">
        <v>3424</v>
      </c>
      <c r="C35" s="634">
        <f>$C$4/C33</f>
        <v>333.33333333333331</v>
      </c>
      <c r="E35" s="632" t="s">
        <v>3424</v>
      </c>
      <c r="F35" s="634">
        <f>$C$4/F33</f>
        <v>500</v>
      </c>
      <c r="H35" s="632" t="s">
        <v>3424</v>
      </c>
      <c r="I35" s="634">
        <f>$C$4/I33</f>
        <v>250</v>
      </c>
      <c r="K35" s="632" t="s">
        <v>3424</v>
      </c>
      <c r="L35" s="634" t="e">
        <f>$C$4/L33</f>
        <v>#NUM!</v>
      </c>
      <c r="N35" s="632" t="s">
        <v>3424</v>
      </c>
      <c r="O35" s="634" t="e">
        <f>$C$4/O33</f>
        <v>#NUM!</v>
      </c>
    </row>
    <row r="36" spans="2:15" x14ac:dyDescent="0.25">
      <c r="B36" s="632" t="s">
        <v>3425</v>
      </c>
      <c r="C36" s="604">
        <f>C35/C28</f>
        <v>333.33333333333331</v>
      </c>
      <c r="E36" s="632" t="s">
        <v>3425</v>
      </c>
      <c r="F36" s="604">
        <f>F35/F28</f>
        <v>500</v>
      </c>
      <c r="H36" s="632" t="s">
        <v>3425</v>
      </c>
      <c r="I36" s="604">
        <f>I35/I28</f>
        <v>250</v>
      </c>
      <c r="K36" s="632" t="s">
        <v>3425</v>
      </c>
      <c r="L36" s="604" t="e">
        <f>L35/L28</f>
        <v>#NUM!</v>
      </c>
      <c r="N36" s="632" t="s">
        <v>3425</v>
      </c>
      <c r="O36" s="604" t="e">
        <f>O35/O28</f>
        <v>#NUM!</v>
      </c>
    </row>
    <row r="37" spans="2:15" ht="13.8" thickBot="1" x14ac:dyDescent="0.3">
      <c r="B37" s="632" t="s">
        <v>3426</v>
      </c>
      <c r="C37" s="630">
        <f>C36/$C$2</f>
        <v>6.6666666666666666E-2</v>
      </c>
      <c r="E37" s="632" t="s">
        <v>3426</v>
      </c>
      <c r="F37" s="630">
        <f>F36/$C$2</f>
        <v>0.1</v>
      </c>
      <c r="H37" s="632" t="s">
        <v>3426</v>
      </c>
      <c r="I37" s="630">
        <f>I36/$C$2</f>
        <v>0.05</v>
      </c>
      <c r="K37" s="632" t="s">
        <v>3426</v>
      </c>
      <c r="L37" s="630" t="e">
        <f>L36/$C$2</f>
        <v>#NUM!</v>
      </c>
      <c r="N37" s="632" t="s">
        <v>3426</v>
      </c>
      <c r="O37" s="630" t="e">
        <f>O36/$C$2</f>
        <v>#NUM!</v>
      </c>
    </row>
    <row r="38" spans="2:15" x14ac:dyDescent="0.25">
      <c r="B38" s="625" t="s">
        <v>3413</v>
      </c>
      <c r="C38" s="624">
        <v>0.7</v>
      </c>
      <c r="E38" s="625" t="s">
        <v>3413</v>
      </c>
      <c r="F38" s="624">
        <v>0.7</v>
      </c>
      <c r="H38" s="625" t="s">
        <v>3413</v>
      </c>
      <c r="I38" s="624">
        <v>1</v>
      </c>
      <c r="K38" s="625" t="s">
        <v>3413</v>
      </c>
      <c r="L38" s="624"/>
      <c r="N38" s="625" t="s">
        <v>3413</v>
      </c>
      <c r="O38" s="624">
        <v>0</v>
      </c>
    </row>
    <row r="39" spans="2:15" ht="13.8" thickBot="1" x14ac:dyDescent="0.3">
      <c r="B39" s="626" t="s">
        <v>3414</v>
      </c>
      <c r="C39" s="629">
        <f>C38*C36</f>
        <v>233.33333333333331</v>
      </c>
      <c r="E39" s="626" t="s">
        <v>3414</v>
      </c>
      <c r="F39" s="629">
        <f>F38*F36</f>
        <v>350</v>
      </c>
      <c r="H39" s="626" t="s">
        <v>3414</v>
      </c>
      <c r="I39" s="629">
        <f>I38*I36</f>
        <v>250</v>
      </c>
      <c r="K39" s="626" t="s">
        <v>3414</v>
      </c>
      <c r="L39" s="629">
        <f>IFERROR(L38*L36,0)</f>
        <v>0</v>
      </c>
      <c r="N39" s="626" t="s">
        <v>3414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 x14ac:dyDescent="0.25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 x14ac:dyDescent="0.25">
      <c r="B2" s="601" t="s">
        <v>3378</v>
      </c>
      <c r="C2" s="602">
        <v>4200</v>
      </c>
      <c r="E2" s="623" t="s">
        <v>3417</v>
      </c>
      <c r="F2" s="604">
        <f>SUM(F38:X38)</f>
        <v>2900</v>
      </c>
    </row>
    <row r="3" spans="2:25" x14ac:dyDescent="0.25">
      <c r="B3" s="601" t="s">
        <v>3393</v>
      </c>
      <c r="C3" s="603">
        <v>0.2</v>
      </c>
      <c r="E3" s="623" t="s">
        <v>3418</v>
      </c>
      <c r="F3" s="630">
        <f>F2/C2</f>
        <v>0.69047619047619047</v>
      </c>
    </row>
    <row r="4" spans="2:25" ht="13.8" thickBot="1" x14ac:dyDescent="0.3"/>
    <row r="5" spans="2:25" ht="13.8" thickBot="1" x14ac:dyDescent="0.3">
      <c r="B5" s="1360" t="s">
        <v>3406</v>
      </c>
      <c r="C5" s="1361"/>
      <c r="E5" s="1360" t="s">
        <v>3410</v>
      </c>
      <c r="F5" s="1361"/>
      <c r="H5" s="1360" t="s">
        <v>3408</v>
      </c>
      <c r="I5" s="1361"/>
      <c r="K5" s="1362" t="s">
        <v>3419</v>
      </c>
      <c r="L5" s="1363"/>
      <c r="N5" s="1360" t="s">
        <v>3415</v>
      </c>
      <c r="O5" s="1361"/>
      <c r="Q5" s="1360" t="s">
        <v>3416</v>
      </c>
      <c r="R5" s="1361"/>
      <c r="T5" s="1360" t="s">
        <v>3405</v>
      </c>
      <c r="U5" s="1361"/>
      <c r="W5" s="1360" t="s">
        <v>3404</v>
      </c>
      <c r="X5" s="1361"/>
    </row>
    <row r="6" spans="2:25" x14ac:dyDescent="0.25">
      <c r="B6" s="601" t="s">
        <v>3378</v>
      </c>
      <c r="C6" s="610">
        <f>$C$2</f>
        <v>4200</v>
      </c>
      <c r="E6" s="601" t="s">
        <v>3378</v>
      </c>
      <c r="F6" s="610">
        <f>$C$2</f>
        <v>4200</v>
      </c>
      <c r="H6" s="601" t="s">
        <v>3378</v>
      </c>
      <c r="I6" s="610">
        <f>$C$2</f>
        <v>4200</v>
      </c>
      <c r="K6" s="601" t="s">
        <v>3378</v>
      </c>
      <c r="L6" s="610">
        <f>$C$2</f>
        <v>4200</v>
      </c>
      <c r="N6" s="601" t="s">
        <v>3378</v>
      </c>
      <c r="O6" s="610">
        <f>$C$2</f>
        <v>4200</v>
      </c>
      <c r="Q6" s="601" t="s">
        <v>3378</v>
      </c>
      <c r="R6" s="610">
        <f>$C$2</f>
        <v>4200</v>
      </c>
      <c r="T6" s="601" t="s">
        <v>3378</v>
      </c>
      <c r="U6" s="610">
        <f>$C$2</f>
        <v>4200</v>
      </c>
      <c r="W6" s="601" t="s">
        <v>3378</v>
      </c>
      <c r="X6" s="610">
        <f>$C$2</f>
        <v>4200</v>
      </c>
    </row>
    <row r="7" spans="2:25" x14ac:dyDescent="0.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 x14ac:dyDescent="0.25">
      <c r="B8" s="632" t="s">
        <v>3420</v>
      </c>
      <c r="C8" s="602">
        <v>100</v>
      </c>
      <c r="E8" s="632" t="s">
        <v>3420</v>
      </c>
      <c r="F8" s="602">
        <v>15</v>
      </c>
      <c r="H8" s="632" t="s">
        <v>3420</v>
      </c>
      <c r="I8" s="602">
        <v>100</v>
      </c>
      <c r="K8" s="632" t="s">
        <v>3420</v>
      </c>
      <c r="L8" s="602">
        <v>10</v>
      </c>
    </row>
    <row r="9" spans="2:25" x14ac:dyDescent="0.25">
      <c r="B9" s="632" t="s">
        <v>3421</v>
      </c>
      <c r="C9" s="602">
        <v>33</v>
      </c>
      <c r="E9" s="632" t="s">
        <v>3421</v>
      </c>
      <c r="F9" s="602">
        <v>8.3000000000000007</v>
      </c>
      <c r="H9" s="632" t="s">
        <v>3421</v>
      </c>
      <c r="I9" s="602">
        <v>23</v>
      </c>
      <c r="K9" s="632" t="s">
        <v>3421</v>
      </c>
      <c r="L9" s="602">
        <v>4</v>
      </c>
    </row>
    <row r="10" spans="2:25" x14ac:dyDescent="0.25">
      <c r="B10" s="601" t="s">
        <v>3379</v>
      </c>
      <c r="C10" s="604">
        <f>C9/C8+1</f>
        <v>1.33</v>
      </c>
      <c r="E10" s="601" t="s">
        <v>3379</v>
      </c>
      <c r="F10" s="604">
        <f>F9/F8+1</f>
        <v>1.5533333333333332</v>
      </c>
      <c r="H10" s="601" t="s">
        <v>3379</v>
      </c>
      <c r="I10" s="604">
        <f>I9/I8+1</f>
        <v>1.23</v>
      </c>
      <c r="K10" s="601" t="s">
        <v>3379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 x14ac:dyDescent="0.25">
      <c r="B11" s="601" t="s">
        <v>3380</v>
      </c>
      <c r="C11" s="622">
        <v>2</v>
      </c>
      <c r="E11" s="601" t="s">
        <v>3380</v>
      </c>
      <c r="F11" s="622">
        <v>2</v>
      </c>
      <c r="H11" s="601" t="s">
        <v>3380</v>
      </c>
      <c r="I11" s="622">
        <v>2</v>
      </c>
      <c r="K11" s="601" t="s">
        <v>3380</v>
      </c>
      <c r="L11" s="622">
        <v>2.5</v>
      </c>
      <c r="N11" s="601" t="s">
        <v>3380</v>
      </c>
      <c r="O11" s="622">
        <v>1</v>
      </c>
      <c r="Q11" s="601" t="s">
        <v>3380</v>
      </c>
      <c r="R11" s="622">
        <v>1</v>
      </c>
      <c r="T11" s="601" t="s">
        <v>3380</v>
      </c>
      <c r="U11" s="622">
        <v>2.5</v>
      </c>
      <c r="W11" s="601" t="s">
        <v>3380</v>
      </c>
      <c r="X11" s="622">
        <v>5</v>
      </c>
    </row>
    <row r="12" spans="2:25" x14ac:dyDescent="0.25">
      <c r="B12" s="601" t="s">
        <v>3381</v>
      </c>
      <c r="C12" s="604">
        <f>C10-1</f>
        <v>0.33000000000000007</v>
      </c>
      <c r="E12" s="601" t="s">
        <v>3381</v>
      </c>
      <c r="F12" s="604">
        <f>F10-1</f>
        <v>0.55333333333333323</v>
      </c>
      <c r="H12" s="601" t="s">
        <v>3381</v>
      </c>
      <c r="I12" s="604">
        <f>I10-1</f>
        <v>0.22999999999999998</v>
      </c>
      <c r="K12" s="601" t="s">
        <v>3381</v>
      </c>
      <c r="L12" s="604">
        <f>L10-1</f>
        <v>0.39999999999999991</v>
      </c>
      <c r="N12" s="601" t="s">
        <v>3381</v>
      </c>
      <c r="O12" s="604">
        <f>1/(O10-1)</f>
        <v>7.2992700729927015E-2</v>
      </c>
      <c r="Q12" s="601" t="s">
        <v>3381</v>
      </c>
      <c r="R12" s="604">
        <f>1/(R10-1)</f>
        <v>5.305039787798408E-2</v>
      </c>
      <c r="T12" s="601" t="s">
        <v>3381</v>
      </c>
      <c r="U12" s="604">
        <f>1/(U10-1)</f>
        <v>9.3370681605975711E-2</v>
      </c>
      <c r="W12" s="601" t="s">
        <v>3381</v>
      </c>
      <c r="X12" s="604">
        <f>X10-1</f>
        <v>0.28000000000000003</v>
      </c>
    </row>
    <row r="13" spans="2:25" x14ac:dyDescent="0.25">
      <c r="B13" s="601" t="s">
        <v>3382</v>
      </c>
      <c r="C13" s="605">
        <f>1-C7</f>
        <v>0.17000000000000004</v>
      </c>
      <c r="E13" s="601" t="s">
        <v>3382</v>
      </c>
      <c r="F13" s="605">
        <f>1-F7</f>
        <v>0.19999999999999996</v>
      </c>
      <c r="H13" s="601" t="s">
        <v>3382</v>
      </c>
      <c r="I13" s="605">
        <f>1-I7</f>
        <v>0.15000000000000002</v>
      </c>
      <c r="K13" s="601" t="s">
        <v>3382</v>
      </c>
      <c r="L13" s="605">
        <f>1-L7</f>
        <v>0.25</v>
      </c>
      <c r="N13" s="601" t="s">
        <v>3382</v>
      </c>
      <c r="O13" s="606">
        <f>1-O7</f>
        <v>2.0000000000000018E-2</v>
      </c>
      <c r="Q13" s="601" t="s">
        <v>3382</v>
      </c>
      <c r="R13" s="606">
        <f>1-R7</f>
        <v>2.0000000000000018E-2</v>
      </c>
      <c r="T13" s="601" t="s">
        <v>3382</v>
      </c>
      <c r="U13" s="606">
        <f>1-U7</f>
        <v>6.2000000000000055E-2</v>
      </c>
      <c r="W13" s="601" t="s">
        <v>3382</v>
      </c>
      <c r="X13" s="605">
        <f>1-X7</f>
        <v>0.15000000000000002</v>
      </c>
    </row>
    <row r="14" spans="2:25" ht="13.8" thickBot="1" x14ac:dyDescent="0.3">
      <c r="B14" s="601" t="s">
        <v>3383</v>
      </c>
      <c r="C14" s="604">
        <f>(C12*C7-C13)/C12</f>
        <v>0.31484848484848477</v>
      </c>
      <c r="E14" s="601" t="s">
        <v>3383</v>
      </c>
      <c r="F14" s="604">
        <f>(F12*F7-F13)/F12</f>
        <v>0.43855421686746993</v>
      </c>
      <c r="H14" s="601" t="s">
        <v>3383</v>
      </c>
      <c r="I14" s="604">
        <f>(I12*I7-I13)/I12</f>
        <v>0.19782608695652157</v>
      </c>
      <c r="K14" s="601" t="s">
        <v>3383</v>
      </c>
      <c r="L14" s="604">
        <f>(L12*L7-L13)/L12</f>
        <v>0.12499999999999986</v>
      </c>
      <c r="N14" s="601" t="s">
        <v>3383</v>
      </c>
      <c r="O14" s="604">
        <f>(O12*O7-O13)/O12</f>
        <v>0.70599999999999974</v>
      </c>
      <c r="Q14" s="601" t="s">
        <v>3383</v>
      </c>
      <c r="R14" s="604">
        <f>(R12*R7-R13)/R12</f>
        <v>0.60299999999999965</v>
      </c>
      <c r="T14" s="601" t="s">
        <v>3383</v>
      </c>
      <c r="U14" s="604">
        <f>(U12*U7-U13)/U12</f>
        <v>0.27397999999999922</v>
      </c>
      <c r="W14" s="601" t="s">
        <v>3383</v>
      </c>
      <c r="X14" s="604">
        <f>(X12*X7-X13)/X12</f>
        <v>0.31428571428571422</v>
      </c>
    </row>
    <row r="15" spans="2:25" x14ac:dyDescent="0.25">
      <c r="B15" s="612" t="s">
        <v>3384</v>
      </c>
      <c r="C15" s="613">
        <f>C14/C11/(C8/100)</f>
        <v>0.15742424242424238</v>
      </c>
      <c r="E15" s="612" t="s">
        <v>3384</v>
      </c>
      <c r="F15" s="613">
        <f>F14/F11/(F8/100)</f>
        <v>1.4618473895582331</v>
      </c>
      <c r="H15" s="612" t="s">
        <v>3384</v>
      </c>
      <c r="I15" s="613">
        <f>I14/I11/(I8/100)</f>
        <v>9.8913043478260784E-2</v>
      </c>
      <c r="K15" s="612" t="s">
        <v>3384</v>
      </c>
      <c r="L15" s="613">
        <f>L14/L11/(L8/100)</f>
        <v>0.49999999999999944</v>
      </c>
      <c r="N15" s="612" t="s">
        <v>3384</v>
      </c>
      <c r="O15" s="613">
        <f>O14/O11</f>
        <v>0.70599999999999974</v>
      </c>
      <c r="Q15" s="612" t="s">
        <v>3384</v>
      </c>
      <c r="R15" s="613">
        <f>R14/R11</f>
        <v>0.60299999999999965</v>
      </c>
      <c r="T15" s="612" t="s">
        <v>3384</v>
      </c>
      <c r="U15" s="613">
        <f>U14/U11</f>
        <v>0.10959199999999969</v>
      </c>
      <c r="W15" s="612" t="s">
        <v>3384</v>
      </c>
      <c r="X15" s="613">
        <f>X14/X11</f>
        <v>6.2857142857142848E-2</v>
      </c>
      <c r="Y15" s="601" t="s">
        <v>3400</v>
      </c>
    </row>
    <row r="16" spans="2:25" ht="13.8" thickBot="1" x14ac:dyDescent="0.3">
      <c r="B16" s="614" t="s">
        <v>3385</v>
      </c>
      <c r="C16" s="615">
        <f>C15*C6</f>
        <v>661.18181818181802</v>
      </c>
      <c r="E16" s="614" t="s">
        <v>3385</v>
      </c>
      <c r="F16" s="615">
        <f>F15*F6</f>
        <v>6139.7590361445791</v>
      </c>
      <c r="H16" s="614" t="s">
        <v>3385</v>
      </c>
      <c r="I16" s="615">
        <f>I15*I6</f>
        <v>415.43478260869529</v>
      </c>
      <c r="K16" s="614" t="s">
        <v>3385</v>
      </c>
      <c r="L16" s="615">
        <f>L15*L6</f>
        <v>2099.9999999999977</v>
      </c>
      <c r="N16" s="614" t="s">
        <v>3385</v>
      </c>
      <c r="O16" s="615">
        <f>O15*O6</f>
        <v>2965.1999999999989</v>
      </c>
      <c r="Q16" s="614" t="s">
        <v>3385</v>
      </c>
      <c r="R16" s="615">
        <f>R15*R6</f>
        <v>2532.5999999999985</v>
      </c>
      <c r="T16" s="614" t="s">
        <v>3385</v>
      </c>
      <c r="U16" s="615">
        <f>U15*U6</f>
        <v>460.28639999999871</v>
      </c>
      <c r="W16" s="614" t="s">
        <v>3385</v>
      </c>
      <c r="X16" s="615">
        <f>X15*X6</f>
        <v>263.99999999999994</v>
      </c>
      <c r="Y16" s="601" t="s">
        <v>3401</v>
      </c>
    </row>
    <row r="18" spans="2:25" x14ac:dyDescent="0.25">
      <c r="B18" s="601" t="s">
        <v>3386</v>
      </c>
      <c r="C18" s="608">
        <f>((C7*C9)-(C13*C8))/C8</f>
        <v>0.10389999999999994</v>
      </c>
      <c r="E18" s="601" t="s">
        <v>3386</v>
      </c>
      <c r="F18" s="608">
        <f>((F7*F9)-(F13*F8))/F8</f>
        <v>0.24266666666666675</v>
      </c>
      <c r="H18" s="601" t="s">
        <v>3386</v>
      </c>
      <c r="I18" s="608">
        <f>((I7*I9)-(I13*I8))/I8</f>
        <v>4.5499999999999992E-2</v>
      </c>
      <c r="K18" s="601" t="s">
        <v>3386</v>
      </c>
      <c r="L18" s="608">
        <f>((L7*L9)-(L13*L8))/L8</f>
        <v>0.05</v>
      </c>
      <c r="N18" s="601" t="s">
        <v>3386</v>
      </c>
      <c r="O18" s="608">
        <f>(100/(O10-1)*O7-O13*100)/100</f>
        <v>5.1532846715328449E-2</v>
      </c>
      <c r="Q18" s="601" t="s">
        <v>3386</v>
      </c>
      <c r="R18" s="608">
        <f>(100/(R10-1)*R7-R13*100)/100</f>
        <v>3.1989389920424376E-2</v>
      </c>
      <c r="T18" s="601" t="s">
        <v>3386</v>
      </c>
      <c r="U18" s="608">
        <f>(100/(U10-1)*U7-U13*100)/100</f>
        <v>2.5581699346405164E-2</v>
      </c>
      <c r="W18" s="601" t="s">
        <v>3386</v>
      </c>
      <c r="X18" s="608">
        <f>(100*(X10-1)*X7-X13*100)/100</f>
        <v>8.7999999999999995E-2</v>
      </c>
    </row>
    <row r="19" spans="2:25" ht="13.8" thickBot="1" x14ac:dyDescent="0.3">
      <c r="B19" s="601" t="s">
        <v>3387</v>
      </c>
      <c r="C19" s="607">
        <f>(C7*(C9/100-C18)^2)+(C13*(-C8/100-C18)^2)</f>
        <v>0.24959179000000004</v>
      </c>
      <c r="E19" s="601" t="s">
        <v>3387</v>
      </c>
      <c r="F19" s="607">
        <f>(F7*(F9/100-F18)^2)+(F13*(-F8/100-F18)^2)</f>
        <v>5.1232177777777804E-2</v>
      </c>
      <c r="H19" s="601" t="s">
        <v>3387</v>
      </c>
      <c r="I19" s="607">
        <f>(I7*(I9/100-I18)^2)+(I13*(-I8/100-I18)^2)</f>
        <v>0.19289475000000006</v>
      </c>
      <c r="K19" s="601" t="s">
        <v>3387</v>
      </c>
      <c r="L19" s="607">
        <f>(L7*(L9/100-L18)^2)+(L13*(-L8/100-L18)^2)</f>
        <v>5.7000000000000019E-3</v>
      </c>
      <c r="N19" s="601" t="s">
        <v>3387</v>
      </c>
      <c r="O19" s="607">
        <f>(O7*((100/O10-1)/100-O18)^2)+(O13*(-100/100-O18)^2)</f>
        <v>2.2155759785065589E-2</v>
      </c>
      <c r="Q19" s="601" t="s">
        <v>3387</v>
      </c>
      <c r="R19" s="607">
        <f>(R7*((100/R10-1)/100-R18)^2)+(R13*(-100/100-R18)^2)</f>
        <v>2.1369000688302688E-2</v>
      </c>
      <c r="T19" s="601" t="s">
        <v>3387</v>
      </c>
      <c r="U19" s="607">
        <f>(U7*((100/U10-1)/100-U18)^2)+(U13*(-100/100-U18)^2)</f>
        <v>6.7540421184373492E-2</v>
      </c>
      <c r="W19" s="601" t="s">
        <v>3388</v>
      </c>
      <c r="X19" s="607">
        <f>(X7*((100/X10-1)/100-X18)^2)+(X13*(-100/100-X18)^2)</f>
        <v>0.57436757812500006</v>
      </c>
    </row>
    <row r="20" spans="2:25" ht="13.8" thickBot="1" x14ac:dyDescent="0.3">
      <c r="B20" s="616" t="s">
        <v>3389</v>
      </c>
      <c r="C20" s="617">
        <f>EXP(-2*C18/C19*1/C15)</f>
        <v>5.0486444595291965E-3</v>
      </c>
      <c r="E20" s="616" t="s">
        <v>3389</v>
      </c>
      <c r="F20" s="617">
        <f>EXP(-2*F18/F19*1/F15)</f>
        <v>1.5333470630893866E-3</v>
      </c>
      <c r="H20" s="616" t="s">
        <v>3389</v>
      </c>
      <c r="I20" s="617">
        <f>EXP(-2*I18/I19*1/I15)</f>
        <v>8.4851277069127456E-3</v>
      </c>
      <c r="K20" s="616" t="s">
        <v>3389</v>
      </c>
      <c r="L20" s="617">
        <f>EXP(-2*L18/L19*1/L15)</f>
        <v>5.7756002457180912E-16</v>
      </c>
      <c r="N20" s="616" t="s">
        <v>3389</v>
      </c>
      <c r="O20" s="617">
        <f>EXP(-2*O18/O19*1/O15)</f>
        <v>1.3753463906141096E-3</v>
      </c>
      <c r="Q20" s="616" t="s">
        <v>3389</v>
      </c>
      <c r="R20" s="617">
        <f>EXP(-2*R18/R19*1/R15)</f>
        <v>6.9767401994437518E-3</v>
      </c>
      <c r="T20" s="616" t="s">
        <v>3389</v>
      </c>
      <c r="U20" s="617">
        <f>EXP(-2*U18/U19*1/U15)</f>
        <v>9.9555764349703712E-4</v>
      </c>
      <c r="W20" s="616" t="s">
        <v>3389</v>
      </c>
      <c r="X20" s="617">
        <f>EXP(-2*X18/X19*1/X15)</f>
        <v>7.635651794193306E-3</v>
      </c>
      <c r="Y20" s="601" t="s">
        <v>3398</v>
      </c>
    </row>
    <row r="22" spans="2:25" x14ac:dyDescent="0.25">
      <c r="B22" s="601" t="s">
        <v>3390</v>
      </c>
      <c r="C22" s="609">
        <v>300</v>
      </c>
      <c r="E22" s="601" t="s">
        <v>3390</v>
      </c>
      <c r="F22" s="609">
        <v>60</v>
      </c>
      <c r="H22" s="601" t="s">
        <v>3390</v>
      </c>
      <c r="I22" s="609">
        <v>60</v>
      </c>
      <c r="K22" s="601" t="s">
        <v>3390</v>
      </c>
      <c r="L22" s="609">
        <v>30</v>
      </c>
      <c r="N22" s="601" t="s">
        <v>3390</v>
      </c>
      <c r="O22" s="609">
        <v>30</v>
      </c>
      <c r="Q22" s="601" t="s">
        <v>3390</v>
      </c>
      <c r="R22" s="609">
        <v>30</v>
      </c>
      <c r="T22" s="601" t="s">
        <v>3390</v>
      </c>
      <c r="U22" s="609">
        <v>60</v>
      </c>
      <c r="W22" s="601" t="s">
        <v>3390</v>
      </c>
      <c r="X22" s="609">
        <v>30</v>
      </c>
    </row>
    <row r="23" spans="2:25" x14ac:dyDescent="0.25">
      <c r="B23" s="601" t="s">
        <v>3391</v>
      </c>
      <c r="C23" s="601">
        <f>C22*12</f>
        <v>3600</v>
      </c>
      <c r="E23" s="601" t="s">
        <v>3391</v>
      </c>
      <c r="F23" s="601">
        <f>F22*12</f>
        <v>720</v>
      </c>
      <c r="H23" s="601" t="s">
        <v>3391</v>
      </c>
      <c r="I23" s="601">
        <f>I22*12</f>
        <v>720</v>
      </c>
      <c r="K23" s="601" t="s">
        <v>3391</v>
      </c>
      <c r="L23" s="601">
        <f>L22*12</f>
        <v>360</v>
      </c>
      <c r="N23" s="601" t="s">
        <v>3391</v>
      </c>
      <c r="O23" s="601">
        <f>O22*12</f>
        <v>360</v>
      </c>
      <c r="Q23" s="601" t="s">
        <v>3391</v>
      </c>
      <c r="R23" s="601">
        <f>R22*12</f>
        <v>360</v>
      </c>
      <c r="T23" s="601" t="s">
        <v>3391</v>
      </c>
      <c r="U23" s="601">
        <f>U22*12</f>
        <v>720</v>
      </c>
      <c r="W23" s="601" t="s">
        <v>3391</v>
      </c>
      <c r="X23" s="601">
        <f>X22*12</f>
        <v>360</v>
      </c>
    </row>
    <row r="24" spans="2:25" x14ac:dyDescent="0.25">
      <c r="B24" s="601" t="s">
        <v>3407</v>
      </c>
      <c r="C24" s="609">
        <v>2</v>
      </c>
      <c r="E24" s="601" t="s">
        <v>3407</v>
      </c>
      <c r="F24" s="609">
        <v>1</v>
      </c>
      <c r="H24" s="601" t="s">
        <v>3407</v>
      </c>
      <c r="I24" s="609">
        <v>2</v>
      </c>
      <c r="K24" s="601" t="s">
        <v>3407</v>
      </c>
      <c r="L24" s="609">
        <v>2</v>
      </c>
      <c r="N24" s="601" t="s">
        <v>3407</v>
      </c>
      <c r="O24" s="609">
        <v>1</v>
      </c>
      <c r="Q24" s="601" t="s">
        <v>3407</v>
      </c>
      <c r="R24" s="609">
        <v>1</v>
      </c>
      <c r="T24" s="601" t="s">
        <v>3407</v>
      </c>
      <c r="U24" s="609">
        <v>1</v>
      </c>
      <c r="W24" s="601" t="s">
        <v>3407</v>
      </c>
      <c r="X24" s="609">
        <v>1</v>
      </c>
    </row>
    <row r="25" spans="2:25" x14ac:dyDescent="0.25">
      <c r="B25" s="601" t="s">
        <v>3392</v>
      </c>
      <c r="C25" s="601">
        <f>ROUNDUP(LN(C23)/LN(1/C13)+C24,0)</f>
        <v>7</v>
      </c>
      <c r="E25" s="601" t="s">
        <v>3392</v>
      </c>
      <c r="F25" s="601">
        <f>ROUNDUP(LN(F23)/LN(1/F13)+F24,0)</f>
        <v>6</v>
      </c>
      <c r="H25" s="601" t="s">
        <v>3392</v>
      </c>
      <c r="I25" s="601">
        <f>ROUNDUP(LN(I23)/LN(1/I13)+I24,0)</f>
        <v>6</v>
      </c>
      <c r="K25" s="601" t="s">
        <v>3392</v>
      </c>
      <c r="L25" s="601">
        <f>ROUNDUP(LN(L23)/LN(1/L13)+L24,0)</f>
        <v>7</v>
      </c>
      <c r="N25" s="601" t="s">
        <v>3392</v>
      </c>
      <c r="O25" s="601">
        <f>ROUNDUP(LN(O23)/LN(1/O13)+O24,0)</f>
        <v>3</v>
      </c>
      <c r="Q25" s="601" t="s">
        <v>3392</v>
      </c>
      <c r="R25" s="601">
        <f>ROUNDUP(LN(R23)/LN(1/R13)+R24,0)</f>
        <v>3</v>
      </c>
      <c r="T25" s="601" t="s">
        <v>3392</v>
      </c>
      <c r="U25" s="601">
        <f>ROUNDUP(LN(U23)/LN(1/U13)+U24,0)</f>
        <v>4</v>
      </c>
      <c r="W25" s="601" t="s">
        <v>3392</v>
      </c>
      <c r="X25" s="601">
        <f>ROUNDUP(LN(X23)/LN(1/X13)+X24,0)</f>
        <v>5</v>
      </c>
      <c r="Y25" s="601" t="s">
        <v>3399</v>
      </c>
    </row>
    <row r="26" spans="2:25" ht="13.8" thickBot="1" x14ac:dyDescent="0.3">
      <c r="B26" s="601" t="s">
        <v>3393</v>
      </c>
      <c r="C26" s="611">
        <f>$C$3</f>
        <v>0.2</v>
      </c>
      <c r="E26" s="601" t="s">
        <v>3393</v>
      </c>
      <c r="F26" s="611">
        <f>$C$3</f>
        <v>0.2</v>
      </c>
      <c r="H26" s="601" t="s">
        <v>3393</v>
      </c>
      <c r="I26" s="611">
        <f>$C$3</f>
        <v>0.2</v>
      </c>
      <c r="K26" s="601" t="s">
        <v>3393</v>
      </c>
      <c r="L26" s="611">
        <f>$C$3</f>
        <v>0.2</v>
      </c>
      <c r="N26" s="601" t="s">
        <v>3393</v>
      </c>
      <c r="O26" s="611">
        <f>$C$3</f>
        <v>0.2</v>
      </c>
      <c r="Q26" s="601" t="s">
        <v>3393</v>
      </c>
      <c r="R26" s="611">
        <f>$C$3</f>
        <v>0.2</v>
      </c>
      <c r="T26" s="601" t="s">
        <v>3393</v>
      </c>
      <c r="U26" s="611">
        <f>$C$3</f>
        <v>0.2</v>
      </c>
      <c r="W26" s="601" t="s">
        <v>3393</v>
      </c>
      <c r="X26" s="611">
        <f>$C$3</f>
        <v>0.2</v>
      </c>
    </row>
    <row r="27" spans="2:25" ht="13.8" thickBot="1" x14ac:dyDescent="0.3">
      <c r="B27" s="616" t="s">
        <v>3394</v>
      </c>
      <c r="C27" s="617">
        <f>1-(1-C13^C25)^C23</f>
        <v>1.4663648540536367E-2</v>
      </c>
      <c r="E27" s="616" t="s">
        <v>3394</v>
      </c>
      <c r="F27" s="617">
        <f>1-(1-F13^F25)^F23</f>
        <v>4.5035846323246198E-2</v>
      </c>
      <c r="H27" s="616" t="s">
        <v>3394</v>
      </c>
      <c r="I27" s="617">
        <f>1-(1-I13^I25)^I23</f>
        <v>8.1677578252626892E-3</v>
      </c>
      <c r="K27" s="616" t="s">
        <v>3394</v>
      </c>
      <c r="L27" s="617">
        <f>1-(1-L13^L25)^L23</f>
        <v>2.1733671832260937E-2</v>
      </c>
      <c r="N27" s="616" t="s">
        <v>3394</v>
      </c>
      <c r="O27" s="617">
        <f>1-(1-O13^O25)^O23</f>
        <v>2.8758682653705625E-3</v>
      </c>
      <c r="Q27" s="616" t="s">
        <v>3394</v>
      </c>
      <c r="R27" s="617">
        <f>1-(1-R13^R25)^R23</f>
        <v>2.8758682653705625E-3</v>
      </c>
      <c r="T27" s="616" t="s">
        <v>3394</v>
      </c>
      <c r="U27" s="617">
        <f>1-(1-U13^U25)^U23</f>
        <v>1.0582646102934801E-2</v>
      </c>
      <c r="W27" s="616" t="s">
        <v>3394</v>
      </c>
      <c r="X27" s="617">
        <f>1-(1-X13^X25)^X23</f>
        <v>2.6968222495083682E-2</v>
      </c>
      <c r="Y27" s="601" t="s">
        <v>3409</v>
      </c>
    </row>
    <row r="28" spans="2:25" x14ac:dyDescent="0.25">
      <c r="B28" s="612" t="s">
        <v>3395</v>
      </c>
      <c r="C28" s="613">
        <f>1-(1-C26)^(1/C25)</f>
        <v>3.1374914073002635E-2</v>
      </c>
      <c r="E28" s="612" t="s">
        <v>3395</v>
      </c>
      <c r="F28" s="613">
        <f>1-(1-F26)^(1/F25)</f>
        <v>3.6507516001003881E-2</v>
      </c>
      <c r="H28" s="612" t="s">
        <v>3395</v>
      </c>
      <c r="I28" s="613">
        <f>1-(1-I26)^(1/I25)</f>
        <v>3.6507516001003881E-2</v>
      </c>
      <c r="K28" s="612" t="s">
        <v>3395</v>
      </c>
      <c r="L28" s="613">
        <f>1-(1-L26)^(1/L25)</f>
        <v>3.1374914073002635E-2</v>
      </c>
      <c r="N28" s="612" t="s">
        <v>3395</v>
      </c>
      <c r="O28" s="613">
        <f>1-(1-O26)^(1/O25)</f>
        <v>7.1682233277444163E-2</v>
      </c>
      <c r="Q28" s="612" t="s">
        <v>3395</v>
      </c>
      <c r="R28" s="613">
        <f>1-(1-R26)^(1/R25)</f>
        <v>7.1682233277444163E-2</v>
      </c>
      <c r="T28" s="612" t="s">
        <v>3395</v>
      </c>
      <c r="U28" s="613">
        <f>1-(1-U26)^(1/U25)</f>
        <v>5.4258390996824168E-2</v>
      </c>
      <c r="W28" s="612" t="s">
        <v>3384</v>
      </c>
      <c r="X28" s="613">
        <f>1-(1-X26)^(1/X25)</f>
        <v>4.3647500209962997E-2</v>
      </c>
      <c r="Y28" s="601" t="s">
        <v>3402</v>
      </c>
    </row>
    <row r="29" spans="2:25" ht="13.8" thickBot="1" x14ac:dyDescent="0.3">
      <c r="B29" s="614" t="s">
        <v>3385</v>
      </c>
      <c r="C29" s="615">
        <f>C28*C6</f>
        <v>131.77463910661106</v>
      </c>
      <c r="E29" s="614" t="s">
        <v>3385</v>
      </c>
      <c r="F29" s="615">
        <f>F28*F6</f>
        <v>153.3315672042163</v>
      </c>
      <c r="H29" s="614" t="s">
        <v>3385</v>
      </c>
      <c r="I29" s="615">
        <f>I28*I6</f>
        <v>153.3315672042163</v>
      </c>
      <c r="K29" s="614" t="s">
        <v>3385</v>
      </c>
      <c r="L29" s="615">
        <f>L28*L6</f>
        <v>131.77463910661106</v>
      </c>
      <c r="N29" s="614" t="s">
        <v>3385</v>
      </c>
      <c r="O29" s="615">
        <f>O28*O6</f>
        <v>301.0653797652655</v>
      </c>
      <c r="Q29" s="614" t="s">
        <v>3385</v>
      </c>
      <c r="R29" s="615">
        <f>R28*R6</f>
        <v>301.0653797652655</v>
      </c>
      <c r="T29" s="614" t="s">
        <v>3385</v>
      </c>
      <c r="U29" s="615">
        <f>U28*U6</f>
        <v>227.88524218666151</v>
      </c>
      <c r="W29" s="614" t="s">
        <v>3385</v>
      </c>
      <c r="X29" s="615">
        <f>X28*X6</f>
        <v>183.31950088184459</v>
      </c>
      <c r="Y29" s="601" t="s">
        <v>3403</v>
      </c>
    </row>
    <row r="30" spans="2:25" ht="13.8" thickBot="1" x14ac:dyDescent="0.3">
      <c r="C30" s="604"/>
      <c r="F30" s="604"/>
      <c r="I30" s="604"/>
      <c r="L30" s="604"/>
      <c r="O30" s="604"/>
      <c r="R30" s="604"/>
      <c r="U30" s="604"/>
      <c r="X30" s="604"/>
    </row>
    <row r="31" spans="2:25" x14ac:dyDescent="0.25">
      <c r="B31" s="618" t="s">
        <v>3396</v>
      </c>
      <c r="C31" s="619">
        <f>C15*C25</f>
        <v>1.1019696969696966</v>
      </c>
      <c r="E31" s="618" t="s">
        <v>3396</v>
      </c>
      <c r="F31" s="619">
        <f>F15*F25</f>
        <v>8.7710843373493983</v>
      </c>
      <c r="H31" s="618" t="s">
        <v>3396</v>
      </c>
      <c r="I31" s="619">
        <f>I15*I25</f>
        <v>0.59347826086956468</v>
      </c>
      <c r="K31" s="618" t="s">
        <v>3396</v>
      </c>
      <c r="L31" s="619">
        <f>L15*L25</f>
        <v>3.499999999999996</v>
      </c>
      <c r="N31" s="618" t="s">
        <v>3396</v>
      </c>
      <c r="O31" s="619">
        <f>O15*O25</f>
        <v>2.1179999999999994</v>
      </c>
      <c r="Q31" s="618" t="s">
        <v>3396</v>
      </c>
      <c r="R31" s="619">
        <f>R15*R25</f>
        <v>1.8089999999999988</v>
      </c>
      <c r="T31" s="618" t="s">
        <v>3396</v>
      </c>
      <c r="U31" s="619">
        <f>U15*U25</f>
        <v>0.43836799999999876</v>
      </c>
      <c r="W31" s="618" t="s">
        <v>3396</v>
      </c>
      <c r="X31" s="619">
        <f>X15*X25</f>
        <v>0.31428571428571422</v>
      </c>
    </row>
    <row r="32" spans="2:25" ht="13.8" thickBot="1" x14ac:dyDescent="0.3">
      <c r="B32" s="620" t="s">
        <v>3397</v>
      </c>
      <c r="C32" s="621">
        <f>C28*C25</f>
        <v>0.21962439851101845</v>
      </c>
      <c r="E32" s="620" t="s">
        <v>3397</v>
      </c>
      <c r="F32" s="621">
        <f>F28*F25</f>
        <v>0.21904509600602329</v>
      </c>
      <c r="H32" s="620" t="s">
        <v>3397</v>
      </c>
      <c r="I32" s="621">
        <f>I28*I25</f>
        <v>0.21904509600602329</v>
      </c>
      <c r="K32" s="620" t="s">
        <v>3397</v>
      </c>
      <c r="L32" s="621">
        <f>L28*L25</f>
        <v>0.21962439851101845</v>
      </c>
      <c r="N32" s="620" t="s">
        <v>3397</v>
      </c>
      <c r="O32" s="621">
        <f>O28*O25</f>
        <v>0.21504669983233249</v>
      </c>
      <c r="Q32" s="620" t="s">
        <v>3397</v>
      </c>
      <c r="R32" s="621">
        <f>R28*R25</f>
        <v>0.21504669983233249</v>
      </c>
      <c r="T32" s="620" t="s">
        <v>3397</v>
      </c>
      <c r="U32" s="621">
        <f>U28*U25</f>
        <v>0.21703356398729667</v>
      </c>
      <c r="W32" s="620" t="s">
        <v>3397</v>
      </c>
      <c r="X32" s="621">
        <f>X28*X25</f>
        <v>0.21823750104981499</v>
      </c>
    </row>
    <row r="33" spans="2:27" ht="13.8" thickBot="1" x14ac:dyDescent="0.3"/>
    <row r="34" spans="2:27" x14ac:dyDescent="0.25">
      <c r="B34" s="625" t="s">
        <v>3411</v>
      </c>
      <c r="C34" s="628">
        <v>120</v>
      </c>
      <c r="E34" s="625" t="s">
        <v>3411</v>
      </c>
      <c r="F34" s="628">
        <v>800</v>
      </c>
      <c r="H34" s="625" t="s">
        <v>3411</v>
      </c>
      <c r="I34" s="628">
        <v>100</v>
      </c>
      <c r="K34" s="625" t="s">
        <v>3411</v>
      </c>
      <c r="L34" s="628">
        <v>100</v>
      </c>
      <c r="N34" s="625" t="s">
        <v>3411</v>
      </c>
      <c r="O34" s="628">
        <v>400</v>
      </c>
      <c r="Q34" s="625" t="s">
        <v>3411</v>
      </c>
      <c r="R34" s="628">
        <v>400</v>
      </c>
      <c r="T34" s="625" t="s">
        <v>3411</v>
      </c>
      <c r="U34" s="628">
        <v>400</v>
      </c>
      <c r="W34" s="625" t="s">
        <v>3411</v>
      </c>
      <c r="X34" s="628">
        <v>100</v>
      </c>
    </row>
    <row r="35" spans="2:27" ht="13.8" thickBot="1" x14ac:dyDescent="0.3">
      <c r="B35" s="626" t="s">
        <v>3412</v>
      </c>
      <c r="C35" s="627">
        <f>C34/$C$2</f>
        <v>2.8571428571428571E-2</v>
      </c>
      <c r="E35" s="626" t="s">
        <v>3412</v>
      </c>
      <c r="F35" s="627">
        <f>F34/$C$2</f>
        <v>0.19047619047619047</v>
      </c>
      <c r="H35" s="626" t="s">
        <v>3412</v>
      </c>
      <c r="I35" s="627">
        <f>I34/$C$2</f>
        <v>2.3809523809523808E-2</v>
      </c>
      <c r="K35" s="626" t="s">
        <v>3412</v>
      </c>
      <c r="L35" s="627">
        <f>L34/$C$2</f>
        <v>2.3809523809523808E-2</v>
      </c>
      <c r="N35" s="626" t="s">
        <v>3412</v>
      </c>
      <c r="O35" s="627">
        <f>O34/$C$2</f>
        <v>9.5238095238095233E-2</v>
      </c>
      <c r="Q35" s="626" t="s">
        <v>3412</v>
      </c>
      <c r="R35" s="627">
        <f>R34/$C$2</f>
        <v>9.5238095238095233E-2</v>
      </c>
      <c r="T35" s="626" t="s">
        <v>3412</v>
      </c>
      <c r="U35" s="627">
        <f>U34/$C$2</f>
        <v>9.5238095238095233E-2</v>
      </c>
      <c r="W35" s="626" t="s">
        <v>3412</v>
      </c>
      <c r="X35" s="627">
        <f>X34/$C$2</f>
        <v>2.3809523809523808E-2</v>
      </c>
    </row>
    <row r="36" spans="2:27" ht="13.8" thickBot="1" x14ac:dyDescent="0.3"/>
    <row r="37" spans="2:27" x14ac:dyDescent="0.25">
      <c r="B37" s="625" t="s">
        <v>3413</v>
      </c>
      <c r="C37" s="624">
        <v>20</v>
      </c>
      <c r="E37" s="625" t="s">
        <v>3413</v>
      </c>
      <c r="F37" s="624">
        <v>2</v>
      </c>
      <c r="H37" s="625" t="s">
        <v>3413</v>
      </c>
      <c r="I37" s="624">
        <v>2</v>
      </c>
      <c r="K37" s="625" t="s">
        <v>3413</v>
      </c>
      <c r="L37" s="624">
        <v>2</v>
      </c>
      <c r="N37" s="625" t="s">
        <v>3413</v>
      </c>
      <c r="O37" s="624">
        <v>0.5</v>
      </c>
      <c r="Q37" s="625" t="s">
        <v>3413</v>
      </c>
      <c r="R37" s="624">
        <v>0.5</v>
      </c>
      <c r="T37" s="625" t="s">
        <v>3413</v>
      </c>
      <c r="U37" s="624">
        <v>1</v>
      </c>
      <c r="W37" s="625" t="s">
        <v>3413</v>
      </c>
      <c r="X37" s="624">
        <v>1</v>
      </c>
    </row>
    <row r="38" spans="2:27" ht="13.8" thickBot="1" x14ac:dyDescent="0.3">
      <c r="B38" s="626" t="s">
        <v>3414</v>
      </c>
      <c r="C38" s="629">
        <f>C37*C34</f>
        <v>2400</v>
      </c>
      <c r="E38" s="626" t="s">
        <v>3414</v>
      </c>
      <c r="F38" s="629">
        <f>F37*F34</f>
        <v>1600</v>
      </c>
      <c r="H38" s="626" t="s">
        <v>3414</v>
      </c>
      <c r="I38" s="629">
        <f>I37*I34</f>
        <v>200</v>
      </c>
      <c r="K38" s="626" t="s">
        <v>3414</v>
      </c>
      <c r="L38" s="629">
        <f>L37*L34</f>
        <v>200</v>
      </c>
      <c r="N38" s="626" t="s">
        <v>3414</v>
      </c>
      <c r="O38" s="629">
        <f>O37*O34</f>
        <v>200</v>
      </c>
      <c r="Q38" s="626" t="s">
        <v>3414</v>
      </c>
      <c r="R38" s="629">
        <f>R37*R34</f>
        <v>200</v>
      </c>
      <c r="T38" s="626" t="s">
        <v>3414</v>
      </c>
      <c r="U38" s="629">
        <f>U37*U34</f>
        <v>400</v>
      </c>
      <c r="W38" s="626" t="s">
        <v>3414</v>
      </c>
      <c r="X38" s="629">
        <f>X37*X34</f>
        <v>100</v>
      </c>
      <c r="Z38" s="604"/>
      <c r="AA38" s="630"/>
    </row>
    <row r="40" spans="2:27" x14ac:dyDescent="0.25">
      <c r="B40" s="632" t="s">
        <v>3395</v>
      </c>
      <c r="C40" s="630">
        <f>C8/100</f>
        <v>1</v>
      </c>
      <c r="E40" s="632" t="s">
        <v>3395</v>
      </c>
      <c r="F40" s="630">
        <v>0.25</v>
      </c>
      <c r="H40" s="632" t="s">
        <v>3395</v>
      </c>
      <c r="I40" s="630">
        <f>I8/100</f>
        <v>1</v>
      </c>
      <c r="K40" s="632" t="s">
        <v>3395</v>
      </c>
      <c r="L40" s="630">
        <v>0.3</v>
      </c>
      <c r="N40" s="632" t="s">
        <v>3395</v>
      </c>
      <c r="O40" s="630">
        <v>1</v>
      </c>
      <c r="Q40" s="632" t="s">
        <v>3395</v>
      </c>
      <c r="R40" s="630">
        <v>1</v>
      </c>
      <c r="T40" s="632" t="s">
        <v>3395</v>
      </c>
      <c r="U40" s="630">
        <v>1</v>
      </c>
      <c r="W40" s="632" t="s">
        <v>3395</v>
      </c>
      <c r="X40" s="630">
        <v>1</v>
      </c>
    </row>
    <row r="41" spans="2:27" x14ac:dyDescent="0.25">
      <c r="B41" s="632" t="s">
        <v>3392</v>
      </c>
      <c r="C41" s="601">
        <f>C25</f>
        <v>7</v>
      </c>
      <c r="E41" s="632" t="s">
        <v>3392</v>
      </c>
      <c r="F41" s="601">
        <f>F25</f>
        <v>6</v>
      </c>
      <c r="H41" s="632" t="s">
        <v>3392</v>
      </c>
      <c r="I41" s="601">
        <f>I25</f>
        <v>6</v>
      </c>
      <c r="K41" s="632" t="s">
        <v>3392</v>
      </c>
      <c r="L41" s="601">
        <f>L25</f>
        <v>7</v>
      </c>
      <c r="N41" s="632" t="s">
        <v>3392</v>
      </c>
      <c r="O41" s="601">
        <f>O25</f>
        <v>3</v>
      </c>
      <c r="Q41" s="632" t="s">
        <v>3392</v>
      </c>
      <c r="R41" s="601">
        <f>R25</f>
        <v>3</v>
      </c>
      <c r="T41" s="632" t="s">
        <v>3392</v>
      </c>
      <c r="U41" s="601">
        <f>U25</f>
        <v>4</v>
      </c>
      <c r="W41" s="632" t="s">
        <v>3392</v>
      </c>
      <c r="X41" s="601">
        <f>X25</f>
        <v>5</v>
      </c>
    </row>
    <row r="42" spans="2:27" x14ac:dyDescent="0.25">
      <c r="B42" s="632" t="s">
        <v>3422</v>
      </c>
      <c r="C42" s="606">
        <f>$C$3</f>
        <v>0.2</v>
      </c>
      <c r="E42" s="632" t="s">
        <v>3422</v>
      </c>
      <c r="F42" s="606">
        <f>$C$3</f>
        <v>0.2</v>
      </c>
      <c r="H42" s="632" t="s">
        <v>3422</v>
      </c>
      <c r="I42" s="606">
        <f>$C$3</f>
        <v>0.2</v>
      </c>
      <c r="K42" s="632" t="s">
        <v>3422</v>
      </c>
      <c r="L42" s="606">
        <f>$C$3</f>
        <v>0.2</v>
      </c>
      <c r="N42" s="632" t="s">
        <v>3422</v>
      </c>
      <c r="O42" s="606">
        <f>$C$3</f>
        <v>0.2</v>
      </c>
      <c r="Q42" s="632" t="s">
        <v>3422</v>
      </c>
      <c r="R42" s="606">
        <f>$C$3</f>
        <v>0.2</v>
      </c>
      <c r="T42" s="632" t="s">
        <v>3422</v>
      </c>
      <c r="U42" s="606">
        <f>$C$3</f>
        <v>0.2</v>
      </c>
      <c r="W42" s="632" t="s">
        <v>3422</v>
      </c>
      <c r="X42" s="606">
        <f>$C$3</f>
        <v>0.2</v>
      </c>
    </row>
    <row r="43" spans="2:27" x14ac:dyDescent="0.25">
      <c r="B43" s="632" t="s">
        <v>3423</v>
      </c>
      <c r="C43" s="633">
        <f>C42*$C$2</f>
        <v>840</v>
      </c>
      <c r="E43" s="632" t="s">
        <v>3423</v>
      </c>
      <c r="F43" s="633">
        <f>F42*$C$2</f>
        <v>840</v>
      </c>
      <c r="H43" s="632" t="s">
        <v>3423</v>
      </c>
      <c r="I43" s="633">
        <f>I42*$C$2</f>
        <v>840</v>
      </c>
      <c r="K43" s="632" t="s">
        <v>3423</v>
      </c>
      <c r="L43" s="633">
        <f>L42*$C$2</f>
        <v>840</v>
      </c>
      <c r="N43" s="632" t="s">
        <v>3423</v>
      </c>
      <c r="O43" s="633">
        <f>O42*$C$2</f>
        <v>840</v>
      </c>
      <c r="Q43" s="632" t="s">
        <v>3423</v>
      </c>
      <c r="R43" s="633">
        <f>R42*$C$2</f>
        <v>840</v>
      </c>
      <c r="T43" s="632" t="s">
        <v>3423</v>
      </c>
      <c r="U43" s="633">
        <f>U42*$C$2</f>
        <v>840</v>
      </c>
      <c r="W43" s="632" t="s">
        <v>3423</v>
      </c>
      <c r="X43" s="633">
        <f>X42*$C$2</f>
        <v>840</v>
      </c>
    </row>
    <row r="44" spans="2:27" x14ac:dyDescent="0.25">
      <c r="B44" s="632" t="s">
        <v>3424</v>
      </c>
      <c r="C44" s="634">
        <f>C43/C41</f>
        <v>120</v>
      </c>
      <c r="E44" s="632" t="s">
        <v>3424</v>
      </c>
      <c r="F44" s="634">
        <f>F43/F41</f>
        <v>140</v>
      </c>
      <c r="H44" s="632" t="s">
        <v>3424</v>
      </c>
      <c r="I44" s="634">
        <f>I43/I41</f>
        <v>140</v>
      </c>
      <c r="K44" s="632" t="s">
        <v>3424</v>
      </c>
      <c r="L44" s="634">
        <f>L43/L41</f>
        <v>120</v>
      </c>
      <c r="N44" s="632" t="s">
        <v>3424</v>
      </c>
      <c r="O44" s="634">
        <f>O43/O41</f>
        <v>280</v>
      </c>
      <c r="Q44" s="632" t="s">
        <v>3424</v>
      </c>
      <c r="R44" s="634">
        <f>R43/R41</f>
        <v>280</v>
      </c>
      <c r="T44" s="632" t="s">
        <v>3424</v>
      </c>
      <c r="U44" s="634">
        <f>U43/U41</f>
        <v>210</v>
      </c>
      <c r="W44" s="632" t="s">
        <v>3424</v>
      </c>
      <c r="X44" s="634">
        <f>X43/X41</f>
        <v>168</v>
      </c>
    </row>
    <row r="45" spans="2:27" x14ac:dyDescent="0.25">
      <c r="B45" s="632" t="s">
        <v>3425</v>
      </c>
      <c r="C45" s="604">
        <f>C44/C40</f>
        <v>120</v>
      </c>
      <c r="E45" s="632" t="s">
        <v>3425</v>
      </c>
      <c r="F45" s="604">
        <f>F44/F40</f>
        <v>560</v>
      </c>
      <c r="H45" s="632" t="s">
        <v>3425</v>
      </c>
      <c r="I45" s="604">
        <f>I44/I40</f>
        <v>140</v>
      </c>
      <c r="K45" s="632" t="s">
        <v>3425</v>
      </c>
      <c r="L45" s="604">
        <f>L44/L40</f>
        <v>400</v>
      </c>
      <c r="N45" s="632" t="s">
        <v>3425</v>
      </c>
      <c r="O45" s="604">
        <f>O44/O40</f>
        <v>280</v>
      </c>
      <c r="Q45" s="632" t="s">
        <v>3425</v>
      </c>
      <c r="R45" s="604">
        <f>R44/R40</f>
        <v>280</v>
      </c>
      <c r="T45" s="632" t="s">
        <v>3425</v>
      </c>
      <c r="U45" s="604">
        <f>U44/U40</f>
        <v>210</v>
      </c>
      <c r="W45" s="632" t="s">
        <v>3425</v>
      </c>
      <c r="X45" s="604">
        <f>X44/X40</f>
        <v>168</v>
      </c>
    </row>
    <row r="46" spans="2:27" x14ac:dyDescent="0.25">
      <c r="B46" s="632" t="s">
        <v>3426</v>
      </c>
      <c r="C46" s="630">
        <f>C45/$C$2</f>
        <v>2.8571428571428571E-2</v>
      </c>
      <c r="E46" s="632" t="s">
        <v>3426</v>
      </c>
      <c r="F46" s="630">
        <f>F45/$C$2</f>
        <v>0.13333333333333333</v>
      </c>
      <c r="H46" s="632" t="s">
        <v>3426</v>
      </c>
      <c r="I46" s="630">
        <f>I45/$C$2</f>
        <v>3.3333333333333333E-2</v>
      </c>
      <c r="K46" s="632" t="s">
        <v>3426</v>
      </c>
      <c r="L46" s="630">
        <f>L45/$C$2</f>
        <v>9.5238095238095233E-2</v>
      </c>
      <c r="N46" s="632" t="s">
        <v>3426</v>
      </c>
      <c r="O46" s="630">
        <f>O45/$C$2</f>
        <v>6.6666666666666666E-2</v>
      </c>
      <c r="Q46" s="632" t="s">
        <v>3426</v>
      </c>
      <c r="R46" s="630">
        <f>R45/$C$2</f>
        <v>6.6666666666666666E-2</v>
      </c>
      <c r="T46" s="632" t="s">
        <v>3426</v>
      </c>
      <c r="U46" s="630">
        <f>U45/$C$2</f>
        <v>0.05</v>
      </c>
      <c r="W46" s="632" t="s">
        <v>3426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 x14ac:dyDescent="0.25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 x14ac:dyDescent="0.25">
      <c r="O1" s="474" t="s">
        <v>2805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 x14ac:dyDescent="0.25">
      <c r="B2" s="4" t="s">
        <v>390</v>
      </c>
      <c r="C2" s="4" t="s">
        <v>2705</v>
      </c>
      <c r="D2" s="4" t="s">
        <v>2708</v>
      </c>
      <c r="E2" s="4" t="s">
        <v>2706</v>
      </c>
      <c r="F2" s="4" t="s">
        <v>2714</v>
      </c>
      <c r="G2" s="4" t="s">
        <v>2707</v>
      </c>
      <c r="H2" s="4" t="s">
        <v>2740</v>
      </c>
      <c r="I2" s="474" t="s">
        <v>2804</v>
      </c>
      <c r="O2" s="474" t="s">
        <v>2806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 x14ac:dyDescent="0.25">
      <c r="B3" s="446" t="s">
        <v>2720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2809</v>
      </c>
      <c r="P3" s="432">
        <v>100</v>
      </c>
      <c r="Q3" s="432">
        <v>-100</v>
      </c>
      <c r="R3" s="432">
        <f t="shared" si="0"/>
        <v>0</v>
      </c>
    </row>
    <row r="4" spans="2:21" ht="15" customHeight="1" x14ac:dyDescent="0.25">
      <c r="B4" s="433" t="s">
        <v>2674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2812</v>
      </c>
      <c r="P4" s="432">
        <v>50</v>
      </c>
      <c r="Q4" s="432">
        <v>-59</v>
      </c>
      <c r="R4" s="432">
        <f t="shared" si="0"/>
        <v>-9</v>
      </c>
    </row>
    <row r="5" spans="2:21" ht="15" customHeight="1" x14ac:dyDescent="0.25">
      <c r="B5" s="433" t="s">
        <v>2672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2731</v>
      </c>
      <c r="L5" s="432">
        <v>3</v>
      </c>
      <c r="O5" s="481" t="s">
        <v>2813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 x14ac:dyDescent="0.25">
      <c r="B6" s="462" t="s">
        <v>2741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2732</v>
      </c>
      <c r="L6" s="452">
        <f>L4*L3</f>
        <v>81.313466911749856</v>
      </c>
      <c r="O6" s="481" t="s">
        <v>2814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 x14ac:dyDescent="0.25">
      <c r="B7" s="433" t="s">
        <v>2655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2733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 x14ac:dyDescent="0.25">
      <c r="B8" s="433" t="s">
        <v>2675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2734</v>
      </c>
      <c r="L8" s="452">
        <f>L7*30</f>
        <v>7318.212022057487</v>
      </c>
      <c r="O8" s="481" t="s">
        <v>2815</v>
      </c>
      <c r="P8" s="432">
        <v>20</v>
      </c>
      <c r="Q8" s="432">
        <v>-20</v>
      </c>
      <c r="R8" s="432">
        <f t="shared" si="0"/>
        <v>0</v>
      </c>
    </row>
    <row r="9" spans="2:21" ht="15" customHeight="1" x14ac:dyDescent="0.25">
      <c r="B9" s="446" t="s">
        <v>2719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2816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 x14ac:dyDescent="0.25">
      <c r="B10" s="433" t="s">
        <v>2664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2817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 x14ac:dyDescent="0.25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 x14ac:dyDescent="0.25">
      <c r="B13" s="23" t="s">
        <v>0</v>
      </c>
      <c r="C13" s="23" t="s">
        <v>2737</v>
      </c>
      <c r="D13" s="23" t="s">
        <v>2646</v>
      </c>
      <c r="E13" s="23" t="s">
        <v>2649</v>
      </c>
      <c r="F13" s="23" t="s">
        <v>2669</v>
      </c>
      <c r="G13" s="23" t="s">
        <v>2647</v>
      </c>
      <c r="H13" s="23" t="s">
        <v>2648</v>
      </c>
      <c r="I13" s="23" t="s">
        <v>2666</v>
      </c>
      <c r="J13" s="23" t="s">
        <v>2709</v>
      </c>
      <c r="K13" s="23" t="s">
        <v>2711</v>
      </c>
      <c r="L13" s="23" t="s">
        <v>2650</v>
      </c>
      <c r="M13" s="23" t="s">
        <v>2651</v>
      </c>
      <c r="N13" s="23" t="s">
        <v>2673</v>
      </c>
      <c r="O13" s="23" t="s">
        <v>2710</v>
      </c>
      <c r="P13" s="23" t="s">
        <v>2712</v>
      </c>
      <c r="Q13" s="23" t="s">
        <v>1784</v>
      </c>
      <c r="R13" s="23" t="s">
        <v>2745</v>
      </c>
      <c r="S13" s="458" t="s">
        <v>2736</v>
      </c>
      <c r="T13" s="23" t="s">
        <v>2713</v>
      </c>
      <c r="U13" s="23" t="s">
        <v>1787</v>
      </c>
    </row>
    <row r="14" spans="2:21" ht="15" hidden="1" customHeight="1" x14ac:dyDescent="0.25">
      <c r="B14" s="434">
        <v>46161</v>
      </c>
      <c r="C14" s="434"/>
      <c r="D14" s="433" t="s">
        <v>2662</v>
      </c>
      <c r="E14" s="433" t="s">
        <v>2663</v>
      </c>
      <c r="F14" s="433" t="s">
        <v>2671</v>
      </c>
      <c r="G14" s="433" t="s">
        <v>2664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2675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2665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 x14ac:dyDescent="0.25">
      <c r="B15" s="434">
        <v>46161</v>
      </c>
      <c r="C15" s="434"/>
      <c r="D15" s="433" t="s">
        <v>2667</v>
      </c>
      <c r="E15" s="433" t="s">
        <v>2668</v>
      </c>
      <c r="F15" s="433" t="s">
        <v>2670</v>
      </c>
      <c r="G15" s="433" t="s">
        <v>2664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2681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 x14ac:dyDescent="0.25">
      <c r="B16" s="434">
        <v>46161</v>
      </c>
      <c r="C16" s="434"/>
      <c r="D16" s="433" t="s">
        <v>2676</v>
      </c>
      <c r="E16" s="433" t="s">
        <v>2677</v>
      </c>
      <c r="F16" s="433" t="s">
        <v>2671</v>
      </c>
      <c r="G16" s="433" t="s">
        <v>2655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2664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2678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 x14ac:dyDescent="0.25">
      <c r="B17" s="434">
        <v>46162</v>
      </c>
      <c r="C17" s="460">
        <v>0.54166666666666663</v>
      </c>
      <c r="D17" s="433" t="s">
        <v>2660</v>
      </c>
      <c r="E17" s="433" t="s">
        <v>2661</v>
      </c>
      <c r="F17" s="433" t="s">
        <v>2671</v>
      </c>
      <c r="G17" s="433" t="s">
        <v>2655</v>
      </c>
      <c r="H17" s="435">
        <v>3.3</v>
      </c>
      <c r="I17" s="435">
        <v>142</v>
      </c>
      <c r="J17" s="449" t="s">
        <v>2730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2672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2659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 x14ac:dyDescent="0.25">
      <c r="B18" s="434">
        <v>46162</v>
      </c>
      <c r="C18" s="460">
        <v>0.54166666666666663</v>
      </c>
      <c r="D18" s="433" t="s">
        <v>2679</v>
      </c>
      <c r="E18" s="433" t="s">
        <v>2680</v>
      </c>
      <c r="F18" s="433" t="s">
        <v>2670</v>
      </c>
      <c r="G18" s="433" t="s">
        <v>2672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2653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 x14ac:dyDescent="0.25">
      <c r="B19" s="434">
        <v>46162</v>
      </c>
      <c r="C19" s="460">
        <v>0.57291666666666663</v>
      </c>
      <c r="D19" s="433" t="s">
        <v>1437</v>
      </c>
      <c r="E19" s="433" t="s">
        <v>2652</v>
      </c>
      <c r="F19" s="433" t="s">
        <v>2671</v>
      </c>
      <c r="G19" s="433" t="s">
        <v>2655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2672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2653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 x14ac:dyDescent="0.25">
      <c r="B20" s="434">
        <v>46162</v>
      </c>
      <c r="C20" s="460">
        <v>0.57291666666666663</v>
      </c>
      <c r="D20" s="433" t="s">
        <v>1437</v>
      </c>
      <c r="E20" s="433" t="s">
        <v>2652</v>
      </c>
      <c r="F20" s="433" t="s">
        <v>2670</v>
      </c>
      <c r="G20" s="433" t="s">
        <v>2675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2659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 x14ac:dyDescent="0.25">
      <c r="B21" s="445">
        <v>46162</v>
      </c>
      <c r="C21" s="459">
        <v>0.625</v>
      </c>
      <c r="D21" s="446" t="s">
        <v>2721</v>
      </c>
      <c r="E21" s="446" t="s">
        <v>2722</v>
      </c>
      <c r="F21" s="433" t="s">
        <v>2671</v>
      </c>
      <c r="G21" s="446" t="s">
        <v>2720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2672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2665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 x14ac:dyDescent="0.25">
      <c r="B22" s="445">
        <v>46162</v>
      </c>
      <c r="C22" s="459">
        <v>0.79166666666666663</v>
      </c>
      <c r="D22" s="446" t="s">
        <v>2723</v>
      </c>
      <c r="E22" s="446" t="s">
        <v>2724</v>
      </c>
      <c r="F22" s="433" t="s">
        <v>2671</v>
      </c>
      <c r="G22" s="446" t="s">
        <v>2675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2720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2704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 x14ac:dyDescent="0.25">
      <c r="B23" s="445">
        <v>46162</v>
      </c>
      <c r="C23" s="459">
        <v>0.79166666666666663</v>
      </c>
      <c r="D23" s="446" t="s">
        <v>2725</v>
      </c>
      <c r="E23" s="446" t="s">
        <v>2703</v>
      </c>
      <c r="F23" s="433" t="s">
        <v>2671</v>
      </c>
      <c r="G23" s="446" t="s">
        <v>2664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2672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2678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 x14ac:dyDescent="0.25">
      <c r="B24" s="434">
        <v>46162</v>
      </c>
      <c r="C24" s="459">
        <v>0.79166666666666663</v>
      </c>
      <c r="D24" s="433" t="s">
        <v>2702</v>
      </c>
      <c r="E24" s="433" t="s">
        <v>2703</v>
      </c>
      <c r="F24" s="433" t="s">
        <v>2671</v>
      </c>
      <c r="G24" s="433" t="s">
        <v>2672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2664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2704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 x14ac:dyDescent="0.25">
      <c r="B25" s="445">
        <v>46162</v>
      </c>
      <c r="C25" s="459">
        <v>0.875</v>
      </c>
      <c r="D25" s="446" t="s">
        <v>2716</v>
      </c>
      <c r="E25" s="446" t="s">
        <v>2717</v>
      </c>
      <c r="F25" s="446" t="s">
        <v>2670</v>
      </c>
      <c r="G25" s="446" t="s">
        <v>2672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2659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 x14ac:dyDescent="0.25">
      <c r="B26" s="445">
        <v>46162</v>
      </c>
      <c r="C26" s="459">
        <v>0.89583333333333337</v>
      </c>
      <c r="D26" s="446" t="s">
        <v>2726</v>
      </c>
      <c r="E26" s="446" t="s">
        <v>2727</v>
      </c>
      <c r="F26" s="433" t="s">
        <v>2671</v>
      </c>
      <c r="G26" s="446" t="s">
        <v>2664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2674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2704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 x14ac:dyDescent="0.25">
      <c r="B27" s="445">
        <v>46162</v>
      </c>
      <c r="C27" s="459">
        <v>0.95833333333333337</v>
      </c>
      <c r="D27" s="454" t="s">
        <v>2735</v>
      </c>
      <c r="E27" s="446" t="s">
        <v>2715</v>
      </c>
      <c r="F27" s="433" t="s">
        <v>2671</v>
      </c>
      <c r="G27" s="433" t="s">
        <v>2655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2664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2678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 x14ac:dyDescent="0.25">
      <c r="B28" s="453">
        <v>46162</v>
      </c>
      <c r="C28" s="459">
        <v>0.95833333333333337</v>
      </c>
      <c r="D28" s="454" t="s">
        <v>2735</v>
      </c>
      <c r="E28" s="454" t="s">
        <v>2715</v>
      </c>
      <c r="F28" s="433" t="s">
        <v>2671</v>
      </c>
      <c r="G28" s="454" t="s">
        <v>2664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2655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2665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 x14ac:dyDescent="0.25">
      <c r="B29" s="445">
        <v>46162</v>
      </c>
      <c r="C29" s="445"/>
      <c r="D29" s="446"/>
      <c r="E29" s="446"/>
      <c r="F29" s="446" t="s">
        <v>2670</v>
      </c>
      <c r="G29" s="433" t="s">
        <v>2655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2718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 x14ac:dyDescent="0.25">
      <c r="B30" s="445">
        <v>46162</v>
      </c>
      <c r="C30" s="445"/>
      <c r="D30" s="446"/>
      <c r="E30" s="446"/>
      <c r="F30" s="446" t="s">
        <v>2670</v>
      </c>
      <c r="G30" s="433" t="s">
        <v>2664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2718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 x14ac:dyDescent="0.25">
      <c r="B31" s="445">
        <v>46163</v>
      </c>
      <c r="C31" s="459">
        <v>0.5</v>
      </c>
      <c r="D31" s="446" t="s">
        <v>2728</v>
      </c>
      <c r="E31" s="446" t="s">
        <v>2729</v>
      </c>
      <c r="F31" s="433" t="s">
        <v>2671</v>
      </c>
      <c r="G31" s="446" t="s">
        <v>2664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2675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2653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 x14ac:dyDescent="0.25">
      <c r="B32" s="453">
        <v>46163</v>
      </c>
      <c r="C32" s="463">
        <v>0.625</v>
      </c>
      <c r="D32" s="454" t="s">
        <v>2794</v>
      </c>
      <c r="E32" s="454" t="s">
        <v>2795</v>
      </c>
      <c r="F32" s="433" t="s">
        <v>2671</v>
      </c>
      <c r="G32" s="454" t="s">
        <v>2672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2664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2665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 x14ac:dyDescent="0.25">
      <c r="B33" s="453">
        <v>46163</v>
      </c>
      <c r="C33" s="463">
        <v>0.625</v>
      </c>
      <c r="D33" s="454" t="s">
        <v>2798</v>
      </c>
      <c r="E33" s="454" t="s">
        <v>2799</v>
      </c>
      <c r="F33" s="433" t="s">
        <v>2671</v>
      </c>
      <c r="G33" s="454" t="s">
        <v>2672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2664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2665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 x14ac:dyDescent="0.25">
      <c r="B34" s="465">
        <v>46163</v>
      </c>
      <c r="C34" s="468">
        <v>0.64583333333333337</v>
      </c>
      <c r="D34" s="462" t="s">
        <v>2742</v>
      </c>
      <c r="E34" s="462" t="s">
        <v>2743</v>
      </c>
      <c r="F34" s="433" t="s">
        <v>2671</v>
      </c>
      <c r="G34" s="462" t="s">
        <v>2741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2675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2744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 x14ac:dyDescent="0.25">
      <c r="B35" s="453">
        <v>46163</v>
      </c>
      <c r="C35" s="463">
        <v>0.79166666666666663</v>
      </c>
      <c r="D35" s="454" t="s">
        <v>2738</v>
      </c>
      <c r="E35" s="454" t="s">
        <v>2739</v>
      </c>
      <c r="F35" s="433" t="s">
        <v>2671</v>
      </c>
      <c r="G35" s="454" t="s">
        <v>2675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2664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2704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 x14ac:dyDescent="0.25">
      <c r="B36" s="453">
        <v>46163</v>
      </c>
      <c r="C36" s="463">
        <v>0.875</v>
      </c>
      <c r="D36" s="454" t="s">
        <v>2800</v>
      </c>
      <c r="E36" s="454" t="s">
        <v>2801</v>
      </c>
      <c r="F36" s="433" t="s">
        <v>2671</v>
      </c>
      <c r="G36" s="454" t="s">
        <v>2672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2674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2665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 x14ac:dyDescent="0.25">
      <c r="B37" s="453">
        <v>46163</v>
      </c>
      <c r="C37" s="453"/>
      <c r="D37" s="454"/>
      <c r="E37" s="454"/>
      <c r="F37" s="454" t="s">
        <v>2670</v>
      </c>
      <c r="G37" s="454" t="s">
        <v>2672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2718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 x14ac:dyDescent="0.25">
      <c r="B38" s="453">
        <v>46163</v>
      </c>
      <c r="C38" s="453"/>
      <c r="D38" s="454"/>
      <c r="E38" s="454"/>
      <c r="F38" s="454" t="s">
        <v>2670</v>
      </c>
      <c r="G38" s="454" t="s">
        <v>2664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2718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 x14ac:dyDescent="0.25">
      <c r="B39" s="453">
        <v>46163</v>
      </c>
      <c r="C39" s="453"/>
      <c r="D39" s="454"/>
      <c r="E39" s="454"/>
      <c r="F39" s="454" t="s">
        <v>2670</v>
      </c>
      <c r="G39" s="454" t="s">
        <v>2675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2718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 x14ac:dyDescent="0.25">
      <c r="B40" s="453">
        <v>46163</v>
      </c>
      <c r="C40" s="453"/>
      <c r="D40" s="454"/>
      <c r="E40" s="454"/>
      <c r="F40" s="454" t="s">
        <v>2670</v>
      </c>
      <c r="G40" s="454" t="s">
        <v>2664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2718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 x14ac:dyDescent="0.25">
      <c r="B41" s="453">
        <v>46163</v>
      </c>
      <c r="C41" s="453"/>
      <c r="D41" s="454"/>
      <c r="E41" s="454"/>
      <c r="F41" s="454" t="s">
        <v>2670</v>
      </c>
      <c r="G41" s="454" t="s">
        <v>2672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2718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 x14ac:dyDescent="0.25">
      <c r="B42" s="453">
        <v>46164</v>
      </c>
      <c r="C42" s="463">
        <v>0.52083333333333337</v>
      </c>
      <c r="D42" s="454" t="s">
        <v>2807</v>
      </c>
      <c r="E42" s="454" t="s">
        <v>2808</v>
      </c>
      <c r="F42" s="433" t="s">
        <v>2671</v>
      </c>
      <c r="G42" s="454" t="s">
        <v>2806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2805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 x14ac:dyDescent="0.25">
      <c r="B43" s="453">
        <v>46164</v>
      </c>
      <c r="C43" s="463">
        <v>0.61458333333333337</v>
      </c>
      <c r="D43" s="454" t="s">
        <v>1229</v>
      </c>
      <c r="E43" s="454" t="s">
        <v>2796</v>
      </c>
      <c r="F43" s="433" t="s">
        <v>2671</v>
      </c>
      <c r="G43" s="454" t="s">
        <v>2675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2672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2744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 x14ac:dyDescent="0.25">
      <c r="B44" s="453">
        <v>46164</v>
      </c>
      <c r="C44" s="453"/>
      <c r="D44" s="454"/>
      <c r="E44" s="454"/>
      <c r="F44" s="454" t="s">
        <v>2670</v>
      </c>
      <c r="G44" s="454" t="s">
        <v>2664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2718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 x14ac:dyDescent="0.25">
      <c r="B45" s="453">
        <v>46164</v>
      </c>
      <c r="C45" s="453"/>
      <c r="D45" s="454"/>
      <c r="E45" s="454"/>
      <c r="F45" s="454" t="s">
        <v>2670</v>
      </c>
      <c r="G45" s="454" t="s">
        <v>2672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2718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 x14ac:dyDescent="0.25">
      <c r="B46" s="453">
        <v>46164</v>
      </c>
      <c r="C46" s="453"/>
      <c r="D46" s="454"/>
      <c r="E46" s="454"/>
      <c r="F46" s="454" t="s">
        <v>2670</v>
      </c>
      <c r="G46" s="454" t="s">
        <v>2675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2718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 x14ac:dyDescent="0.25">
      <c r="B47" s="453">
        <v>46164</v>
      </c>
      <c r="C47" s="453"/>
      <c r="D47" s="454"/>
      <c r="E47" s="454"/>
      <c r="F47" s="454" t="s">
        <v>2670</v>
      </c>
      <c r="G47" s="433" t="s">
        <v>2655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2718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 x14ac:dyDescent="0.25">
      <c r="B48" s="453">
        <v>46164</v>
      </c>
      <c r="C48" s="453"/>
      <c r="D48" s="454"/>
      <c r="E48" s="454"/>
      <c r="F48" s="454" t="s">
        <v>2670</v>
      </c>
      <c r="G48" s="454" t="s">
        <v>2805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2805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 x14ac:dyDescent="0.25">
      <c r="B49" s="453">
        <v>46165</v>
      </c>
      <c r="C49" s="463">
        <v>0.52083333333333337</v>
      </c>
      <c r="D49" s="454" t="s">
        <v>2208</v>
      </c>
      <c r="E49" s="454" t="s">
        <v>2793</v>
      </c>
      <c r="F49" s="433" t="s">
        <v>2671</v>
      </c>
      <c r="G49" s="454" t="s">
        <v>2664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2655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2653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 x14ac:dyDescent="0.25">
      <c r="B50" s="453">
        <v>46165</v>
      </c>
      <c r="C50" s="463">
        <v>0.54166666666666663</v>
      </c>
      <c r="D50" s="454" t="s">
        <v>2797</v>
      </c>
      <c r="E50" s="454" t="s">
        <v>1557</v>
      </c>
      <c r="F50" s="433" t="s">
        <v>2671</v>
      </c>
      <c r="G50" s="454" t="s">
        <v>2719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2672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2744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 x14ac:dyDescent="0.25">
      <c r="B51" s="434">
        <v>46165</v>
      </c>
      <c r="C51" s="460">
        <v>0.66666666666666663</v>
      </c>
      <c r="D51" s="433" t="s">
        <v>2657</v>
      </c>
      <c r="E51" s="433" t="s">
        <v>2658</v>
      </c>
      <c r="F51" s="433" t="s">
        <v>2671</v>
      </c>
      <c r="G51" s="433" t="s">
        <v>2655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2672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2653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 x14ac:dyDescent="0.25">
      <c r="B52" s="453">
        <v>46165</v>
      </c>
      <c r="C52" s="463">
        <v>0.66666666666666663</v>
      </c>
      <c r="D52" s="454" t="s">
        <v>2802</v>
      </c>
      <c r="E52" s="454" t="s">
        <v>2803</v>
      </c>
      <c r="F52" s="433" t="s">
        <v>2671</v>
      </c>
      <c r="G52" s="433" t="s">
        <v>2655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2675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2653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 x14ac:dyDescent="0.25">
      <c r="B53" s="434">
        <v>46166</v>
      </c>
      <c r="C53" s="460">
        <v>0.54166666666666663</v>
      </c>
      <c r="D53" s="433" t="s">
        <v>2654</v>
      </c>
      <c r="E53" s="433" t="s">
        <v>2656</v>
      </c>
      <c r="F53" s="433" t="s">
        <v>2671</v>
      </c>
      <c r="G53" s="433" t="s">
        <v>2655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2674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2653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 x14ac:dyDescent="0.25">
      <c r="B54" s="475">
        <v>46164</v>
      </c>
      <c r="C54" s="475"/>
      <c r="D54" s="476" t="s">
        <v>1272</v>
      </c>
      <c r="E54" s="476" t="s">
        <v>2811</v>
      </c>
      <c r="F54" s="477" t="s">
        <v>2671</v>
      </c>
      <c r="G54" s="476" t="s">
        <v>2675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2672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2810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 x14ac:dyDescent="0.25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 x14ac:dyDescent="0.25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 x14ac:dyDescent="0.25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 x14ac:dyDescent="0.25">
      <c r="O4" s="17"/>
    </row>
    <row r="5" spans="2:18" ht="30" customHeight="1" x14ac:dyDescent="0.25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 x14ac:dyDescent="0.25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 x14ac:dyDescent="0.25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 x14ac:dyDescent="0.25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 x14ac:dyDescent="0.25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 x14ac:dyDescent="0.25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 x14ac:dyDescent="0.25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 x14ac:dyDescent="0.25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 x14ac:dyDescent="0.25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 x14ac:dyDescent="0.25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 x14ac:dyDescent="0.25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 x14ac:dyDescent="0.25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 x14ac:dyDescent="0.25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 x14ac:dyDescent="0.25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 x14ac:dyDescent="0.25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 x14ac:dyDescent="0.25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 x14ac:dyDescent="0.25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 x14ac:dyDescent="0.25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 x14ac:dyDescent="0.25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 x14ac:dyDescent="0.25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 x14ac:dyDescent="0.25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 x14ac:dyDescent="0.25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 x14ac:dyDescent="0.25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 x14ac:dyDescent="0.25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 x14ac:dyDescent="0.25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 x14ac:dyDescent="0.25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 x14ac:dyDescent="0.25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 x14ac:dyDescent="0.25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 x14ac:dyDescent="0.25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 x14ac:dyDescent="0.25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 x14ac:dyDescent="0.25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 x14ac:dyDescent="0.25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 x14ac:dyDescent="0.25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 x14ac:dyDescent="0.25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 x14ac:dyDescent="0.25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 x14ac:dyDescent="0.25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 x14ac:dyDescent="0.25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 x14ac:dyDescent="0.25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 x14ac:dyDescent="0.25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 x14ac:dyDescent="0.25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 x14ac:dyDescent="0.25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 x14ac:dyDescent="0.25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269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 x14ac:dyDescent="0.25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1222</v>
      </c>
      <c r="C23" s="265" t="s">
        <v>1288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1226</v>
      </c>
      <c r="C24" s="265" t="s">
        <v>1288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1272</v>
      </c>
      <c r="C26" s="265" t="s">
        <v>1291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1285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1268</v>
      </c>
      <c r="C28" s="265" t="s">
        <v>1291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1228</v>
      </c>
      <c r="C30" s="265" t="s">
        <v>1288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1303</v>
      </c>
      <c r="C32" s="265" t="s">
        <v>1284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1227</v>
      </c>
      <c r="C36" s="265" t="s">
        <v>1290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1285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1280</v>
      </c>
      <c r="C39" s="265" t="s">
        <v>1284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1248</v>
      </c>
      <c r="C40" s="265" t="s">
        <v>1282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1223</v>
      </c>
      <c r="C42" s="265" t="s">
        <v>1282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 x14ac:dyDescent="0.25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 x14ac:dyDescent="0.25">
      <c r="B2" s="67" t="s">
        <v>263</v>
      </c>
      <c r="C2" s="68">
        <v>100</v>
      </c>
    </row>
    <row r="3" spans="2:17" ht="15" customHeight="1" x14ac:dyDescent="0.25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 x14ac:dyDescent="0.25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 x14ac:dyDescent="0.25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 x14ac:dyDescent="0.25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 x14ac:dyDescent="0.25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 x14ac:dyDescent="0.25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 x14ac:dyDescent="0.25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 x14ac:dyDescent="0.25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 x14ac:dyDescent="0.25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 x14ac:dyDescent="0.25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 x14ac:dyDescent="0.25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 x14ac:dyDescent="0.25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 x14ac:dyDescent="0.25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 x14ac:dyDescent="0.25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 x14ac:dyDescent="0.25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 x14ac:dyDescent="0.25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 x14ac:dyDescent="0.25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48" t="s">
        <v>266</v>
      </c>
      <c r="H19" s="1349" t="s">
        <v>265</v>
      </c>
      <c r="I19" s="1349" t="s">
        <v>284</v>
      </c>
      <c r="J19" s="1349" t="s">
        <v>285</v>
      </c>
      <c r="K19" s="73"/>
      <c r="N19"/>
      <c r="O19"/>
    </row>
    <row r="20" spans="2:22" ht="15" customHeight="1" x14ac:dyDescent="0.25">
      <c r="B20" s="69">
        <v>45844</v>
      </c>
      <c r="C20" s="70">
        <v>7.8</v>
      </c>
      <c r="D20" s="68">
        <v>0</v>
      </c>
      <c r="E20" s="70">
        <f t="shared" si="0"/>
        <v>-100</v>
      </c>
      <c r="G20" s="1357" t="s">
        <v>268</v>
      </c>
      <c r="H20" s="1350">
        <v>-52.467278333620868</v>
      </c>
      <c r="I20" s="1358">
        <v>20</v>
      </c>
      <c r="J20" s="1358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 x14ac:dyDescent="0.25">
      <c r="B21" s="69">
        <v>45844</v>
      </c>
      <c r="C21" s="70">
        <v>13.5</v>
      </c>
      <c r="D21" s="68">
        <v>1</v>
      </c>
      <c r="E21" s="70">
        <f t="shared" si="0"/>
        <v>7.64</v>
      </c>
      <c r="G21" s="1357" t="s">
        <v>269</v>
      </c>
      <c r="H21" s="1350">
        <v>275.67452414820855</v>
      </c>
      <c r="I21" s="1358">
        <v>83</v>
      </c>
      <c r="J21" s="1358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48" t="s">
        <v>265</v>
      </c>
      <c r="O21" s="1348" t="s">
        <v>499</v>
      </c>
      <c r="P21" s="1349"/>
      <c r="Q21" s="1349"/>
      <c r="R21" s="1349"/>
      <c r="S21" s="1349"/>
      <c r="T21" s="1349"/>
      <c r="U21" s="1349"/>
      <c r="V21" s="1349"/>
    </row>
    <row r="22" spans="2:22" ht="15" customHeight="1" x14ac:dyDescent="0.25">
      <c r="B22" s="69">
        <v>45844</v>
      </c>
      <c r="C22" s="70">
        <v>9</v>
      </c>
      <c r="D22" s="68">
        <v>1</v>
      </c>
      <c r="E22" s="70">
        <f t="shared" si="0"/>
        <v>11.9375</v>
      </c>
      <c r="G22" s="1357" t="s">
        <v>270</v>
      </c>
      <c r="H22" s="1350">
        <v>-391.06425014057629</v>
      </c>
      <c r="I22" s="1358">
        <v>112</v>
      </c>
      <c r="J22" s="1358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48" t="s">
        <v>266</v>
      </c>
      <c r="O22" s="1356" t="s">
        <v>498</v>
      </c>
      <c r="P22" s="1356" t="s">
        <v>617</v>
      </c>
      <c r="Q22" s="1356" t="s">
        <v>500</v>
      </c>
      <c r="R22" s="1356" t="s">
        <v>501</v>
      </c>
      <c r="S22" s="1356" t="s">
        <v>502</v>
      </c>
      <c r="T22" s="1356" t="s">
        <v>503</v>
      </c>
      <c r="U22" s="1356" t="s">
        <v>451</v>
      </c>
      <c r="V22" s="1356" t="s">
        <v>267</v>
      </c>
    </row>
    <row r="23" spans="2:22" ht="15" customHeight="1" x14ac:dyDescent="0.25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7" t="s">
        <v>271</v>
      </c>
      <c r="H23" s="1350">
        <v>51.842105263157933</v>
      </c>
      <c r="I23" s="1358">
        <v>37</v>
      </c>
      <c r="J23" s="1358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7" t="s">
        <v>268</v>
      </c>
      <c r="O23" s="1350"/>
      <c r="P23" s="1350">
        <v>-142.97237076648844</v>
      </c>
      <c r="Q23" s="1350">
        <v>43.435689616755795</v>
      </c>
      <c r="R23" s="1350">
        <v>45.2761485826002</v>
      </c>
      <c r="S23" s="1350">
        <v>-56.564310383244205</v>
      </c>
      <c r="T23" s="1350">
        <v>14.921875</v>
      </c>
      <c r="U23" s="1350">
        <v>43.435689616755795</v>
      </c>
      <c r="V23" s="1350">
        <v>-52.467278333620854</v>
      </c>
    </row>
    <row r="24" spans="2:22" ht="15" customHeight="1" x14ac:dyDescent="0.25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7" t="s">
        <v>272</v>
      </c>
      <c r="H24" s="1350">
        <v>50.261904761904809</v>
      </c>
      <c r="I24" s="1358">
        <v>64</v>
      </c>
      <c r="J24" s="1358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7" t="s">
        <v>269</v>
      </c>
      <c r="O24" s="1350">
        <v>-110.26575794996847</v>
      </c>
      <c r="P24" s="1350">
        <v>141.03511529169424</v>
      </c>
      <c r="Q24" s="1350">
        <v>68.432749406433629</v>
      </c>
      <c r="R24" s="1350">
        <v>-131.41680778522883</v>
      </c>
      <c r="S24" s="1350">
        <v>100.59743194611615</v>
      </c>
      <c r="T24" s="1350">
        <v>26.40824275692697</v>
      </c>
      <c r="U24" s="1350">
        <v>180.88355048223468</v>
      </c>
      <c r="V24" s="1350">
        <v>275.67452414820838</v>
      </c>
    </row>
    <row r="25" spans="2:22" ht="15" customHeight="1" x14ac:dyDescent="0.25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7" t="s">
        <v>273</v>
      </c>
      <c r="H25" s="1350">
        <v>-340.99604743083029</v>
      </c>
      <c r="I25" s="1358">
        <v>62</v>
      </c>
      <c r="J25" s="1358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7" t="s">
        <v>270</v>
      </c>
      <c r="O25" s="1350">
        <v>-140.18740868698325</v>
      </c>
      <c r="P25" s="1350">
        <v>82.932214741205101</v>
      </c>
      <c r="Q25" s="1350">
        <v>151.0094950190668</v>
      </c>
      <c r="R25" s="1350">
        <v>62.907231653296606</v>
      </c>
      <c r="S25" s="1350">
        <v>12.50878231713455</v>
      </c>
      <c r="T25" s="1350">
        <v>-264.28714567480165</v>
      </c>
      <c r="U25" s="1350">
        <v>-295.94741950949413</v>
      </c>
      <c r="V25" s="1350">
        <v>-391.06425014057595</v>
      </c>
    </row>
    <row r="26" spans="2:22" ht="15" customHeight="1" x14ac:dyDescent="0.25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7" t="s">
        <v>274</v>
      </c>
      <c r="H26" s="1350">
        <v>97.279999999999987</v>
      </c>
      <c r="I26" s="1358">
        <v>54</v>
      </c>
      <c r="J26" s="1358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7" t="s">
        <v>271</v>
      </c>
      <c r="O26" s="1350">
        <v>31.274853801169591</v>
      </c>
      <c r="P26" s="1350">
        <v>-59.78947368421052</v>
      </c>
      <c r="Q26" s="1350">
        <v>93.266081871345037</v>
      </c>
      <c r="R26" s="1350">
        <v>62.549707602339183</v>
      </c>
      <c r="S26" s="1350">
        <v>31.274853801169591</v>
      </c>
      <c r="T26" s="1350">
        <v>-47.502923976608173</v>
      </c>
      <c r="U26" s="1350">
        <v>-59.230994152046776</v>
      </c>
      <c r="V26" s="1350">
        <v>51.842105263157919</v>
      </c>
    </row>
    <row r="27" spans="2:22" ht="15" customHeight="1" x14ac:dyDescent="0.25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7" t="s">
        <v>275</v>
      </c>
      <c r="H27" s="1350">
        <v>-190.77065527065528</v>
      </c>
      <c r="I27" s="1358">
        <v>33</v>
      </c>
      <c r="J27" s="1358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7" t="s">
        <v>272</v>
      </c>
      <c r="O27" s="1350">
        <v>56.390476190476178</v>
      </c>
      <c r="P27" s="1350">
        <v>45.930952380952377</v>
      </c>
      <c r="Q27" s="1350">
        <v>12.326190476190467</v>
      </c>
      <c r="R27" s="1350">
        <v>-116.77857142857144</v>
      </c>
      <c r="S27" s="1350">
        <v>-135.42380952380952</v>
      </c>
      <c r="T27" s="1350">
        <v>103.68571428571427</v>
      </c>
      <c r="U27" s="1350">
        <v>84.13095238095238</v>
      </c>
      <c r="V27" s="1350">
        <v>50.261904761904688</v>
      </c>
    </row>
    <row r="28" spans="2:22" ht="15" customHeight="1" x14ac:dyDescent="0.25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7" t="s">
        <v>276</v>
      </c>
      <c r="H28" s="1350">
        <v>-58.66256157635469</v>
      </c>
      <c r="I28" s="1358">
        <v>39</v>
      </c>
      <c r="J28" s="1358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7" t="s">
        <v>273</v>
      </c>
      <c r="O28" s="1350">
        <v>-40.359683794466413</v>
      </c>
      <c r="P28" s="1350">
        <v>-239.9822134387351</v>
      </c>
      <c r="Q28" s="1350">
        <v>-157.72332015810275</v>
      </c>
      <c r="R28" s="1350">
        <v>-23.373517786561266</v>
      </c>
      <c r="S28" s="1350">
        <v>76.249011857707501</v>
      </c>
      <c r="T28" s="1350">
        <v>76.249011857707501</v>
      </c>
      <c r="U28" s="1350">
        <v>-32.055335968379445</v>
      </c>
      <c r="V28" s="1350">
        <v>-340.99604743082995</v>
      </c>
    </row>
    <row r="29" spans="2:22" ht="15" customHeight="1" x14ac:dyDescent="0.25">
      <c r="B29" s="69">
        <v>45846</v>
      </c>
      <c r="C29" s="70">
        <v>10</v>
      </c>
      <c r="D29" s="68">
        <v>0</v>
      </c>
      <c r="E29" s="70">
        <f t="shared" si="0"/>
        <v>-100</v>
      </c>
      <c r="G29" s="1357" t="s">
        <v>277</v>
      </c>
      <c r="H29" s="1350">
        <v>5.7688172043010475</v>
      </c>
      <c r="I29" s="1358">
        <v>18</v>
      </c>
      <c r="J29" s="1358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7" t="s">
        <v>274</v>
      </c>
      <c r="O29" s="1350">
        <v>38.518333333333331</v>
      </c>
      <c r="P29" s="1350">
        <v>100.91166666666666</v>
      </c>
      <c r="Q29" s="1350">
        <v>-21.371666666666655</v>
      </c>
      <c r="R29" s="1350">
        <v>-69.12166666666667</v>
      </c>
      <c r="S29" s="1350">
        <v>54.435000000000002</v>
      </c>
      <c r="T29" s="1350">
        <v>-45.24666666666667</v>
      </c>
      <c r="U29" s="1350">
        <v>39.155000000000001</v>
      </c>
      <c r="V29" s="1350">
        <v>97.280000000000015</v>
      </c>
    </row>
    <row r="30" spans="2:22" ht="15" customHeight="1" x14ac:dyDescent="0.25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7" t="s">
        <v>278</v>
      </c>
      <c r="H30" s="1350">
        <v>-164.52746212121215</v>
      </c>
      <c r="I30" s="1358">
        <v>26</v>
      </c>
      <c r="J30" s="1358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7" t="s">
        <v>275</v>
      </c>
      <c r="O30" s="1350">
        <v>43.260683760683754</v>
      </c>
      <c r="P30" s="1350">
        <v>29.384615384615383</v>
      </c>
      <c r="Q30" s="1350">
        <v>-35.245014245014247</v>
      </c>
      <c r="R30" s="1350">
        <v>-192.92592592592592</v>
      </c>
      <c r="S30" s="1350">
        <v>28.840455840455839</v>
      </c>
      <c r="T30" s="1350">
        <v>-85.851851851851848</v>
      </c>
      <c r="U30" s="1350">
        <v>21.766381766381766</v>
      </c>
      <c r="V30" s="1350">
        <v>-190.77065527065531</v>
      </c>
    </row>
    <row r="31" spans="2:22" ht="15" customHeight="1" x14ac:dyDescent="0.25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7" t="s">
        <v>279</v>
      </c>
      <c r="H31" s="1350">
        <v>4.9697478991596569</v>
      </c>
      <c r="I31" s="1358">
        <v>20</v>
      </c>
      <c r="J31" s="1358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7" t="s">
        <v>276</v>
      </c>
      <c r="O31" s="1350">
        <v>33.166256157635466</v>
      </c>
      <c r="P31" s="1350">
        <v>-53.190886699507402</v>
      </c>
      <c r="Q31" s="1350">
        <v>46.809113300492605</v>
      </c>
      <c r="R31" s="1350">
        <v>60.687192118226591</v>
      </c>
      <c r="S31" s="1350">
        <v>13.407635467980295</v>
      </c>
      <c r="T31" s="1350">
        <v>-66.363300492610833</v>
      </c>
      <c r="U31" s="1350">
        <v>-93.178571428571431</v>
      </c>
      <c r="V31" s="1350">
        <v>-58.662561576354705</v>
      </c>
    </row>
    <row r="32" spans="2:22" ht="15" customHeight="1" x14ac:dyDescent="0.25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7" t="s">
        <v>280</v>
      </c>
      <c r="H32" s="1350">
        <v>57.500750750750754</v>
      </c>
      <c r="I32" s="1358">
        <v>11</v>
      </c>
      <c r="J32" s="1358">
        <v>11</v>
      </c>
      <c r="K32" s="75">
        <f t="shared" si="1"/>
        <v>1</v>
      </c>
      <c r="N32" s="1357" t="s">
        <v>277</v>
      </c>
      <c r="O32" s="1350">
        <v>18.483870967741932</v>
      </c>
      <c r="P32" s="1350"/>
      <c r="Q32" s="1350">
        <v>37.58387096774193</v>
      </c>
      <c r="R32" s="1350">
        <v>6.1612903225806441</v>
      </c>
      <c r="S32" s="1350">
        <v>12.322580645161288</v>
      </c>
      <c r="T32" s="1350">
        <v>-74.944086021505399</v>
      </c>
      <c r="U32" s="1350">
        <v>6.1612903225806441</v>
      </c>
      <c r="V32" s="1350">
        <v>5.7688172043010333</v>
      </c>
    </row>
    <row r="33" spans="2:22" ht="15" customHeight="1" x14ac:dyDescent="0.25">
      <c r="B33" s="69">
        <v>45847</v>
      </c>
      <c r="C33" s="70">
        <v>13.5</v>
      </c>
      <c r="D33" s="68">
        <v>1</v>
      </c>
      <c r="E33" s="70">
        <f t="shared" si="0"/>
        <v>7.64</v>
      </c>
      <c r="G33" s="1357" t="s">
        <v>281</v>
      </c>
      <c r="H33" s="1350">
        <v>-59.78947368421052</v>
      </c>
      <c r="I33" s="1358">
        <v>9</v>
      </c>
      <c r="J33" s="1358">
        <v>8</v>
      </c>
      <c r="K33" s="75">
        <f t="shared" si="1"/>
        <v>0.88888888888888884</v>
      </c>
      <c r="N33" s="1357" t="s">
        <v>278</v>
      </c>
      <c r="O33" s="1350">
        <v>35.269886363636367</v>
      </c>
      <c r="P33" s="1350">
        <v>-182.27462121212122</v>
      </c>
      <c r="Q33" s="1350">
        <v>11.575757575757574</v>
      </c>
      <c r="R33" s="1350">
        <v>-82.455492424242436</v>
      </c>
      <c r="S33" s="1350">
        <v>17.725378787878789</v>
      </c>
      <c r="T33" s="1350">
        <v>11.756628787878787</v>
      </c>
      <c r="U33" s="1350">
        <v>23.875</v>
      </c>
      <c r="V33" s="1350">
        <v>-164.52746212121215</v>
      </c>
    </row>
    <row r="34" spans="2:22" ht="15" customHeight="1" x14ac:dyDescent="0.25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7" t="s">
        <v>282</v>
      </c>
      <c r="H34" s="1350">
        <v>33.424999999999997</v>
      </c>
      <c r="I34" s="1358">
        <v>7</v>
      </c>
      <c r="J34" s="1358">
        <v>7</v>
      </c>
      <c r="K34" s="75">
        <f t="shared" si="1"/>
        <v>1</v>
      </c>
      <c r="N34" s="1357" t="s">
        <v>279</v>
      </c>
      <c r="O34" s="1350">
        <v>10.914285714285715</v>
      </c>
      <c r="P34" s="1350">
        <v>22.310084033613446</v>
      </c>
      <c r="Q34" s="1350">
        <v>21.989075630252103</v>
      </c>
      <c r="R34" s="1350">
        <v>11.074789915966388</v>
      </c>
      <c r="S34" s="1350">
        <v>16.692436974789917</v>
      </c>
      <c r="T34" s="1350">
        <v>5.4571428571428573</v>
      </c>
      <c r="U34" s="1350">
        <v>-83.468067226890753</v>
      </c>
      <c r="V34" s="1350">
        <v>4.9697478991596711</v>
      </c>
    </row>
    <row r="35" spans="2:22" ht="15" customHeight="1" x14ac:dyDescent="0.25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7" t="s">
        <v>283</v>
      </c>
      <c r="H35" s="1350">
        <v>72.348484848484873</v>
      </c>
      <c r="I35" s="1358">
        <v>16</v>
      </c>
      <c r="J35" s="1358">
        <v>16</v>
      </c>
      <c r="K35" s="75">
        <f t="shared" si="1"/>
        <v>1</v>
      </c>
      <c r="N35" s="1357" t="s">
        <v>280</v>
      </c>
      <c r="O35" s="1350">
        <v>5.1621621621621614</v>
      </c>
      <c r="P35" s="1350">
        <v>5.3055555555555554</v>
      </c>
      <c r="Q35" s="1350">
        <v>25.954204204204203</v>
      </c>
      <c r="R35" s="1350"/>
      <c r="S35" s="1350"/>
      <c r="T35" s="1350">
        <v>5.1621621621621614</v>
      </c>
      <c r="U35" s="1350">
        <v>15.916666666666666</v>
      </c>
      <c r="V35" s="1350">
        <v>57.500750750750747</v>
      </c>
    </row>
    <row r="36" spans="2:22" ht="15" customHeight="1" x14ac:dyDescent="0.25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7" t="s">
        <v>286</v>
      </c>
      <c r="H36" s="1350">
        <v>41.275090045381155</v>
      </c>
      <c r="I36" s="1358">
        <v>41</v>
      </c>
      <c r="J36" s="1358">
        <v>40</v>
      </c>
      <c r="K36" s="75">
        <f t="shared" si="1"/>
        <v>0.97560975609756095</v>
      </c>
      <c r="N36" s="1357" t="s">
        <v>281</v>
      </c>
      <c r="O36" s="1350"/>
      <c r="P36" s="1350">
        <v>5.0263157894736841</v>
      </c>
      <c r="Q36" s="1350">
        <v>-100</v>
      </c>
      <c r="R36" s="1350">
        <v>5.0263157894736841</v>
      </c>
      <c r="S36" s="1350">
        <v>5.0263157894736841</v>
      </c>
      <c r="T36" s="1350">
        <v>10.052631578947368</v>
      </c>
      <c r="U36" s="1350">
        <v>15.078947368421051</v>
      </c>
      <c r="V36" s="1350">
        <v>-59.78947368421052</v>
      </c>
    </row>
    <row r="37" spans="2:22" ht="15" customHeight="1" x14ac:dyDescent="0.25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7" t="s">
        <v>267</v>
      </c>
      <c r="H37" s="1350">
        <v>-567.93130363611226</v>
      </c>
      <c r="I37" s="1358">
        <v>652</v>
      </c>
      <c r="J37" s="1358">
        <v>594</v>
      </c>
      <c r="K37" s="75"/>
      <c r="N37" s="1357" t="s">
        <v>282</v>
      </c>
      <c r="O37" s="1350">
        <v>4.7749999999999995</v>
      </c>
      <c r="P37" s="1350"/>
      <c r="Q37" s="1350">
        <v>9.5499999999999989</v>
      </c>
      <c r="R37" s="1350">
        <v>9.5499999999999989</v>
      </c>
      <c r="S37" s="1350"/>
      <c r="T37" s="1350">
        <v>4.7749999999999995</v>
      </c>
      <c r="U37" s="1350">
        <v>4.7749999999999995</v>
      </c>
      <c r="V37" s="1350">
        <v>33.424999999999997</v>
      </c>
    </row>
    <row r="38" spans="2:22" ht="15" customHeight="1" x14ac:dyDescent="0.25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7" t="s">
        <v>283</v>
      </c>
      <c r="O38" s="1350"/>
      <c r="P38" s="1350">
        <v>13.436147186147185</v>
      </c>
      <c r="Q38" s="1350">
        <v>9.0952380952380949</v>
      </c>
      <c r="R38" s="1350">
        <v>8.8885281385281374</v>
      </c>
      <c r="S38" s="1350">
        <v>31.833333333333332</v>
      </c>
      <c r="T38" s="1350">
        <v>4.5476190476190474</v>
      </c>
      <c r="U38" s="1350">
        <v>4.5476190476190474</v>
      </c>
      <c r="V38" s="1350">
        <v>72.348484848484844</v>
      </c>
    </row>
    <row r="39" spans="2:22" ht="15" customHeight="1" x14ac:dyDescent="0.25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7" t="s">
        <v>286</v>
      </c>
      <c r="O39" s="1350">
        <v>17.436706485024061</v>
      </c>
      <c r="P39" s="1350">
        <v>-66.928982867359451</v>
      </c>
      <c r="Q39" s="1350">
        <v>22.534490923730051</v>
      </c>
      <c r="R39" s="1350">
        <v>10.693106060606061</v>
      </c>
      <c r="S39" s="1350">
        <v>18.832085921325049</v>
      </c>
      <c r="T39" s="1350">
        <v>23.623081219595942</v>
      </c>
      <c r="U39" s="1350">
        <v>15.084602302459448</v>
      </c>
      <c r="V39" s="1350">
        <v>41.275090045381162</v>
      </c>
    </row>
    <row r="40" spans="2:22" ht="15" customHeight="1" x14ac:dyDescent="0.25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7" t="s">
        <v>267</v>
      </c>
      <c r="O40" s="1350">
        <v>3.8396645047304396</v>
      </c>
      <c r="P40" s="1350">
        <v>-298.86588163849854</v>
      </c>
      <c r="Q40" s="1350">
        <v>239.22195601742462</v>
      </c>
      <c r="R40" s="1350">
        <v>-333.25767183357897</v>
      </c>
      <c r="S40" s="1350">
        <v>227.75718277547224</v>
      </c>
      <c r="T40" s="1350">
        <v>-297.55686513034971</v>
      </c>
      <c r="U40" s="1350">
        <v>-109.06968833131107</v>
      </c>
      <c r="V40" s="1350">
        <v>-567.93130363611101</v>
      </c>
    </row>
    <row r="41" spans="2:22" ht="15" customHeight="1" x14ac:dyDescent="0.25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 x14ac:dyDescent="0.25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 x14ac:dyDescent="0.25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 x14ac:dyDescent="0.25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 x14ac:dyDescent="0.25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 x14ac:dyDescent="0.25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 x14ac:dyDescent="0.25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 x14ac:dyDescent="0.25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 x14ac:dyDescent="0.25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 x14ac:dyDescent="0.25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 x14ac:dyDescent="0.25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 x14ac:dyDescent="0.25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 x14ac:dyDescent="0.25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 x14ac:dyDescent="0.25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 x14ac:dyDescent="0.25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 x14ac:dyDescent="0.25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 x14ac:dyDescent="0.25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 x14ac:dyDescent="0.25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 x14ac:dyDescent="0.25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 x14ac:dyDescent="0.25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 x14ac:dyDescent="0.25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 x14ac:dyDescent="0.25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 x14ac:dyDescent="0.25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 x14ac:dyDescent="0.25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 x14ac:dyDescent="0.25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 x14ac:dyDescent="0.25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 x14ac:dyDescent="0.25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 x14ac:dyDescent="0.25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 x14ac:dyDescent="0.25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 x14ac:dyDescent="0.25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 x14ac:dyDescent="0.25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 x14ac:dyDescent="0.25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 x14ac:dyDescent="0.25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 x14ac:dyDescent="0.25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 x14ac:dyDescent="0.25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 x14ac:dyDescent="0.25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 x14ac:dyDescent="0.25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 x14ac:dyDescent="0.25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 x14ac:dyDescent="0.25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 x14ac:dyDescent="0.25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 x14ac:dyDescent="0.25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 x14ac:dyDescent="0.25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 x14ac:dyDescent="0.25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 x14ac:dyDescent="0.25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 x14ac:dyDescent="0.25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 x14ac:dyDescent="0.25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 x14ac:dyDescent="0.25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 x14ac:dyDescent="0.25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 x14ac:dyDescent="0.25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 x14ac:dyDescent="0.25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 x14ac:dyDescent="0.25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 x14ac:dyDescent="0.25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 x14ac:dyDescent="0.25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 x14ac:dyDescent="0.25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 x14ac:dyDescent="0.25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 x14ac:dyDescent="0.25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 x14ac:dyDescent="0.25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 x14ac:dyDescent="0.25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 x14ac:dyDescent="0.25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 x14ac:dyDescent="0.25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 x14ac:dyDescent="0.25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 x14ac:dyDescent="0.25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 x14ac:dyDescent="0.25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 x14ac:dyDescent="0.25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 x14ac:dyDescent="0.25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 x14ac:dyDescent="0.25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 x14ac:dyDescent="0.25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 x14ac:dyDescent="0.25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 x14ac:dyDescent="0.25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 x14ac:dyDescent="0.25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 x14ac:dyDescent="0.25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 x14ac:dyDescent="0.25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 x14ac:dyDescent="0.25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 x14ac:dyDescent="0.25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 x14ac:dyDescent="0.25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 x14ac:dyDescent="0.25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 x14ac:dyDescent="0.25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 x14ac:dyDescent="0.25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 x14ac:dyDescent="0.25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 x14ac:dyDescent="0.25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 x14ac:dyDescent="0.25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 x14ac:dyDescent="0.25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 x14ac:dyDescent="0.25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 x14ac:dyDescent="0.25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 x14ac:dyDescent="0.25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 x14ac:dyDescent="0.25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 x14ac:dyDescent="0.25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 x14ac:dyDescent="0.25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 x14ac:dyDescent="0.25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 x14ac:dyDescent="0.25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 x14ac:dyDescent="0.25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 x14ac:dyDescent="0.25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 x14ac:dyDescent="0.25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 x14ac:dyDescent="0.25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 x14ac:dyDescent="0.25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 x14ac:dyDescent="0.25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 x14ac:dyDescent="0.25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 x14ac:dyDescent="0.25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 x14ac:dyDescent="0.25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 x14ac:dyDescent="0.25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 x14ac:dyDescent="0.25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 x14ac:dyDescent="0.25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 x14ac:dyDescent="0.25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 x14ac:dyDescent="0.25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 x14ac:dyDescent="0.25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 x14ac:dyDescent="0.25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 x14ac:dyDescent="0.25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 x14ac:dyDescent="0.25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 x14ac:dyDescent="0.25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 x14ac:dyDescent="0.25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 x14ac:dyDescent="0.25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 x14ac:dyDescent="0.25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 x14ac:dyDescent="0.25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 x14ac:dyDescent="0.25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 x14ac:dyDescent="0.25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 x14ac:dyDescent="0.25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 x14ac:dyDescent="0.25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 x14ac:dyDescent="0.25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 x14ac:dyDescent="0.25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 x14ac:dyDescent="0.25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 x14ac:dyDescent="0.25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 x14ac:dyDescent="0.25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 x14ac:dyDescent="0.25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 x14ac:dyDescent="0.25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 x14ac:dyDescent="0.25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 x14ac:dyDescent="0.25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 x14ac:dyDescent="0.25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 x14ac:dyDescent="0.25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 x14ac:dyDescent="0.25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 x14ac:dyDescent="0.25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 x14ac:dyDescent="0.25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 x14ac:dyDescent="0.25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 x14ac:dyDescent="0.25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 x14ac:dyDescent="0.25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 x14ac:dyDescent="0.25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 x14ac:dyDescent="0.25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 x14ac:dyDescent="0.25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 x14ac:dyDescent="0.25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 x14ac:dyDescent="0.25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 x14ac:dyDescent="0.25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 x14ac:dyDescent="0.25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 x14ac:dyDescent="0.25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 x14ac:dyDescent="0.25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 x14ac:dyDescent="0.25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 x14ac:dyDescent="0.25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 x14ac:dyDescent="0.25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 x14ac:dyDescent="0.25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 x14ac:dyDescent="0.25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 x14ac:dyDescent="0.25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 x14ac:dyDescent="0.25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 x14ac:dyDescent="0.25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 x14ac:dyDescent="0.25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 x14ac:dyDescent="0.25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 x14ac:dyDescent="0.25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 x14ac:dyDescent="0.25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 x14ac:dyDescent="0.25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 x14ac:dyDescent="0.25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 x14ac:dyDescent="0.25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 x14ac:dyDescent="0.25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 x14ac:dyDescent="0.25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 x14ac:dyDescent="0.25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 x14ac:dyDescent="0.25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 x14ac:dyDescent="0.25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 x14ac:dyDescent="0.25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 x14ac:dyDescent="0.25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 x14ac:dyDescent="0.25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 x14ac:dyDescent="0.25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 x14ac:dyDescent="0.25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 x14ac:dyDescent="0.25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 x14ac:dyDescent="0.25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 x14ac:dyDescent="0.25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 x14ac:dyDescent="0.25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 x14ac:dyDescent="0.25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 x14ac:dyDescent="0.25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 x14ac:dyDescent="0.25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 x14ac:dyDescent="0.25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 x14ac:dyDescent="0.25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 x14ac:dyDescent="0.25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 x14ac:dyDescent="0.25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 x14ac:dyDescent="0.25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 x14ac:dyDescent="0.25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 x14ac:dyDescent="0.25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 x14ac:dyDescent="0.25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 x14ac:dyDescent="0.25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 x14ac:dyDescent="0.25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 x14ac:dyDescent="0.25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 x14ac:dyDescent="0.25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 x14ac:dyDescent="0.25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 x14ac:dyDescent="0.25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 x14ac:dyDescent="0.25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 x14ac:dyDescent="0.25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 x14ac:dyDescent="0.25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 x14ac:dyDescent="0.25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 x14ac:dyDescent="0.25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 x14ac:dyDescent="0.25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 x14ac:dyDescent="0.25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 x14ac:dyDescent="0.25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 x14ac:dyDescent="0.25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 x14ac:dyDescent="0.25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 x14ac:dyDescent="0.25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 x14ac:dyDescent="0.25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 x14ac:dyDescent="0.25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 x14ac:dyDescent="0.25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 x14ac:dyDescent="0.25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 x14ac:dyDescent="0.25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 x14ac:dyDescent="0.25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 x14ac:dyDescent="0.25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 x14ac:dyDescent="0.25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 x14ac:dyDescent="0.25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 x14ac:dyDescent="0.25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 x14ac:dyDescent="0.25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 x14ac:dyDescent="0.25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 x14ac:dyDescent="0.25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 x14ac:dyDescent="0.25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 x14ac:dyDescent="0.25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 x14ac:dyDescent="0.25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 x14ac:dyDescent="0.25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 x14ac:dyDescent="0.25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 x14ac:dyDescent="0.25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 x14ac:dyDescent="0.25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 x14ac:dyDescent="0.25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 x14ac:dyDescent="0.25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 x14ac:dyDescent="0.25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 x14ac:dyDescent="0.25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 x14ac:dyDescent="0.25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 x14ac:dyDescent="0.25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 x14ac:dyDescent="0.25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 x14ac:dyDescent="0.25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 x14ac:dyDescent="0.25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 x14ac:dyDescent="0.25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 x14ac:dyDescent="0.25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 x14ac:dyDescent="0.25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 x14ac:dyDescent="0.25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 x14ac:dyDescent="0.25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 x14ac:dyDescent="0.25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 x14ac:dyDescent="0.25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 x14ac:dyDescent="0.25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 x14ac:dyDescent="0.25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 x14ac:dyDescent="0.25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 x14ac:dyDescent="0.25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 x14ac:dyDescent="0.25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 x14ac:dyDescent="0.25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 x14ac:dyDescent="0.25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 x14ac:dyDescent="0.25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 x14ac:dyDescent="0.25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 x14ac:dyDescent="0.25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 x14ac:dyDescent="0.25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 x14ac:dyDescent="0.25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 x14ac:dyDescent="0.25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 x14ac:dyDescent="0.25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 x14ac:dyDescent="0.25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 x14ac:dyDescent="0.25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 x14ac:dyDescent="0.25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 x14ac:dyDescent="0.25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 x14ac:dyDescent="0.25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 x14ac:dyDescent="0.25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 x14ac:dyDescent="0.25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 x14ac:dyDescent="0.25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 x14ac:dyDescent="0.25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 x14ac:dyDescent="0.25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 x14ac:dyDescent="0.25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 x14ac:dyDescent="0.25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 x14ac:dyDescent="0.25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 x14ac:dyDescent="0.25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 x14ac:dyDescent="0.25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 x14ac:dyDescent="0.25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 x14ac:dyDescent="0.25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 x14ac:dyDescent="0.25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 x14ac:dyDescent="0.25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 x14ac:dyDescent="0.25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 x14ac:dyDescent="0.25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 x14ac:dyDescent="0.25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 x14ac:dyDescent="0.25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 x14ac:dyDescent="0.25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 x14ac:dyDescent="0.25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 x14ac:dyDescent="0.25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 x14ac:dyDescent="0.25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 x14ac:dyDescent="0.25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 x14ac:dyDescent="0.25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 x14ac:dyDescent="0.25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 x14ac:dyDescent="0.25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 x14ac:dyDescent="0.25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 x14ac:dyDescent="0.25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 x14ac:dyDescent="0.25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 x14ac:dyDescent="0.25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 x14ac:dyDescent="0.25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 x14ac:dyDescent="0.25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 x14ac:dyDescent="0.25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 x14ac:dyDescent="0.25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 x14ac:dyDescent="0.25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 x14ac:dyDescent="0.25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 x14ac:dyDescent="0.25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 x14ac:dyDescent="0.25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 x14ac:dyDescent="0.25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 x14ac:dyDescent="0.25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 x14ac:dyDescent="0.25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 x14ac:dyDescent="0.25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 x14ac:dyDescent="0.25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 x14ac:dyDescent="0.25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 x14ac:dyDescent="0.25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 x14ac:dyDescent="0.25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 x14ac:dyDescent="0.25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 x14ac:dyDescent="0.25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 x14ac:dyDescent="0.25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 x14ac:dyDescent="0.25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 x14ac:dyDescent="0.25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 x14ac:dyDescent="0.25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 x14ac:dyDescent="0.25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 x14ac:dyDescent="0.25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 x14ac:dyDescent="0.25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 x14ac:dyDescent="0.25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 x14ac:dyDescent="0.25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 x14ac:dyDescent="0.25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 x14ac:dyDescent="0.25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 x14ac:dyDescent="0.25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 x14ac:dyDescent="0.25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 x14ac:dyDescent="0.25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 x14ac:dyDescent="0.25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 x14ac:dyDescent="0.25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 x14ac:dyDescent="0.25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 x14ac:dyDescent="0.25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 x14ac:dyDescent="0.25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 x14ac:dyDescent="0.25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 x14ac:dyDescent="0.25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 x14ac:dyDescent="0.25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 x14ac:dyDescent="0.25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 x14ac:dyDescent="0.25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 x14ac:dyDescent="0.25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 x14ac:dyDescent="0.25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 x14ac:dyDescent="0.25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 x14ac:dyDescent="0.25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 x14ac:dyDescent="0.25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 x14ac:dyDescent="0.25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 x14ac:dyDescent="0.25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 x14ac:dyDescent="0.25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 x14ac:dyDescent="0.25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 x14ac:dyDescent="0.25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 x14ac:dyDescent="0.25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 x14ac:dyDescent="0.25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 x14ac:dyDescent="0.25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 x14ac:dyDescent="0.25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 x14ac:dyDescent="0.25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 x14ac:dyDescent="0.25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 x14ac:dyDescent="0.25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 x14ac:dyDescent="0.25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 x14ac:dyDescent="0.25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 x14ac:dyDescent="0.25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 x14ac:dyDescent="0.25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 x14ac:dyDescent="0.25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 x14ac:dyDescent="0.25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 x14ac:dyDescent="0.25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 x14ac:dyDescent="0.25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 x14ac:dyDescent="0.25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 x14ac:dyDescent="0.25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 x14ac:dyDescent="0.25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 x14ac:dyDescent="0.25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 x14ac:dyDescent="0.25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 x14ac:dyDescent="0.25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 x14ac:dyDescent="0.25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 x14ac:dyDescent="0.25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 x14ac:dyDescent="0.25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 x14ac:dyDescent="0.25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 x14ac:dyDescent="0.25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 x14ac:dyDescent="0.25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 x14ac:dyDescent="0.25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 x14ac:dyDescent="0.25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 x14ac:dyDescent="0.25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 x14ac:dyDescent="0.25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 x14ac:dyDescent="0.25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 x14ac:dyDescent="0.25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 x14ac:dyDescent="0.25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 x14ac:dyDescent="0.25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 x14ac:dyDescent="0.25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 x14ac:dyDescent="0.25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 x14ac:dyDescent="0.25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 x14ac:dyDescent="0.25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 x14ac:dyDescent="0.25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 x14ac:dyDescent="0.25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 x14ac:dyDescent="0.25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 x14ac:dyDescent="0.25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 x14ac:dyDescent="0.25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 x14ac:dyDescent="0.25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 x14ac:dyDescent="0.25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 x14ac:dyDescent="0.25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 x14ac:dyDescent="0.25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 x14ac:dyDescent="0.25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 x14ac:dyDescent="0.25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 x14ac:dyDescent="0.25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 x14ac:dyDescent="0.25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 x14ac:dyDescent="0.25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 x14ac:dyDescent="0.25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 x14ac:dyDescent="0.25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 x14ac:dyDescent="0.25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 x14ac:dyDescent="0.25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 x14ac:dyDescent="0.25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 x14ac:dyDescent="0.25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 x14ac:dyDescent="0.25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 x14ac:dyDescent="0.25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 x14ac:dyDescent="0.25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 x14ac:dyDescent="0.25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 x14ac:dyDescent="0.25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 x14ac:dyDescent="0.25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 x14ac:dyDescent="0.25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 x14ac:dyDescent="0.25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 x14ac:dyDescent="0.25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 x14ac:dyDescent="0.25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 x14ac:dyDescent="0.25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 x14ac:dyDescent="0.25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 x14ac:dyDescent="0.25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 x14ac:dyDescent="0.25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 x14ac:dyDescent="0.25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 x14ac:dyDescent="0.25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 x14ac:dyDescent="0.25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 x14ac:dyDescent="0.25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 x14ac:dyDescent="0.25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 x14ac:dyDescent="0.25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 x14ac:dyDescent="0.25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 x14ac:dyDescent="0.25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 x14ac:dyDescent="0.25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 x14ac:dyDescent="0.25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 x14ac:dyDescent="0.25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 x14ac:dyDescent="0.25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 x14ac:dyDescent="0.25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 x14ac:dyDescent="0.25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 x14ac:dyDescent="0.25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 x14ac:dyDescent="0.25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 x14ac:dyDescent="0.25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 x14ac:dyDescent="0.25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 x14ac:dyDescent="0.25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 x14ac:dyDescent="0.25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 x14ac:dyDescent="0.25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 x14ac:dyDescent="0.25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 x14ac:dyDescent="0.25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 x14ac:dyDescent="0.25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 x14ac:dyDescent="0.25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 x14ac:dyDescent="0.25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 x14ac:dyDescent="0.25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 x14ac:dyDescent="0.25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 x14ac:dyDescent="0.25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 x14ac:dyDescent="0.25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 x14ac:dyDescent="0.25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 x14ac:dyDescent="0.25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 x14ac:dyDescent="0.25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 x14ac:dyDescent="0.25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 x14ac:dyDescent="0.25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 x14ac:dyDescent="0.25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 x14ac:dyDescent="0.25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 x14ac:dyDescent="0.25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 x14ac:dyDescent="0.25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 x14ac:dyDescent="0.25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 x14ac:dyDescent="0.25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 x14ac:dyDescent="0.25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 x14ac:dyDescent="0.25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 x14ac:dyDescent="0.25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 x14ac:dyDescent="0.25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 x14ac:dyDescent="0.25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 x14ac:dyDescent="0.25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 x14ac:dyDescent="0.25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 x14ac:dyDescent="0.25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 x14ac:dyDescent="0.25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 x14ac:dyDescent="0.25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 x14ac:dyDescent="0.25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 x14ac:dyDescent="0.25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 x14ac:dyDescent="0.25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 x14ac:dyDescent="0.25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 x14ac:dyDescent="0.25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 x14ac:dyDescent="0.25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 x14ac:dyDescent="0.25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 x14ac:dyDescent="0.25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 x14ac:dyDescent="0.25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 x14ac:dyDescent="0.25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 x14ac:dyDescent="0.25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 x14ac:dyDescent="0.25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 x14ac:dyDescent="0.25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 x14ac:dyDescent="0.25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 x14ac:dyDescent="0.25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 x14ac:dyDescent="0.25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 x14ac:dyDescent="0.25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 x14ac:dyDescent="0.25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 x14ac:dyDescent="0.25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 x14ac:dyDescent="0.25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 x14ac:dyDescent="0.25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 x14ac:dyDescent="0.25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 x14ac:dyDescent="0.25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 x14ac:dyDescent="0.25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 x14ac:dyDescent="0.25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 x14ac:dyDescent="0.25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 x14ac:dyDescent="0.25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 x14ac:dyDescent="0.25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 x14ac:dyDescent="0.25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 x14ac:dyDescent="0.25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 x14ac:dyDescent="0.25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 x14ac:dyDescent="0.25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 x14ac:dyDescent="0.25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 x14ac:dyDescent="0.25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 x14ac:dyDescent="0.25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 x14ac:dyDescent="0.25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 x14ac:dyDescent="0.25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 x14ac:dyDescent="0.25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 x14ac:dyDescent="0.25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 x14ac:dyDescent="0.25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 x14ac:dyDescent="0.25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 x14ac:dyDescent="0.25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 x14ac:dyDescent="0.25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 x14ac:dyDescent="0.25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 x14ac:dyDescent="0.25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 x14ac:dyDescent="0.25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 x14ac:dyDescent="0.25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 x14ac:dyDescent="0.25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 x14ac:dyDescent="0.25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 x14ac:dyDescent="0.25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 x14ac:dyDescent="0.25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 x14ac:dyDescent="0.25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 x14ac:dyDescent="0.25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 x14ac:dyDescent="0.25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 x14ac:dyDescent="0.25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 x14ac:dyDescent="0.25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 x14ac:dyDescent="0.25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 x14ac:dyDescent="0.25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 x14ac:dyDescent="0.25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 x14ac:dyDescent="0.25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 x14ac:dyDescent="0.25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 x14ac:dyDescent="0.25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 x14ac:dyDescent="0.25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 x14ac:dyDescent="0.25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 x14ac:dyDescent="0.25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 x14ac:dyDescent="0.25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 x14ac:dyDescent="0.25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 x14ac:dyDescent="0.25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 x14ac:dyDescent="0.25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 x14ac:dyDescent="0.25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 x14ac:dyDescent="0.25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 x14ac:dyDescent="0.25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 x14ac:dyDescent="0.25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 x14ac:dyDescent="0.25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 x14ac:dyDescent="0.25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 x14ac:dyDescent="0.25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 x14ac:dyDescent="0.25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 x14ac:dyDescent="0.25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 x14ac:dyDescent="0.25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 x14ac:dyDescent="0.25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 x14ac:dyDescent="0.25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 x14ac:dyDescent="0.25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 x14ac:dyDescent="0.25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 x14ac:dyDescent="0.25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 x14ac:dyDescent="0.25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 x14ac:dyDescent="0.25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 x14ac:dyDescent="0.25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 x14ac:dyDescent="0.25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 x14ac:dyDescent="0.25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 x14ac:dyDescent="0.25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 x14ac:dyDescent="0.25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 x14ac:dyDescent="0.25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 x14ac:dyDescent="0.25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 x14ac:dyDescent="0.25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 x14ac:dyDescent="0.25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 x14ac:dyDescent="0.25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 x14ac:dyDescent="0.25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 x14ac:dyDescent="0.25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 x14ac:dyDescent="0.25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 x14ac:dyDescent="0.25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 x14ac:dyDescent="0.25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 x14ac:dyDescent="0.25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 x14ac:dyDescent="0.25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 x14ac:dyDescent="0.25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 x14ac:dyDescent="0.25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 x14ac:dyDescent="0.25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 x14ac:dyDescent="0.25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 x14ac:dyDescent="0.25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 x14ac:dyDescent="0.25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 x14ac:dyDescent="0.25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 x14ac:dyDescent="0.25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 x14ac:dyDescent="0.25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 x14ac:dyDescent="0.25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 x14ac:dyDescent="0.25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 x14ac:dyDescent="0.25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 x14ac:dyDescent="0.25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 x14ac:dyDescent="0.25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 x14ac:dyDescent="0.25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 x14ac:dyDescent="0.25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 x14ac:dyDescent="0.25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 x14ac:dyDescent="0.25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 x14ac:dyDescent="0.25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 x14ac:dyDescent="0.25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 x14ac:dyDescent="0.25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 x14ac:dyDescent="0.25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 x14ac:dyDescent="0.25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 x14ac:dyDescent="0.25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 x14ac:dyDescent="0.25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 x14ac:dyDescent="0.25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 x14ac:dyDescent="0.25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 x14ac:dyDescent="0.25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 x14ac:dyDescent="0.25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 x14ac:dyDescent="0.25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 x14ac:dyDescent="0.25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 x14ac:dyDescent="0.25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 x14ac:dyDescent="0.25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 x14ac:dyDescent="0.25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 x14ac:dyDescent="0.25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 x14ac:dyDescent="0.25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 x14ac:dyDescent="0.25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 x14ac:dyDescent="0.25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 x14ac:dyDescent="0.25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 x14ac:dyDescent="0.25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 x14ac:dyDescent="0.25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 x14ac:dyDescent="0.25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 x14ac:dyDescent="0.25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 x14ac:dyDescent="0.25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 x14ac:dyDescent="0.25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 x14ac:dyDescent="0.25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 x14ac:dyDescent="0.25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 x14ac:dyDescent="0.25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 x14ac:dyDescent="0.25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 x14ac:dyDescent="0.25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 x14ac:dyDescent="0.25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 x14ac:dyDescent="0.25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 x14ac:dyDescent="0.25">
      <c r="B657" s="183"/>
      <c r="C657" s="184"/>
      <c r="D657" s="185"/>
      <c r="E657" s="184"/>
    </row>
    <row r="658" spans="2:5" ht="15" customHeight="1" x14ac:dyDescent="0.25">
      <c r="B658" s="183"/>
      <c r="C658" s="184"/>
      <c r="D658" s="185"/>
      <c r="E658" s="184"/>
    </row>
    <row r="659" spans="2:5" ht="15" customHeight="1" x14ac:dyDescent="0.25">
      <c r="B659" s="183"/>
      <c r="C659" s="184"/>
      <c r="D659" s="185"/>
      <c r="E659" s="184"/>
    </row>
    <row r="660" spans="2:5" ht="15" customHeight="1" x14ac:dyDescent="0.25">
      <c r="B660" s="183"/>
      <c r="C660" s="184"/>
      <c r="D660" s="185"/>
      <c r="E660" s="184"/>
    </row>
    <row r="661" spans="2:5" ht="15" customHeight="1" x14ac:dyDescent="0.25">
      <c r="B661" s="183"/>
      <c r="C661" s="184"/>
      <c r="D661" s="185"/>
      <c r="E661" s="184"/>
    </row>
    <row r="662" spans="2:5" ht="15" customHeight="1" x14ac:dyDescent="0.25">
      <c r="B662" s="74"/>
    </row>
    <row r="663" spans="2:5" ht="15" customHeight="1" x14ac:dyDescent="0.25">
      <c r="B663" s="74">
        <v>45839</v>
      </c>
      <c r="C663" s="67">
        <v>15</v>
      </c>
      <c r="D663" s="67">
        <v>1</v>
      </c>
    </row>
    <row r="664" spans="2:5" ht="15" customHeight="1" x14ac:dyDescent="0.25">
      <c r="B664" s="74">
        <v>45840</v>
      </c>
      <c r="C664" s="67">
        <v>14</v>
      </c>
      <c r="D664" s="67">
        <v>1</v>
      </c>
    </row>
    <row r="665" spans="2:5" ht="15" customHeight="1" x14ac:dyDescent="0.25">
      <c r="B665" s="74">
        <v>45840</v>
      </c>
      <c r="C665" s="67">
        <v>13.5</v>
      </c>
      <c r="D665" s="67">
        <v>1</v>
      </c>
    </row>
    <row r="666" spans="2:5" ht="15" customHeight="1" x14ac:dyDescent="0.25">
      <c r="B666" s="74">
        <v>45840</v>
      </c>
      <c r="C666" s="67">
        <v>9.6</v>
      </c>
      <c r="D666" s="67">
        <v>1</v>
      </c>
    </row>
    <row r="667" spans="2:5" ht="15" customHeight="1" x14ac:dyDescent="0.25">
      <c r="B667" s="74">
        <v>45840</v>
      </c>
      <c r="C667" s="67">
        <v>9</v>
      </c>
      <c r="D667" s="67">
        <v>1</v>
      </c>
    </row>
    <row r="668" spans="2:5" ht="15" customHeight="1" x14ac:dyDescent="0.25">
      <c r="B668" s="74">
        <v>45841</v>
      </c>
      <c r="C668" s="67">
        <v>15.5</v>
      </c>
      <c r="D668" s="67">
        <v>1</v>
      </c>
    </row>
    <row r="669" spans="2:5" ht="15" customHeight="1" x14ac:dyDescent="0.25">
      <c r="B669" s="74">
        <v>45842</v>
      </c>
      <c r="C669" s="67">
        <v>10.5</v>
      </c>
      <c r="D669" s="67">
        <v>1</v>
      </c>
    </row>
    <row r="670" spans="2:5" ht="15" customHeight="1" x14ac:dyDescent="0.25">
      <c r="B670" s="74">
        <v>45842</v>
      </c>
      <c r="C670" s="67">
        <v>12</v>
      </c>
      <c r="D670" s="67">
        <v>1</v>
      </c>
    </row>
    <row r="671" spans="2:5" ht="15" customHeight="1" x14ac:dyDescent="0.25">
      <c r="B671" s="74">
        <v>45842</v>
      </c>
      <c r="C671" s="67">
        <v>20</v>
      </c>
      <c r="D671" s="67">
        <v>1</v>
      </c>
    </row>
    <row r="672" spans="2:5" ht="15" customHeight="1" x14ac:dyDescent="0.25">
      <c r="B672" s="74">
        <v>45843</v>
      </c>
      <c r="C672" s="67">
        <v>13.5</v>
      </c>
      <c r="D672" s="67">
        <v>1</v>
      </c>
    </row>
    <row r="673" spans="2:4" ht="15" customHeight="1" x14ac:dyDescent="0.25">
      <c r="B673" s="74">
        <v>45843</v>
      </c>
      <c r="C673" s="67">
        <v>12.5</v>
      </c>
      <c r="D673" s="67">
        <v>0</v>
      </c>
    </row>
    <row r="674" spans="2:4" ht="15" customHeight="1" x14ac:dyDescent="0.25">
      <c r="B674" s="74">
        <v>45843</v>
      </c>
      <c r="C674" s="67">
        <v>17</v>
      </c>
      <c r="D674" s="67">
        <v>0</v>
      </c>
    </row>
    <row r="675" spans="2:4" ht="15" customHeight="1" x14ac:dyDescent="0.25">
      <c r="B675" s="74">
        <v>45843</v>
      </c>
      <c r="C675" s="67">
        <v>8.6</v>
      </c>
      <c r="D675" s="67">
        <v>1</v>
      </c>
    </row>
    <row r="676" spans="2:4" ht="15" customHeight="1" x14ac:dyDescent="0.25">
      <c r="B676" s="74">
        <v>45843</v>
      </c>
      <c r="C676" s="67">
        <v>22</v>
      </c>
      <c r="D676" s="67">
        <v>1</v>
      </c>
    </row>
    <row r="677" spans="2:4" ht="15" customHeight="1" x14ac:dyDescent="0.25">
      <c r="B677" s="74">
        <v>45843</v>
      </c>
      <c r="C677" s="67">
        <v>13</v>
      </c>
      <c r="D677" s="67">
        <v>1</v>
      </c>
    </row>
    <row r="678" spans="2:4" ht="15" customHeight="1" x14ac:dyDescent="0.25">
      <c r="B678" s="74">
        <v>45844</v>
      </c>
      <c r="C678" s="67">
        <v>7.8</v>
      </c>
      <c r="D678" s="67">
        <v>0</v>
      </c>
    </row>
    <row r="679" spans="2:4" ht="15" customHeight="1" x14ac:dyDescent="0.25">
      <c r="B679" s="74">
        <v>45844</v>
      </c>
      <c r="C679" s="67">
        <v>13.5</v>
      </c>
      <c r="D679" s="67">
        <v>1</v>
      </c>
    </row>
    <row r="680" spans="2:4" ht="15" customHeight="1" x14ac:dyDescent="0.25">
      <c r="B680" s="74">
        <v>45844</v>
      </c>
      <c r="C680" s="67">
        <v>9</v>
      </c>
      <c r="D680" s="67">
        <v>1</v>
      </c>
    </row>
    <row r="681" spans="2:4" ht="15" customHeight="1" x14ac:dyDescent="0.25">
      <c r="B681" s="74">
        <v>45844</v>
      </c>
      <c r="C681" s="67">
        <v>29</v>
      </c>
      <c r="D681" s="67">
        <v>1</v>
      </c>
    </row>
    <row r="682" spans="2:4" ht="15" customHeight="1" x14ac:dyDescent="0.25">
      <c r="B682" s="74">
        <v>45844</v>
      </c>
      <c r="C682" s="67">
        <v>12</v>
      </c>
      <c r="D682" s="67">
        <v>1</v>
      </c>
    </row>
    <row r="683" spans="2:4" ht="15" customHeight="1" x14ac:dyDescent="0.25">
      <c r="B683" s="74">
        <v>45845</v>
      </c>
      <c r="C683" s="67">
        <v>18.5</v>
      </c>
      <c r="D683" s="67">
        <v>1</v>
      </c>
    </row>
    <row r="684" spans="2:4" ht="15" customHeight="1" x14ac:dyDescent="0.25">
      <c r="B684" s="74">
        <v>45845</v>
      </c>
      <c r="C684" s="67">
        <v>29</v>
      </c>
      <c r="D684" s="67">
        <v>1</v>
      </c>
    </row>
    <row r="685" spans="2:4" ht="15" customHeight="1" x14ac:dyDescent="0.25">
      <c r="B685" s="74">
        <v>45845</v>
      </c>
      <c r="C685" s="67">
        <v>24</v>
      </c>
      <c r="D685" s="67">
        <v>1</v>
      </c>
    </row>
    <row r="686" spans="2:4" ht="15" customHeight="1" x14ac:dyDescent="0.25">
      <c r="B686" s="74">
        <v>45846</v>
      </c>
      <c r="C686" s="67">
        <v>10.5</v>
      </c>
      <c r="D686" s="67">
        <v>1</v>
      </c>
    </row>
    <row r="687" spans="2:4" ht="15" customHeight="1" x14ac:dyDescent="0.25">
      <c r="B687" s="74">
        <v>45846</v>
      </c>
      <c r="C687" s="67">
        <v>10</v>
      </c>
      <c r="D687" s="67">
        <v>0</v>
      </c>
    </row>
    <row r="688" spans="2:4" ht="15" customHeight="1" x14ac:dyDescent="0.25">
      <c r="B688" s="74">
        <v>45846</v>
      </c>
      <c r="C688" s="67">
        <v>9.8000000000000007</v>
      </c>
      <c r="D688" s="67">
        <v>1</v>
      </c>
    </row>
    <row r="689" spans="2:4" ht="15" customHeight="1" x14ac:dyDescent="0.25">
      <c r="B689" s="74">
        <v>45846</v>
      </c>
      <c r="C689" s="67">
        <v>8.6</v>
      </c>
      <c r="D689" s="67">
        <v>1</v>
      </c>
    </row>
    <row r="690" spans="2:4" ht="15" customHeight="1" x14ac:dyDescent="0.25">
      <c r="B690" s="74">
        <v>45847</v>
      </c>
      <c r="C690" s="67">
        <v>11.5</v>
      </c>
      <c r="D690" s="67">
        <v>1</v>
      </c>
    </row>
    <row r="691" spans="2:4" ht="15" customHeight="1" x14ac:dyDescent="0.25">
      <c r="B691" s="74">
        <v>45847</v>
      </c>
      <c r="C691" s="67">
        <v>13.5</v>
      </c>
      <c r="D691" s="67">
        <v>1</v>
      </c>
    </row>
    <row r="692" spans="2:4" ht="15" customHeight="1" x14ac:dyDescent="0.25">
      <c r="B692" s="74">
        <v>45847</v>
      </c>
      <c r="C692" s="67">
        <v>8.8000000000000007</v>
      </c>
      <c r="D692" s="67">
        <v>1</v>
      </c>
    </row>
    <row r="693" spans="2:4" ht="15" customHeight="1" x14ac:dyDescent="0.25">
      <c r="B693" s="74">
        <v>45848</v>
      </c>
      <c r="C693" s="67">
        <v>9.1999999999999993</v>
      </c>
      <c r="D693" s="67">
        <v>1</v>
      </c>
    </row>
    <row r="694" spans="2:4" ht="15" customHeight="1" x14ac:dyDescent="0.25">
      <c r="B694" s="74">
        <v>45848</v>
      </c>
      <c r="C694" s="67">
        <v>10.5</v>
      </c>
      <c r="D694" s="67">
        <v>1</v>
      </c>
    </row>
    <row r="695" spans="2:4" ht="15" customHeight="1" x14ac:dyDescent="0.25">
      <c r="B695" s="74">
        <v>45848</v>
      </c>
      <c r="C695" s="67">
        <v>9.8000000000000007</v>
      </c>
      <c r="D695" s="67">
        <v>1</v>
      </c>
    </row>
    <row r="696" spans="2:4" ht="15" customHeight="1" x14ac:dyDescent="0.25">
      <c r="B696" s="74">
        <v>45848</v>
      </c>
      <c r="C696" s="67">
        <v>9.1999999999999993</v>
      </c>
      <c r="D696" s="67">
        <v>1</v>
      </c>
    </row>
    <row r="697" spans="2:4" ht="15" customHeight="1" x14ac:dyDescent="0.25">
      <c r="B697" s="74">
        <v>45849</v>
      </c>
      <c r="C697" s="67">
        <v>15.5</v>
      </c>
      <c r="D697" s="67">
        <v>1</v>
      </c>
    </row>
    <row r="698" spans="2:4" ht="15" customHeight="1" x14ac:dyDescent="0.25">
      <c r="B698" s="74">
        <v>45849</v>
      </c>
      <c r="C698" s="67">
        <v>15</v>
      </c>
      <c r="D698" s="67">
        <v>0</v>
      </c>
    </row>
    <row r="699" spans="2:4" ht="15" customHeight="1" x14ac:dyDescent="0.25">
      <c r="B699" s="74">
        <v>45849</v>
      </c>
      <c r="C699" s="67">
        <v>9.1999999999999993</v>
      </c>
      <c r="D699" s="67">
        <v>0</v>
      </c>
    </row>
    <row r="700" spans="2:4" ht="15" customHeight="1" x14ac:dyDescent="0.25">
      <c r="B700" s="74">
        <v>45850</v>
      </c>
      <c r="C700" s="67">
        <v>8.4</v>
      </c>
      <c r="D700" s="67">
        <v>1</v>
      </c>
    </row>
    <row r="701" spans="2:4" ht="15" customHeight="1" x14ac:dyDescent="0.25">
      <c r="B701" s="74">
        <v>45850</v>
      </c>
      <c r="C701" s="67">
        <v>12</v>
      </c>
      <c r="D701" s="67">
        <v>0</v>
      </c>
    </row>
    <row r="702" spans="2:4" ht="15" customHeight="1" x14ac:dyDescent="0.25">
      <c r="B702" s="74">
        <v>45850</v>
      </c>
      <c r="C702" s="67">
        <v>8.6</v>
      </c>
      <c r="D702" s="67">
        <v>1</v>
      </c>
    </row>
    <row r="703" spans="2:4" ht="15" customHeight="1" x14ac:dyDescent="0.25">
      <c r="B703" s="74">
        <v>45850</v>
      </c>
      <c r="C703" s="67">
        <v>7.6</v>
      </c>
      <c r="D703" s="67">
        <v>1</v>
      </c>
    </row>
    <row r="704" spans="2:4" ht="15" customHeight="1" x14ac:dyDescent="0.25">
      <c r="B704" s="74">
        <v>45850</v>
      </c>
      <c r="C704" s="67">
        <v>7.6</v>
      </c>
      <c r="D704" s="67">
        <v>1</v>
      </c>
    </row>
    <row r="705" spans="2:4" ht="15" customHeight="1" x14ac:dyDescent="0.25">
      <c r="B705" s="74">
        <v>45850</v>
      </c>
      <c r="C705" s="67">
        <v>7.8</v>
      </c>
      <c r="D705" s="67">
        <v>0</v>
      </c>
    </row>
    <row r="706" spans="2:4" ht="15" customHeight="1" x14ac:dyDescent="0.25">
      <c r="B706" s="74">
        <v>45854</v>
      </c>
      <c r="C706" s="67">
        <v>12</v>
      </c>
      <c r="D706" s="67">
        <v>1</v>
      </c>
    </row>
    <row r="707" spans="2:4" ht="15" customHeight="1" x14ac:dyDescent="0.25">
      <c r="B707" s="74">
        <v>45854</v>
      </c>
      <c r="C707" s="67">
        <v>11.5</v>
      </c>
      <c r="D707" s="67">
        <v>1</v>
      </c>
    </row>
    <row r="708" spans="2:4" ht="15" customHeight="1" x14ac:dyDescent="0.25">
      <c r="B708" s="74">
        <v>45855</v>
      </c>
      <c r="C708" s="67">
        <v>13</v>
      </c>
      <c r="D708" s="67">
        <v>1</v>
      </c>
    </row>
    <row r="709" spans="2:4" ht="15" customHeight="1" x14ac:dyDescent="0.25">
      <c r="B709" s="74">
        <v>45855</v>
      </c>
      <c r="C709" s="67">
        <v>23</v>
      </c>
      <c r="D709" s="67">
        <v>1</v>
      </c>
    </row>
    <row r="710" spans="2:4" ht="15" customHeight="1" x14ac:dyDescent="0.25">
      <c r="B710" s="74">
        <v>45855</v>
      </c>
      <c r="C710" s="67">
        <v>9.6</v>
      </c>
      <c r="D710" s="67">
        <v>1</v>
      </c>
    </row>
    <row r="711" spans="2:4" ht="15" customHeight="1" x14ac:dyDescent="0.25">
      <c r="B711" s="74">
        <v>45856</v>
      </c>
      <c r="C711" s="67">
        <v>14</v>
      </c>
      <c r="D711" s="67">
        <v>1</v>
      </c>
    </row>
    <row r="712" spans="2:4" ht="15" customHeight="1" x14ac:dyDescent="0.25">
      <c r="B712" s="74">
        <v>45856</v>
      </c>
      <c r="C712" s="67">
        <v>17.5</v>
      </c>
      <c r="D712" s="67">
        <v>1</v>
      </c>
    </row>
    <row r="713" spans="2:4" ht="15" customHeight="1" x14ac:dyDescent="0.25">
      <c r="B713" s="74">
        <v>45856</v>
      </c>
      <c r="C713" s="67">
        <v>12</v>
      </c>
      <c r="D713" s="67">
        <v>1</v>
      </c>
    </row>
    <row r="714" spans="2:4" ht="15" customHeight="1" x14ac:dyDescent="0.25">
      <c r="B714" s="74">
        <v>45856</v>
      </c>
      <c r="C714" s="67">
        <v>13.5</v>
      </c>
      <c r="D714" s="67">
        <v>1</v>
      </c>
    </row>
    <row r="715" spans="2:4" ht="15" customHeight="1" x14ac:dyDescent="0.25">
      <c r="B715" s="82">
        <v>45857</v>
      </c>
      <c r="C715" s="67">
        <v>13</v>
      </c>
      <c r="D715" s="67">
        <v>1</v>
      </c>
    </row>
    <row r="716" spans="2:4" ht="15" customHeight="1" x14ac:dyDescent="0.25">
      <c r="B716" s="82">
        <v>45857</v>
      </c>
      <c r="C716" s="67">
        <v>14</v>
      </c>
      <c r="D716" s="67">
        <v>1</v>
      </c>
    </row>
    <row r="717" spans="2:4" ht="15" customHeight="1" x14ac:dyDescent="0.25">
      <c r="B717" s="82">
        <v>45857</v>
      </c>
      <c r="C717" s="67">
        <v>15</v>
      </c>
      <c r="D717" s="67">
        <v>1</v>
      </c>
    </row>
    <row r="718" spans="2:4" ht="15" customHeight="1" x14ac:dyDescent="0.25">
      <c r="B718" s="82">
        <v>45857</v>
      </c>
      <c r="C718" s="67">
        <v>8.4</v>
      </c>
      <c r="D718" s="67">
        <v>1</v>
      </c>
    </row>
    <row r="719" spans="2:4" ht="15" customHeight="1" x14ac:dyDescent="0.25">
      <c r="B719" s="82">
        <v>45858</v>
      </c>
      <c r="C719" s="67">
        <v>11.5</v>
      </c>
      <c r="D719" s="67">
        <v>1</v>
      </c>
    </row>
    <row r="720" spans="2:4" ht="15" customHeight="1" x14ac:dyDescent="0.25">
      <c r="B720" s="82">
        <v>45858</v>
      </c>
      <c r="C720" s="67">
        <v>13.5</v>
      </c>
      <c r="D720" s="67">
        <v>1</v>
      </c>
    </row>
    <row r="721" spans="2:4" ht="15" customHeight="1" x14ac:dyDescent="0.25">
      <c r="B721" s="82">
        <v>45858</v>
      </c>
      <c r="C721" s="67">
        <v>12.5</v>
      </c>
      <c r="D721" s="67">
        <v>1</v>
      </c>
    </row>
    <row r="722" spans="2:4" ht="15" customHeight="1" x14ac:dyDescent="0.25">
      <c r="B722" s="82">
        <v>45858</v>
      </c>
      <c r="C722" s="67">
        <v>11</v>
      </c>
      <c r="D722" s="67">
        <v>1</v>
      </c>
    </row>
    <row r="723" spans="2:4" ht="15" customHeight="1" x14ac:dyDescent="0.25">
      <c r="B723" s="82">
        <v>45859</v>
      </c>
      <c r="C723" s="67">
        <v>15</v>
      </c>
      <c r="D723" s="67">
        <v>1</v>
      </c>
    </row>
    <row r="724" spans="2:4" ht="15" customHeight="1" x14ac:dyDescent="0.25">
      <c r="B724" s="82">
        <v>45859</v>
      </c>
      <c r="C724" s="67">
        <v>9.1999999999999993</v>
      </c>
      <c r="D724" s="67">
        <v>1</v>
      </c>
    </row>
    <row r="725" spans="2:4" ht="15" customHeight="1" x14ac:dyDescent="0.25">
      <c r="B725" s="82">
        <v>45859</v>
      </c>
      <c r="C725" s="67">
        <v>17</v>
      </c>
      <c r="D725" s="67">
        <v>0</v>
      </c>
    </row>
    <row r="726" spans="2:4" ht="15" customHeight="1" x14ac:dyDescent="0.25">
      <c r="B726" s="82">
        <v>45860</v>
      </c>
      <c r="C726" s="67">
        <v>22</v>
      </c>
      <c r="D726" s="67">
        <v>1</v>
      </c>
    </row>
    <row r="727" spans="2:4" ht="15" customHeight="1" x14ac:dyDescent="0.25">
      <c r="B727" s="82">
        <v>45860</v>
      </c>
      <c r="C727" s="67">
        <v>9.6</v>
      </c>
      <c r="D727" s="67">
        <v>1</v>
      </c>
    </row>
    <row r="728" spans="2:4" ht="15" customHeight="1" x14ac:dyDescent="0.25">
      <c r="B728" s="82">
        <v>45860</v>
      </c>
      <c r="C728" s="67">
        <v>14</v>
      </c>
      <c r="D728" s="67">
        <v>1</v>
      </c>
    </row>
    <row r="729" spans="2:4" ht="15" customHeight="1" x14ac:dyDescent="0.25">
      <c r="B729" s="82">
        <v>45860</v>
      </c>
      <c r="C729" s="67">
        <v>8.6</v>
      </c>
      <c r="D729" s="67">
        <v>1</v>
      </c>
    </row>
    <row r="730" spans="2:4" ht="15" customHeight="1" x14ac:dyDescent="0.25">
      <c r="B730" s="82">
        <v>45861</v>
      </c>
      <c r="C730" s="67">
        <v>12</v>
      </c>
      <c r="D730" s="67">
        <v>0</v>
      </c>
    </row>
    <row r="731" spans="2:4" ht="15" customHeight="1" x14ac:dyDescent="0.25">
      <c r="B731" s="82">
        <v>45861</v>
      </c>
      <c r="C731" s="67">
        <v>18</v>
      </c>
      <c r="D731" s="67">
        <v>1</v>
      </c>
    </row>
    <row r="732" spans="2:4" ht="15" customHeight="1" x14ac:dyDescent="0.25">
      <c r="B732" s="82">
        <v>45861</v>
      </c>
      <c r="C732" s="67">
        <v>9.6</v>
      </c>
      <c r="D732" s="67">
        <v>1</v>
      </c>
    </row>
    <row r="733" spans="2:4" ht="15" customHeight="1" x14ac:dyDescent="0.25">
      <c r="B733" s="82">
        <v>45861</v>
      </c>
      <c r="C733" s="67">
        <v>32</v>
      </c>
      <c r="D733" s="67">
        <v>1</v>
      </c>
    </row>
    <row r="734" spans="2:4" ht="15" customHeight="1" x14ac:dyDescent="0.25">
      <c r="B734" s="82">
        <v>45862</v>
      </c>
      <c r="C734" s="67">
        <v>12</v>
      </c>
      <c r="D734" s="67">
        <v>1</v>
      </c>
    </row>
    <row r="735" spans="2:4" ht="15" customHeight="1" x14ac:dyDescent="0.25">
      <c r="B735" s="82">
        <v>45862</v>
      </c>
      <c r="C735" s="67">
        <v>7.8</v>
      </c>
      <c r="D735" s="67">
        <v>1</v>
      </c>
    </row>
    <row r="736" spans="2:4" ht="15" customHeight="1" x14ac:dyDescent="0.25">
      <c r="B736" s="82">
        <v>45862</v>
      </c>
      <c r="C736" s="67">
        <v>13</v>
      </c>
      <c r="D736" s="67">
        <v>1</v>
      </c>
    </row>
    <row r="737" spans="2:4" ht="15" customHeight="1" x14ac:dyDescent="0.25">
      <c r="B737" s="82">
        <v>45862</v>
      </c>
      <c r="C737" s="67">
        <v>8</v>
      </c>
      <c r="D737" s="67">
        <v>1</v>
      </c>
    </row>
    <row r="738" spans="2:4" ht="15" customHeight="1" x14ac:dyDescent="0.25">
      <c r="B738" s="82">
        <v>45863</v>
      </c>
      <c r="C738" s="67">
        <v>13.5</v>
      </c>
      <c r="D738" s="67">
        <v>1</v>
      </c>
    </row>
    <row r="739" spans="2:4" ht="15" customHeight="1" x14ac:dyDescent="0.25">
      <c r="B739" s="82">
        <v>45863</v>
      </c>
      <c r="C739" s="67">
        <v>9.1999999999999993</v>
      </c>
      <c r="D739" s="67">
        <v>1</v>
      </c>
    </row>
    <row r="740" spans="2:4" ht="15" customHeight="1" x14ac:dyDescent="0.25">
      <c r="B740" s="82">
        <v>45863</v>
      </c>
      <c r="C740" s="67">
        <v>15.5</v>
      </c>
      <c r="D740" s="67">
        <v>1</v>
      </c>
    </row>
    <row r="741" spans="2:4" ht="15" customHeight="1" x14ac:dyDescent="0.25">
      <c r="B741" s="82">
        <v>45863</v>
      </c>
      <c r="C741" s="67">
        <v>18</v>
      </c>
      <c r="D741" s="67">
        <v>1</v>
      </c>
    </row>
    <row r="742" spans="2:4" ht="15" customHeight="1" x14ac:dyDescent="0.25">
      <c r="B742" s="82">
        <v>45864</v>
      </c>
      <c r="C742" s="67">
        <v>8.1999999999999993</v>
      </c>
      <c r="D742" s="67">
        <v>1</v>
      </c>
    </row>
    <row r="743" spans="2:4" ht="15" customHeight="1" x14ac:dyDescent="0.25">
      <c r="B743" s="82">
        <v>45864</v>
      </c>
      <c r="C743" s="67">
        <v>13.5</v>
      </c>
      <c r="D743" s="67">
        <v>1</v>
      </c>
    </row>
    <row r="744" spans="2:4" ht="15" customHeight="1" x14ac:dyDescent="0.25">
      <c r="B744" s="82">
        <v>45864</v>
      </c>
      <c r="C744" s="67">
        <v>17</v>
      </c>
      <c r="D744" s="67">
        <v>1</v>
      </c>
    </row>
    <row r="745" spans="2:4" ht="15" customHeight="1" x14ac:dyDescent="0.25">
      <c r="B745" s="82">
        <v>45864</v>
      </c>
      <c r="C745" s="67">
        <v>13</v>
      </c>
      <c r="D745" s="67">
        <v>1</v>
      </c>
    </row>
    <row r="746" spans="2:4" ht="15" customHeight="1" x14ac:dyDescent="0.25">
      <c r="B746" s="82">
        <v>45865</v>
      </c>
      <c r="C746" s="67">
        <v>25</v>
      </c>
      <c r="D746" s="67">
        <v>1</v>
      </c>
    </row>
    <row r="747" spans="2:4" ht="15" customHeight="1" x14ac:dyDescent="0.25">
      <c r="B747" s="82">
        <v>45865</v>
      </c>
      <c r="C747" s="67">
        <v>9</v>
      </c>
      <c r="D747" s="67">
        <v>1</v>
      </c>
    </row>
    <row r="748" spans="2:4" ht="15" customHeight="1" x14ac:dyDescent="0.25">
      <c r="B748" s="82">
        <v>45865</v>
      </c>
      <c r="C748" s="67">
        <v>24</v>
      </c>
      <c r="D748" s="67">
        <v>1</v>
      </c>
    </row>
    <row r="749" spans="2:4" ht="15" customHeight="1" x14ac:dyDescent="0.25">
      <c r="B749" s="82">
        <v>45865</v>
      </c>
      <c r="C749" s="67">
        <v>9.6</v>
      </c>
      <c r="D749" s="67">
        <v>1</v>
      </c>
    </row>
    <row r="750" spans="2:4" ht="15" customHeight="1" x14ac:dyDescent="0.25">
      <c r="B750" s="82">
        <v>45866</v>
      </c>
      <c r="C750" s="67">
        <v>9</v>
      </c>
      <c r="D750" s="67">
        <v>1</v>
      </c>
    </row>
    <row r="751" spans="2:4" ht="15" customHeight="1" x14ac:dyDescent="0.25">
      <c r="B751" s="82">
        <v>45866</v>
      </c>
      <c r="C751" s="67">
        <v>24</v>
      </c>
      <c r="D751" s="67">
        <v>1</v>
      </c>
    </row>
    <row r="752" spans="2:4" ht="15" customHeight="1" x14ac:dyDescent="0.25">
      <c r="B752" s="82">
        <v>45867</v>
      </c>
      <c r="C752" s="67">
        <v>9.4</v>
      </c>
      <c r="D752" s="67">
        <v>1</v>
      </c>
    </row>
    <row r="753" spans="2:4" ht="15" customHeight="1" x14ac:dyDescent="0.25">
      <c r="B753" s="82">
        <v>45867</v>
      </c>
      <c r="C753" s="67">
        <v>38</v>
      </c>
      <c r="D753" s="67">
        <v>1</v>
      </c>
    </row>
    <row r="754" spans="2:4" ht="15" customHeight="1" x14ac:dyDescent="0.25">
      <c r="B754" s="82">
        <v>45867</v>
      </c>
      <c r="C754" s="67">
        <v>24</v>
      </c>
      <c r="D754" s="67">
        <v>1</v>
      </c>
    </row>
    <row r="755" spans="2:4" ht="15" customHeight="1" x14ac:dyDescent="0.25">
      <c r="B755" s="82">
        <v>45867</v>
      </c>
      <c r="C755" s="67">
        <v>10.5</v>
      </c>
      <c r="D755" s="67">
        <v>1</v>
      </c>
    </row>
    <row r="756" spans="2:4" ht="15" customHeight="1" x14ac:dyDescent="0.25">
      <c r="B756" s="82">
        <v>45868</v>
      </c>
      <c r="C756" s="67">
        <v>15.5</v>
      </c>
      <c r="D756" s="67">
        <v>1</v>
      </c>
    </row>
    <row r="757" spans="2:4" ht="15" customHeight="1" x14ac:dyDescent="0.25">
      <c r="B757" s="82">
        <v>45868</v>
      </c>
      <c r="C757" s="67">
        <v>7.8</v>
      </c>
      <c r="D757" s="67">
        <v>1</v>
      </c>
    </row>
    <row r="758" spans="2:4" ht="15" customHeight="1" x14ac:dyDescent="0.25">
      <c r="B758" s="82">
        <v>45868</v>
      </c>
      <c r="C758" s="67">
        <v>25</v>
      </c>
      <c r="D758" s="67">
        <v>0</v>
      </c>
    </row>
    <row r="759" spans="2:4" ht="15" customHeight="1" x14ac:dyDescent="0.25">
      <c r="B759" s="82">
        <v>45868</v>
      </c>
      <c r="C759" s="67">
        <v>17</v>
      </c>
      <c r="D759" s="67">
        <v>1</v>
      </c>
    </row>
    <row r="760" spans="2:4" ht="15" customHeight="1" x14ac:dyDescent="0.25">
      <c r="B760" s="82">
        <v>45868</v>
      </c>
      <c r="C760" s="67">
        <v>8.4</v>
      </c>
      <c r="D760" s="67">
        <v>1</v>
      </c>
    </row>
    <row r="761" spans="2:4" ht="15" customHeight="1" x14ac:dyDescent="0.25">
      <c r="B761" s="82">
        <v>45868</v>
      </c>
      <c r="C761" s="67">
        <v>18</v>
      </c>
      <c r="D761" s="67">
        <v>1</v>
      </c>
    </row>
    <row r="762" spans="2:4" ht="15" customHeight="1" x14ac:dyDescent="0.25">
      <c r="B762" s="82">
        <v>45869</v>
      </c>
      <c r="C762" s="67">
        <v>12.5</v>
      </c>
      <c r="D762" s="67">
        <v>1</v>
      </c>
    </row>
    <row r="763" spans="2:4" ht="15" customHeight="1" x14ac:dyDescent="0.25">
      <c r="B763" s="82">
        <v>45869</v>
      </c>
      <c r="C763" s="67">
        <v>19</v>
      </c>
      <c r="D763" s="67">
        <v>1</v>
      </c>
    </row>
    <row r="764" spans="2:4" ht="15" customHeight="1" x14ac:dyDescent="0.25">
      <c r="B764" s="82">
        <v>45869</v>
      </c>
      <c r="C764" s="67">
        <v>8.4</v>
      </c>
      <c r="D764" s="67">
        <v>1</v>
      </c>
    </row>
    <row r="765" spans="2:4" ht="15" customHeight="1" x14ac:dyDescent="0.25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 x14ac:dyDescent="0.25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 x14ac:dyDescent="0.25">
      <c r="C3" s="4"/>
      <c r="D3" s="4"/>
      <c r="E3" s="1364" t="s">
        <v>380</v>
      </c>
      <c r="F3" s="1365"/>
      <c r="G3" s="1365"/>
      <c r="H3" s="1366"/>
      <c r="I3" s="1364" t="s">
        <v>381</v>
      </c>
      <c r="J3" s="1365"/>
      <c r="K3" s="1365"/>
      <c r="L3" s="1366"/>
      <c r="M3" s="1364" t="s">
        <v>73</v>
      </c>
      <c r="N3" s="1365"/>
      <c r="O3" s="1365"/>
      <c r="P3" s="1366"/>
      <c r="Q3" s="1364" t="s">
        <v>179</v>
      </c>
      <c r="R3" s="1365"/>
      <c r="S3" s="1365"/>
      <c r="T3" s="1366"/>
      <c r="U3" s="40"/>
      <c r="V3" s="40"/>
    </row>
    <row r="4" spans="2:24" ht="19.95" customHeight="1" x14ac:dyDescent="0.25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 x14ac:dyDescent="0.25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 x14ac:dyDescent="0.25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 x14ac:dyDescent="0.25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 x14ac:dyDescent="0.25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 x14ac:dyDescent="0.25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 x14ac:dyDescent="0.25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 x14ac:dyDescent="0.25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 x14ac:dyDescent="0.25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 x14ac:dyDescent="0.25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 x14ac:dyDescent="0.25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 x14ac:dyDescent="0.25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 x14ac:dyDescent="0.25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 x14ac:dyDescent="0.25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 x14ac:dyDescent="0.25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 x14ac:dyDescent="0.25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 x14ac:dyDescent="0.25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 x14ac:dyDescent="0.25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 x14ac:dyDescent="0.25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 x14ac:dyDescent="0.25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 x14ac:dyDescent="0.25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 x14ac:dyDescent="0.3"/>
    <row r="2" spans="3:17" ht="19.95" hidden="1" customHeight="1" outlineLevel="1" x14ac:dyDescent="0.25">
      <c r="C2" s="47" t="s">
        <v>405</v>
      </c>
    </row>
    <row r="3" spans="3:17" ht="19.95" hidden="1" customHeight="1" outlineLevel="1" x14ac:dyDescent="0.25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 x14ac:dyDescent="0.25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 x14ac:dyDescent="0.25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 x14ac:dyDescent="0.25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 x14ac:dyDescent="0.25">
      <c r="N7" s="109"/>
      <c r="O7" s="127"/>
      <c r="P7" s="125"/>
    </row>
    <row r="8" spans="3:17" ht="19.95" hidden="1" customHeight="1" outlineLevel="1" x14ac:dyDescent="0.25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 x14ac:dyDescent="0.25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 x14ac:dyDescent="0.25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 x14ac:dyDescent="0.25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 x14ac:dyDescent="0.25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 x14ac:dyDescent="0.25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 x14ac:dyDescent="0.25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 x14ac:dyDescent="0.25">
      <c r="C15" s="47" t="s">
        <v>412</v>
      </c>
      <c r="G15" s="120">
        <f>IF(F6&gt;=65%,1,0)</f>
        <v>1</v>
      </c>
    </row>
    <row r="16" spans="3:17" ht="19.95" hidden="1" customHeight="1" outlineLevel="1" x14ac:dyDescent="0.25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 x14ac:dyDescent="0.25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 x14ac:dyDescent="0.25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 x14ac:dyDescent="0.3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 x14ac:dyDescent="0.3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 x14ac:dyDescent="0.3">
      <c r="X21" s="1367" t="s">
        <v>626</v>
      </c>
      <c r="Y21" s="1368"/>
      <c r="Z21" s="1368"/>
      <c r="AA21" s="1368"/>
      <c r="AB21" s="1368"/>
      <c r="AC21" s="1369"/>
      <c r="AD21" s="1367" t="s">
        <v>627</v>
      </c>
      <c r="AE21" s="1368"/>
      <c r="AF21" s="1368"/>
      <c r="AG21" s="1369"/>
      <c r="AH21" s="1367" t="s">
        <v>628</v>
      </c>
      <c r="AI21" s="1370"/>
      <c r="AJ21" s="1370"/>
      <c r="AK21" s="1370"/>
      <c r="AL21" s="1370"/>
      <c r="AM21" s="1370"/>
      <c r="AN21" s="1371"/>
    </row>
    <row r="22" spans="2:40" s="58" customFormat="1" ht="30" customHeight="1" collapsed="1" x14ac:dyDescent="0.25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 x14ac:dyDescent="0.25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 x14ac:dyDescent="0.25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 x14ac:dyDescent="0.25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 x14ac:dyDescent="0.25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 x14ac:dyDescent="0.25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 x14ac:dyDescent="0.25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 x14ac:dyDescent="0.25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 x14ac:dyDescent="0.25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 x14ac:dyDescent="0.25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 x14ac:dyDescent="0.25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 x14ac:dyDescent="0.25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 x14ac:dyDescent="0.25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 x14ac:dyDescent="0.25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 x14ac:dyDescent="0.25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 x14ac:dyDescent="0.25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 x14ac:dyDescent="0.25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 x14ac:dyDescent="0.25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 x14ac:dyDescent="0.25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 x14ac:dyDescent="0.25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 x14ac:dyDescent="0.25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 x14ac:dyDescent="0.25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 x14ac:dyDescent="0.25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 x14ac:dyDescent="0.25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 x14ac:dyDescent="0.25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 x14ac:dyDescent="0.25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 x14ac:dyDescent="0.25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 x14ac:dyDescent="0.25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 x14ac:dyDescent="0.25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 x14ac:dyDescent="0.25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 x14ac:dyDescent="0.25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 x14ac:dyDescent="0.25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 x14ac:dyDescent="0.25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 x14ac:dyDescent="0.25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 x14ac:dyDescent="0.25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 x14ac:dyDescent="0.25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 x14ac:dyDescent="0.25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 x14ac:dyDescent="0.25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 x14ac:dyDescent="0.25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 x14ac:dyDescent="0.25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 x14ac:dyDescent="0.25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 x14ac:dyDescent="0.25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 x14ac:dyDescent="0.25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 x14ac:dyDescent="0.25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 x14ac:dyDescent="0.25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 x14ac:dyDescent="0.25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 x14ac:dyDescent="0.25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 x14ac:dyDescent="0.25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 x14ac:dyDescent="0.25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 x14ac:dyDescent="0.25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 x14ac:dyDescent="0.25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 x14ac:dyDescent="0.25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 x14ac:dyDescent="0.25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 x14ac:dyDescent="0.25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 x14ac:dyDescent="0.25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 x14ac:dyDescent="0.25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 x14ac:dyDescent="0.25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 x14ac:dyDescent="0.25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 x14ac:dyDescent="0.25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 x14ac:dyDescent="0.25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 x14ac:dyDescent="0.25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 x14ac:dyDescent="0.25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 x14ac:dyDescent="0.25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 x14ac:dyDescent="0.25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 x14ac:dyDescent="0.25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 x14ac:dyDescent="0.25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 x14ac:dyDescent="0.25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 x14ac:dyDescent="0.25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 x14ac:dyDescent="0.25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 x14ac:dyDescent="0.25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 x14ac:dyDescent="0.25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 x14ac:dyDescent="0.25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 x14ac:dyDescent="0.25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 x14ac:dyDescent="0.25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 x14ac:dyDescent="0.25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 x14ac:dyDescent="0.25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 x14ac:dyDescent="0.25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 x14ac:dyDescent="0.25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 x14ac:dyDescent="0.25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 x14ac:dyDescent="0.25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 x14ac:dyDescent="0.25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 x14ac:dyDescent="0.25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 x14ac:dyDescent="0.25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 x14ac:dyDescent="0.25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 x14ac:dyDescent="0.25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 x14ac:dyDescent="0.25">
      <c r="B3" s="4" t="s">
        <v>466</v>
      </c>
      <c r="C3" s="4" t="s">
        <v>1196</v>
      </c>
      <c r="D3" s="4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 x14ac:dyDescent="0.25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 x14ac:dyDescent="0.25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 x14ac:dyDescent="0.25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 x14ac:dyDescent="0.25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 x14ac:dyDescent="0.25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 x14ac:dyDescent="0.25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 x14ac:dyDescent="0.25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 x14ac:dyDescent="0.25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 x14ac:dyDescent="0.25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 x14ac:dyDescent="0.25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 x14ac:dyDescent="0.25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 x14ac:dyDescent="0.25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 x14ac:dyDescent="0.25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 x14ac:dyDescent="0.25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 x14ac:dyDescent="0.25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 x14ac:dyDescent="0.25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 x14ac:dyDescent="0.25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 x14ac:dyDescent="0.25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 x14ac:dyDescent="0.25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 x14ac:dyDescent="0.25">
      <c r="B23" s="4" t="s">
        <v>1222</v>
      </c>
      <c r="C23" s="265" t="s">
        <v>1288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 x14ac:dyDescent="0.25">
      <c r="B24" s="4" t="s">
        <v>1226</v>
      </c>
      <c r="C24" s="265" t="s">
        <v>1288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 x14ac:dyDescent="0.25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 x14ac:dyDescent="0.25">
      <c r="B26" s="4" t="s">
        <v>1272</v>
      </c>
      <c r="C26" s="265" t="s">
        <v>1291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 x14ac:dyDescent="0.25">
      <c r="B27" s="4" t="s">
        <v>465</v>
      </c>
      <c r="C27" s="265" t="s">
        <v>1285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 x14ac:dyDescent="0.25">
      <c r="B28" s="4" t="s">
        <v>1268</v>
      </c>
      <c r="C28" s="265" t="s">
        <v>1291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 x14ac:dyDescent="0.25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 x14ac:dyDescent="0.25">
      <c r="B30" s="4" t="s">
        <v>1228</v>
      </c>
      <c r="C30" s="265" t="s">
        <v>1288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 x14ac:dyDescent="0.25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 x14ac:dyDescent="0.25">
      <c r="B32" s="4" t="s">
        <v>1303</v>
      </c>
      <c r="C32" s="265" t="s">
        <v>1284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 x14ac:dyDescent="0.25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 x14ac:dyDescent="0.25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 x14ac:dyDescent="0.25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 x14ac:dyDescent="0.25">
      <c r="B36" s="4" t="s">
        <v>1227</v>
      </c>
      <c r="C36" s="265" t="s">
        <v>1290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 x14ac:dyDescent="0.25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 x14ac:dyDescent="0.25">
      <c r="B38" s="4" t="s">
        <v>467</v>
      </c>
      <c r="C38" s="265" t="s">
        <v>1285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 x14ac:dyDescent="0.25">
      <c r="B39" s="4" t="s">
        <v>1280</v>
      </c>
      <c r="C39" s="265" t="s">
        <v>1284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 x14ac:dyDescent="0.25">
      <c r="B40" s="4" t="s">
        <v>1248</v>
      </c>
      <c r="C40" s="265" t="s">
        <v>1282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 x14ac:dyDescent="0.25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 x14ac:dyDescent="0.25">
      <c r="B42" s="4" t="s">
        <v>1223</v>
      </c>
      <c r="C42" s="265" t="s">
        <v>1282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5350A302-B8D9-4873-99B4-4DE3B5EAB877}">
  <ds:schemaRefs/>
</ds:datastoreItem>
</file>

<file path=customXml/itemProps3.xml><?xml version="1.0" encoding="utf-8"?>
<ds:datastoreItem xmlns:ds="http://schemas.openxmlformats.org/officeDocument/2006/customXml" ds:itemID="{EB958FF7-32B5-452C-8F11-8544CBB63F8F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F743BC9B-F626-443C-8944-CCA557256B30}">
  <ds:schemaRefs/>
</ds:datastoreItem>
</file>

<file path=customXml/itemProps7.xml><?xml version="1.0" encoding="utf-8"?>
<ds:datastoreItem xmlns:ds="http://schemas.openxmlformats.org/officeDocument/2006/customXml" ds:itemID="{A0934C01-3E48-41D6-9342-1AD591BDF257}">
  <ds:schemaRefs/>
</ds:datastoreItem>
</file>

<file path=customXml/itemProps8.xml><?xml version="1.0" encoding="utf-8"?>
<ds:datastoreItem xmlns:ds="http://schemas.openxmlformats.org/officeDocument/2006/customXml" ds:itemID="{E0AD9576-36B5-4C38-BEA5-F64E16FBD31D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D28EB955-CC23-4425-9787-EEC98CAF383E}">
  <ds:schemaRefs/>
</ds:datastoreItem>
</file>

<file path=customXml/itemProps11.xml><?xml version="1.0" encoding="utf-8"?>
<ds:datastoreItem xmlns:ds="http://schemas.openxmlformats.org/officeDocument/2006/customXml" ds:itemID="{903EB21E-C250-4F6A-B91B-A1775839E030}">
  <ds:schemaRefs/>
</ds:datastoreItem>
</file>

<file path=customXml/itemProps12.xml><?xml version="1.0" encoding="utf-8"?>
<ds:datastoreItem xmlns:ds="http://schemas.openxmlformats.org/officeDocument/2006/customXml" ds:itemID="{F0FF6FAD-D028-4BB2-9872-29442C59B600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3E2E56A8-1290-4D72-872F-7ED42363545B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1A9B4873-AFAD-44CE-B89A-8396ED0DDD47}">
  <ds:schemaRefs/>
</ds:datastoreItem>
</file>

<file path=customXml/itemProps17.xml><?xml version="1.0" encoding="utf-8"?>
<ds:datastoreItem xmlns:ds="http://schemas.openxmlformats.org/officeDocument/2006/customXml" ds:itemID="{531B5D8A-9D0A-4E72-80E1-F14498B85837}">
  <ds:schemaRefs/>
</ds:datastoreItem>
</file>

<file path=customXml/itemProps18.xml><?xml version="1.0" encoding="utf-8"?>
<ds:datastoreItem xmlns:ds="http://schemas.openxmlformats.org/officeDocument/2006/customXml" ds:itemID="{FEF94E45-EB58-4B60-A8DA-12401E2B8391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2026-08-24T12:11:59Z</dcterms:modified>
</cp:coreProperties>
</file>